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1.xml" ContentType="application/vnd.openxmlformats-officedocument.spreadsheetml.pivotTable+xml"/>
  <Override PartName="/xl/drawings/drawing12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2.xml" ContentType="application/vnd.openxmlformats-officedocument.spreadsheetml.pivotTable+xml"/>
  <Override PartName="/xl/drawings/drawing13.xml" ContentType="application/vnd.openxmlformats-officedocument.drawing+xml"/>
  <Override PartName="/xl/comments3.xml" ContentType="application/vnd.openxmlformats-officedocument.spreadsheetml.comments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3.xml" ContentType="application/vnd.openxmlformats-officedocument.spreadsheetml.pivotTable+xml"/>
  <Override PartName="/xl/drawings/drawing14.xml" ContentType="application/vnd.openxmlformats-officedocument.drawing+xml"/>
  <Override PartName="/xl/comments4.xml" ContentType="application/vnd.openxmlformats-officedocument.spreadsheetml.comments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4.xml" ContentType="application/vnd.openxmlformats-officedocument.spreadsheetml.pivotTable+xml"/>
  <Override PartName="/xl/drawings/drawing15.xml" ContentType="application/vnd.openxmlformats-officedocument.drawing+xml"/>
  <Override PartName="/xl/charts/chart28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ivotTables/pivotTable5.xml" ContentType="application/vnd.openxmlformats-officedocument.spreadsheetml.pivotTab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JuliusLindbergSteens\Documents\Git_repositories\DK-BioRES\"/>
    </mc:Choice>
  </mc:AlternateContent>
  <xr:revisionPtr revIDLastSave="0" documentId="13_ncr:1_{D0ECB37D-E989-431E-B094-FEC8FFC51975}" xr6:coauthVersionLast="47" xr6:coauthVersionMax="47" xr10:uidLastSave="{00000000-0000-0000-0000-000000000000}"/>
  <bookViews>
    <workbookView xWindow="-120" yWindow="-120" windowWidth="38640" windowHeight="21120" tabRatio="945" firstSheet="7" activeTab="2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Landbrugsproduktivititet" sheetId="76" r:id="rId6"/>
    <sheet name="Fodersammensætning" sheetId="34" r:id="rId7"/>
    <sheet name="Skovbrug" sheetId="26" r:id="rId8"/>
    <sheet name="Skovbrug-alder" sheetId="72" state="hidden" r:id="rId9"/>
    <sheet name="Havbrug" sheetId="32" r:id="rId10"/>
    <sheet name="Adfærd" sheetId="6" r:id="rId11"/>
    <sheet name="Biogasanlæg" sheetId="39" r:id="rId12"/>
    <sheet name="Forbrug til andet" sheetId="8" r:id="rId13"/>
    <sheet name="Direkte input" sheetId="35" r:id="rId14"/>
    <sheet name="Forbrug af biomasse" sheetId="38" r:id="rId15"/>
    <sheet name="Restprodukter" sheetId="53" r:id="rId16"/>
    <sheet name="Resultater - Vestdanmark" sheetId="37" r:id="rId17"/>
    <sheet name="Resultater - Østdanmark" sheetId="58" r:id="rId18"/>
    <sheet name="Resultater - Danmark" sheetId="41" r:id="rId19"/>
    <sheet name="Resultat-Produktion &amp; forbrug" sheetId="66" r:id="rId20"/>
    <sheet name="Produktion &amp; forbrug" sheetId="74" r:id="rId21"/>
    <sheet name="CONCITO" sheetId="77" r:id="rId22"/>
    <sheet name="Kategorisering af kcal" sheetId="75" r:id="rId23"/>
    <sheet name="Landbrugsareal - resultat" sheetId="20" state="hidden" r:id="rId24"/>
    <sheet name="Pivot tabeller og data" sheetId="68" state="hidden" r:id="rId25"/>
    <sheet name="Resultat-Forbrug af biomasse" sheetId="56" state="hidden" r:id="rId26"/>
    <sheet name="Resultat-Import" sheetId="51" state="hidden" r:id="rId27"/>
    <sheet name="Resultat-Eksport" sheetId="71" state="hidden" r:id="rId28"/>
    <sheet name="Resultat-Potentiale til energi" sheetId="50" state="hidden" r:id="rId29"/>
    <sheet name="Resultat-Tørstof til energi" sheetId="67" state="hidden" r:id="rId30"/>
    <sheet name="CO2-pivot" sheetId="64" state="hidden" r:id="rId31"/>
    <sheet name="CO2-udledning" sheetId="63" state="hidden" r:id="rId32"/>
    <sheet name="Produktion afgrøder-pivot" sheetId="60" state="hidden" r:id="rId33"/>
    <sheet name="Produktion af afgrøder" sheetId="57" state="hidden" r:id="rId34"/>
    <sheet name="Produkt skovbrug" sheetId="62" state="hidden" r:id="rId35"/>
    <sheet name="Produkt havbrug" sheetId="61" state="hidden" r:id="rId36"/>
    <sheet name="Arealanvendelse - pivot" sheetId="23" state="hidden" r:id="rId37"/>
    <sheet name="Pivot chart - landbrug" sheetId="19" state="hidden" r:id="rId38"/>
    <sheet name="Arealanvendelsesresultater-big" sheetId="22" state="hidden" r:id="rId39"/>
    <sheet name="Landbrugsresultater - pivot" sheetId="18" state="hidden" r:id="rId40"/>
  </sheets>
  <externalReferences>
    <externalReference r:id="rId41"/>
  </externalReferences>
  <definedNames>
    <definedName name="_xlnm._FilterDatabase" localSheetId="13" hidden="1">'Direkte input'!$A$2:$I$230</definedName>
    <definedName name="_xlnm._FilterDatabase" localSheetId="2" hidden="1">Farvekoder!$A$1:$A$70</definedName>
    <definedName name="_xlnm._FilterDatabase" localSheetId="14" hidden="1">'Forbrug af biomasse'!$A$1:$G$415</definedName>
    <definedName name="_xlnm._FilterDatabase" localSheetId="20" hidden="1">'Produktion &amp; forbrug'!$A$3:$AA$147</definedName>
    <definedName name="_xlnm._FilterDatabase" localSheetId="18" hidden="1">'Resultater - Danmark'!$A$2:$O$497</definedName>
    <definedName name="_xlnm._FilterDatabase" localSheetId="16" hidden="1">'Resultater - Vestdanmark'!$A$2:$U$497</definedName>
    <definedName name="_xlnm._FilterDatabase" localSheetId="19" hidden="1">'Resultat-Produktion &amp; forbrug'!$A$3:$AA$291</definedName>
    <definedName name="Afgrøder">Overblik!$D$12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  <definedName name="År1">Overblik!$D$18</definedName>
    <definedName name="År2">Overblik!$D$19</definedName>
    <definedName name="År3">Overblik!$D$20</definedName>
  </definedNames>
  <calcPr calcId="191029"/>
  <pivotCaches>
    <pivotCache cacheId="8" r:id="rId42"/>
    <pivotCache cacheId="9" r:id="rId43"/>
    <pivotCache cacheId="10" r:id="rId44"/>
    <pivotCache cacheId="11" r:id="rId45"/>
    <pivotCache cacheId="12" r:id="rId46"/>
    <pivotCache cacheId="13" r:id="rId47"/>
    <pivotCache cacheId="14" r:id="rId48"/>
    <pivotCache cacheId="15" r:id="rId4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7" i="77" l="1"/>
  <c r="F21" i="77" s="1"/>
  <c r="E17" i="77"/>
  <c r="E21" i="77" s="1"/>
  <c r="D17" i="77"/>
  <c r="C17" i="77"/>
  <c r="B4" i="77" a="1"/>
  <c r="B4" i="77" s="1"/>
  <c r="B18" i="77" a="1"/>
  <c r="B18" i="77" s="1"/>
  <c r="B15" i="77"/>
  <c r="B1" i="77"/>
  <c r="D3" i="77"/>
  <c r="D28" i="77" s="1"/>
  <c r="C3" i="77"/>
  <c r="C21" i="77" s="1"/>
  <c r="F4" i="74"/>
  <c r="D24" i="75"/>
  <c r="D26" i="75"/>
  <c r="D28" i="75"/>
  <c r="D29" i="75"/>
  <c r="D18" i="75"/>
  <c r="T4" i="75"/>
  <c r="T5" i="75"/>
  <c r="T6" i="75"/>
  <c r="T7" i="75"/>
  <c r="D19" i="75" s="1"/>
  <c r="T8" i="75"/>
  <c r="T9" i="75"/>
  <c r="D23" i="75" s="1"/>
  <c r="T10" i="75"/>
  <c r="T11" i="75"/>
  <c r="D22" i="75" s="1"/>
  <c r="T12" i="75"/>
  <c r="D21" i="75" s="1"/>
  <c r="T13" i="75"/>
  <c r="T14" i="75"/>
  <c r="T15" i="75"/>
  <c r="T16" i="75"/>
  <c r="T17" i="75"/>
  <c r="D20" i="75" s="1"/>
  <c r="T18" i="75"/>
  <c r="T19" i="75"/>
  <c r="T20" i="75"/>
  <c r="T21" i="75"/>
  <c r="D27" i="75" s="1"/>
  <c r="T22" i="75"/>
  <c r="T23" i="75"/>
  <c r="T3" i="75"/>
  <c r="D25" i="75" s="1"/>
  <c r="D4" i="75"/>
  <c r="D5" i="75"/>
  <c r="D6" i="75"/>
  <c r="C5" i="74"/>
  <c r="C6" i="74"/>
  <c r="C7" i="74"/>
  <c r="C8" i="74"/>
  <c r="C9" i="74"/>
  <c r="C10" i="74"/>
  <c r="C11" i="74"/>
  <c r="C12" i="74"/>
  <c r="C13" i="74"/>
  <c r="C14" i="74"/>
  <c r="C15" i="74"/>
  <c r="C16" i="74"/>
  <c r="C17" i="74"/>
  <c r="C18" i="74"/>
  <c r="C19" i="74"/>
  <c r="C20" i="74"/>
  <c r="C21" i="74"/>
  <c r="C22" i="74"/>
  <c r="C23" i="74"/>
  <c r="C24" i="74"/>
  <c r="C25" i="74"/>
  <c r="C26" i="74"/>
  <c r="C27" i="74"/>
  <c r="C28" i="74"/>
  <c r="C29" i="74"/>
  <c r="C30" i="74"/>
  <c r="C31" i="74"/>
  <c r="C32" i="74"/>
  <c r="C33" i="74"/>
  <c r="C34" i="74"/>
  <c r="C35" i="74"/>
  <c r="C36" i="74"/>
  <c r="C37" i="74"/>
  <c r="C38" i="74"/>
  <c r="C39" i="74"/>
  <c r="C40" i="74"/>
  <c r="C41" i="74"/>
  <c r="C42" i="74"/>
  <c r="C43" i="74"/>
  <c r="C44" i="74"/>
  <c r="C45" i="74"/>
  <c r="C46" i="74"/>
  <c r="C47" i="74"/>
  <c r="C48" i="74"/>
  <c r="C49" i="74"/>
  <c r="C50" i="74"/>
  <c r="C51" i="74"/>
  <c r="C4" i="74"/>
  <c r="R4" i="75"/>
  <c r="D9" i="75" s="1"/>
  <c r="R5" i="75"/>
  <c r="D14" i="75" s="1"/>
  <c r="R6" i="75"/>
  <c r="R7" i="75"/>
  <c r="R8" i="75"/>
  <c r="R9" i="75"/>
  <c r="D8" i="75" s="1"/>
  <c r="R10" i="75"/>
  <c r="R11" i="75"/>
  <c r="D7" i="75" s="1"/>
  <c r="R12" i="75"/>
  <c r="R13" i="75"/>
  <c r="R14" i="75"/>
  <c r="R15" i="75"/>
  <c r="R16" i="75"/>
  <c r="R17" i="75"/>
  <c r="R18" i="75"/>
  <c r="D11" i="75" s="1"/>
  <c r="R19" i="75"/>
  <c r="D3" i="75" s="1"/>
  <c r="R20" i="75"/>
  <c r="R21" i="75"/>
  <c r="D12" i="75" s="1"/>
  <c r="R22" i="75"/>
  <c r="R23" i="75"/>
  <c r="D13" i="75" s="1"/>
  <c r="R3" i="75"/>
  <c r="D10" i="75" s="1"/>
  <c r="D6" i="77" l="1"/>
  <c r="D22" i="77"/>
  <c r="D21" i="77"/>
  <c r="E28" i="77"/>
  <c r="E22" i="77"/>
  <c r="C28" i="77"/>
  <c r="C22" i="77"/>
  <c r="F28" i="77"/>
  <c r="C12" i="77"/>
  <c r="C6" i="77"/>
  <c r="F22" i="77"/>
  <c r="D12" i="77"/>
  <c r="D15" i="75"/>
  <c r="D30" i="75"/>
  <c r="AB3" i="74"/>
  <c r="E99" i="74"/>
  <c r="E147" i="74" s="1"/>
  <c r="B99" i="74"/>
  <c r="B147" i="74" s="1"/>
  <c r="A99" i="74"/>
  <c r="C99" i="74" s="1"/>
  <c r="E98" i="74"/>
  <c r="E146" i="74" s="1"/>
  <c r="B98" i="74"/>
  <c r="B146" i="74" s="1"/>
  <c r="A98" i="74"/>
  <c r="C98" i="74" s="1"/>
  <c r="E97" i="74"/>
  <c r="E145" i="74" s="1"/>
  <c r="B97" i="74"/>
  <c r="B145" i="74" s="1"/>
  <c r="A97" i="74"/>
  <c r="C97" i="74" s="1"/>
  <c r="E96" i="74"/>
  <c r="E144" i="74" s="1"/>
  <c r="B96" i="74"/>
  <c r="B144" i="74" s="1"/>
  <c r="A96" i="74"/>
  <c r="C96" i="74" s="1"/>
  <c r="E95" i="74"/>
  <c r="E143" i="74" s="1"/>
  <c r="B95" i="74"/>
  <c r="B143" i="74" s="1"/>
  <c r="A95" i="74"/>
  <c r="C95" i="74" s="1"/>
  <c r="E94" i="74"/>
  <c r="E142" i="74" s="1"/>
  <c r="B94" i="74"/>
  <c r="B142" i="74" s="1"/>
  <c r="A94" i="74"/>
  <c r="C94" i="74" s="1"/>
  <c r="E93" i="74"/>
  <c r="E141" i="74" s="1"/>
  <c r="B93" i="74"/>
  <c r="B141" i="74" s="1"/>
  <c r="A93" i="74"/>
  <c r="C93" i="74" s="1"/>
  <c r="E92" i="74"/>
  <c r="E140" i="74" s="1"/>
  <c r="B92" i="74"/>
  <c r="B140" i="74" s="1"/>
  <c r="A92" i="74"/>
  <c r="C92" i="74" s="1"/>
  <c r="E91" i="74"/>
  <c r="E139" i="74" s="1"/>
  <c r="B91" i="74"/>
  <c r="B139" i="74" s="1"/>
  <c r="A91" i="74"/>
  <c r="C91" i="74" s="1"/>
  <c r="E90" i="74"/>
  <c r="E138" i="74" s="1"/>
  <c r="B90" i="74"/>
  <c r="B138" i="74" s="1"/>
  <c r="A90" i="74"/>
  <c r="C90" i="74" s="1"/>
  <c r="E89" i="74"/>
  <c r="E137" i="74" s="1"/>
  <c r="B89" i="74"/>
  <c r="B137" i="74" s="1"/>
  <c r="A89" i="74"/>
  <c r="C89" i="74" s="1"/>
  <c r="E88" i="74"/>
  <c r="E136" i="74" s="1"/>
  <c r="B88" i="74"/>
  <c r="B136" i="74" s="1"/>
  <c r="A88" i="74"/>
  <c r="C88" i="74" s="1"/>
  <c r="E87" i="74"/>
  <c r="E135" i="74" s="1"/>
  <c r="B87" i="74"/>
  <c r="B135" i="74" s="1"/>
  <c r="A87" i="74"/>
  <c r="C87" i="74" s="1"/>
  <c r="E86" i="74"/>
  <c r="E134" i="74" s="1"/>
  <c r="B86" i="74"/>
  <c r="B134" i="74" s="1"/>
  <c r="A86" i="74"/>
  <c r="C86" i="74" s="1"/>
  <c r="E85" i="74"/>
  <c r="E133" i="74" s="1"/>
  <c r="B85" i="74"/>
  <c r="B133" i="74" s="1"/>
  <c r="A85" i="74"/>
  <c r="C85" i="74" s="1"/>
  <c r="E84" i="74"/>
  <c r="E132" i="74" s="1"/>
  <c r="B84" i="74"/>
  <c r="B132" i="74" s="1"/>
  <c r="A84" i="74"/>
  <c r="C84" i="74" s="1"/>
  <c r="E83" i="74"/>
  <c r="E131" i="74" s="1"/>
  <c r="B83" i="74"/>
  <c r="B131" i="74" s="1"/>
  <c r="A83" i="74"/>
  <c r="C83" i="74" s="1"/>
  <c r="E82" i="74"/>
  <c r="E130" i="74" s="1"/>
  <c r="B82" i="74"/>
  <c r="B130" i="74" s="1"/>
  <c r="A82" i="74"/>
  <c r="C82" i="74" s="1"/>
  <c r="E81" i="74"/>
  <c r="E129" i="74" s="1"/>
  <c r="B81" i="74"/>
  <c r="B129" i="74" s="1"/>
  <c r="A81" i="74"/>
  <c r="C81" i="74" s="1"/>
  <c r="E80" i="74"/>
  <c r="E128" i="74" s="1"/>
  <c r="B80" i="74"/>
  <c r="B128" i="74" s="1"/>
  <c r="A80" i="74"/>
  <c r="C80" i="74" s="1"/>
  <c r="E79" i="74"/>
  <c r="E127" i="74" s="1"/>
  <c r="B79" i="74"/>
  <c r="B127" i="74" s="1"/>
  <c r="A79" i="74"/>
  <c r="C79" i="74" s="1"/>
  <c r="E78" i="74"/>
  <c r="E126" i="74" s="1"/>
  <c r="B78" i="74"/>
  <c r="B126" i="74" s="1"/>
  <c r="A78" i="74"/>
  <c r="C78" i="74" s="1"/>
  <c r="E77" i="74"/>
  <c r="E125" i="74" s="1"/>
  <c r="B77" i="74"/>
  <c r="B125" i="74" s="1"/>
  <c r="A77" i="74"/>
  <c r="C77" i="74" s="1"/>
  <c r="E76" i="74"/>
  <c r="E124" i="74" s="1"/>
  <c r="B76" i="74"/>
  <c r="B124" i="74" s="1"/>
  <c r="A76" i="74"/>
  <c r="C76" i="74" s="1"/>
  <c r="E75" i="74"/>
  <c r="E123" i="74" s="1"/>
  <c r="B75" i="74"/>
  <c r="B123" i="74" s="1"/>
  <c r="A75" i="74"/>
  <c r="C75" i="74" s="1"/>
  <c r="E74" i="74"/>
  <c r="E122" i="74" s="1"/>
  <c r="B74" i="74"/>
  <c r="B122" i="74" s="1"/>
  <c r="A74" i="74"/>
  <c r="C74" i="74" s="1"/>
  <c r="E73" i="74"/>
  <c r="E121" i="74" s="1"/>
  <c r="B73" i="74"/>
  <c r="B121" i="74" s="1"/>
  <c r="A73" i="74"/>
  <c r="C73" i="74" s="1"/>
  <c r="E72" i="74"/>
  <c r="E120" i="74" s="1"/>
  <c r="B72" i="74"/>
  <c r="B120" i="74" s="1"/>
  <c r="A72" i="74"/>
  <c r="C72" i="74" s="1"/>
  <c r="E71" i="74"/>
  <c r="E119" i="74" s="1"/>
  <c r="B71" i="74"/>
  <c r="B119" i="74" s="1"/>
  <c r="A71" i="74"/>
  <c r="C71" i="74" s="1"/>
  <c r="E70" i="74"/>
  <c r="E118" i="74" s="1"/>
  <c r="B70" i="74"/>
  <c r="B118" i="74" s="1"/>
  <c r="A70" i="74"/>
  <c r="C70" i="74" s="1"/>
  <c r="E69" i="74"/>
  <c r="E117" i="74" s="1"/>
  <c r="B69" i="74"/>
  <c r="B117" i="74" s="1"/>
  <c r="A69" i="74"/>
  <c r="C69" i="74" s="1"/>
  <c r="E68" i="74"/>
  <c r="E116" i="74" s="1"/>
  <c r="B68" i="74"/>
  <c r="B116" i="74" s="1"/>
  <c r="A68" i="74"/>
  <c r="C68" i="74" s="1"/>
  <c r="E67" i="74"/>
  <c r="E115" i="74" s="1"/>
  <c r="B67" i="74"/>
  <c r="B115" i="74" s="1"/>
  <c r="A67" i="74"/>
  <c r="C67" i="74" s="1"/>
  <c r="E66" i="74"/>
  <c r="E114" i="74" s="1"/>
  <c r="B66" i="74"/>
  <c r="B114" i="74" s="1"/>
  <c r="A66" i="74"/>
  <c r="C66" i="74" s="1"/>
  <c r="E65" i="74"/>
  <c r="E113" i="74" s="1"/>
  <c r="B65" i="74"/>
  <c r="B113" i="74" s="1"/>
  <c r="A65" i="74"/>
  <c r="C65" i="74" s="1"/>
  <c r="E64" i="74"/>
  <c r="E112" i="74" s="1"/>
  <c r="B64" i="74"/>
  <c r="B112" i="74" s="1"/>
  <c r="A64" i="74"/>
  <c r="C64" i="74" s="1"/>
  <c r="E63" i="74"/>
  <c r="E111" i="74" s="1"/>
  <c r="B63" i="74"/>
  <c r="B111" i="74" s="1"/>
  <c r="A63" i="74"/>
  <c r="C63" i="74" s="1"/>
  <c r="E62" i="74"/>
  <c r="E110" i="74" s="1"/>
  <c r="B62" i="74"/>
  <c r="B110" i="74" s="1"/>
  <c r="A62" i="74"/>
  <c r="C62" i="74" s="1"/>
  <c r="E61" i="74"/>
  <c r="E109" i="74" s="1"/>
  <c r="B61" i="74"/>
  <c r="B109" i="74" s="1"/>
  <c r="A61" i="74"/>
  <c r="C61" i="74" s="1"/>
  <c r="E60" i="74"/>
  <c r="E108" i="74" s="1"/>
  <c r="B60" i="74"/>
  <c r="B108" i="74" s="1"/>
  <c r="A60" i="74"/>
  <c r="C60" i="74" s="1"/>
  <c r="E59" i="74"/>
  <c r="E107" i="74" s="1"/>
  <c r="B59" i="74"/>
  <c r="B107" i="74" s="1"/>
  <c r="A59" i="74"/>
  <c r="C59" i="74" s="1"/>
  <c r="E58" i="74"/>
  <c r="E106" i="74" s="1"/>
  <c r="B58" i="74"/>
  <c r="B106" i="74" s="1"/>
  <c r="A58" i="74"/>
  <c r="C58" i="74" s="1"/>
  <c r="E57" i="74"/>
  <c r="E105" i="74" s="1"/>
  <c r="B57" i="74"/>
  <c r="B105" i="74" s="1"/>
  <c r="A57" i="74"/>
  <c r="C57" i="74" s="1"/>
  <c r="E56" i="74"/>
  <c r="E104" i="74" s="1"/>
  <c r="B56" i="74"/>
  <c r="B104" i="74" s="1"/>
  <c r="A56" i="74"/>
  <c r="C56" i="74" s="1"/>
  <c r="E55" i="74"/>
  <c r="E103" i="74" s="1"/>
  <c r="B55" i="74"/>
  <c r="B103" i="74" s="1"/>
  <c r="A55" i="74"/>
  <c r="C55" i="74" s="1"/>
  <c r="E54" i="74"/>
  <c r="E102" i="74" s="1"/>
  <c r="B54" i="74"/>
  <c r="B102" i="74" s="1"/>
  <c r="A54" i="74"/>
  <c r="C54" i="74" s="1"/>
  <c r="E53" i="74"/>
  <c r="E101" i="74" s="1"/>
  <c r="B53" i="74"/>
  <c r="B101" i="74" s="1"/>
  <c r="A53" i="74"/>
  <c r="C53" i="74" s="1"/>
  <c r="E52" i="74"/>
  <c r="E100" i="74" s="1"/>
  <c r="B52" i="74"/>
  <c r="B100" i="74" s="1"/>
  <c r="A52" i="74"/>
  <c r="C52" i="74" s="1"/>
  <c r="S7" i="74"/>
  <c r="A136" i="74" l="1"/>
  <c r="C136" i="74" s="1"/>
  <c r="A139" i="74"/>
  <c r="C139" i="74" s="1"/>
  <c r="A142" i="74"/>
  <c r="C142" i="74" s="1"/>
  <c r="A145" i="74"/>
  <c r="C145" i="74" s="1"/>
  <c r="A109" i="74"/>
  <c r="C109" i="74" s="1"/>
  <c r="A112" i="74"/>
  <c r="C112" i="74" s="1"/>
  <c r="S55" i="74"/>
  <c r="A115" i="74"/>
  <c r="C115" i="74" s="1"/>
  <c r="A118" i="74"/>
  <c r="C118" i="74" s="1"/>
  <c r="A121" i="74"/>
  <c r="C121" i="74" s="1"/>
  <c r="A106" i="74"/>
  <c r="C106" i="74" s="1"/>
  <c r="A127" i="74"/>
  <c r="C127" i="74" s="1"/>
  <c r="A100" i="74"/>
  <c r="C100" i="74" s="1"/>
  <c r="A130" i="74"/>
  <c r="C130" i="74" s="1"/>
  <c r="A147" i="74"/>
  <c r="C147" i="74" s="1"/>
  <c r="A131" i="74"/>
  <c r="C131" i="74" s="1"/>
  <c r="A113" i="74"/>
  <c r="C113" i="74" s="1"/>
  <c r="A101" i="74"/>
  <c r="C101" i="74" s="1"/>
  <c r="A108" i="74"/>
  <c r="C108" i="74" s="1"/>
  <c r="A110" i="74"/>
  <c r="C110" i="74" s="1"/>
  <c r="A122" i="74"/>
  <c r="C122" i="74" s="1"/>
  <c r="A102" i="74"/>
  <c r="C102" i="74" s="1"/>
  <c r="A107" i="74"/>
  <c r="C107" i="74" s="1"/>
  <c r="A116" i="74"/>
  <c r="C116" i="74" s="1"/>
  <c r="A117" i="74"/>
  <c r="C117" i="74" s="1"/>
  <c r="A128" i="74"/>
  <c r="C128" i="74" s="1"/>
  <c r="A140" i="74"/>
  <c r="C140" i="74" s="1"/>
  <c r="A138" i="74"/>
  <c r="C138" i="74" s="1"/>
  <c r="A143" i="74"/>
  <c r="C143" i="74" s="1"/>
  <c r="A104" i="74"/>
  <c r="C104" i="74" s="1"/>
  <c r="A105" i="74"/>
  <c r="C105" i="74" s="1"/>
  <c r="A114" i="74"/>
  <c r="C114" i="74" s="1"/>
  <c r="A123" i="74"/>
  <c r="C123" i="74" s="1"/>
  <c r="A134" i="74"/>
  <c r="C134" i="74" s="1"/>
  <c r="A146" i="74"/>
  <c r="C146" i="74" s="1"/>
  <c r="A141" i="74"/>
  <c r="C141" i="74" s="1"/>
  <c r="A144" i="74"/>
  <c r="C144" i="74" s="1"/>
  <c r="A120" i="74"/>
  <c r="C120" i="74" s="1"/>
  <c r="A129" i="74"/>
  <c r="C129" i="74" s="1"/>
  <c r="A111" i="74"/>
  <c r="C111" i="74" s="1"/>
  <c r="A126" i="74"/>
  <c r="C126" i="74" s="1"/>
  <c r="A119" i="74"/>
  <c r="C119" i="74" s="1"/>
  <c r="A125" i="74"/>
  <c r="C125" i="74" s="1"/>
  <c r="A132" i="74"/>
  <c r="C132" i="74" s="1"/>
  <c r="A137" i="74"/>
  <c r="C137" i="74" s="1"/>
  <c r="A135" i="74"/>
  <c r="C135" i="74" s="1"/>
  <c r="A133" i="74"/>
  <c r="C133" i="74" s="1"/>
  <c r="A124" i="74"/>
  <c r="C124" i="74" s="1"/>
  <c r="A103" i="74"/>
  <c r="C103" i="74" s="1"/>
  <c r="S103" i="74" l="1"/>
  <c r="D53" i="66" l="1"/>
  <c r="D54" i="66"/>
  <c r="D102" i="66" s="1"/>
  <c r="D150" i="66" s="1"/>
  <c r="D198" i="66" s="1"/>
  <c r="D246" i="66" s="1"/>
  <c r="D55" i="66"/>
  <c r="D103" i="66" s="1"/>
  <c r="D151" i="66" s="1"/>
  <c r="D199" i="66" s="1"/>
  <c r="D247" i="66" s="1"/>
  <c r="D56" i="66"/>
  <c r="D104" i="66" s="1"/>
  <c r="D152" i="66" s="1"/>
  <c r="D200" i="66" s="1"/>
  <c r="D248" i="66" s="1"/>
  <c r="D57" i="66"/>
  <c r="D105" i="66" s="1"/>
  <c r="D153" i="66" s="1"/>
  <c r="D201" i="66" s="1"/>
  <c r="D249" i="66" s="1"/>
  <c r="D58" i="66"/>
  <c r="D59" i="66"/>
  <c r="D107" i="66" s="1"/>
  <c r="D155" i="66" s="1"/>
  <c r="D203" i="66" s="1"/>
  <c r="D251" i="66" s="1"/>
  <c r="D60" i="66"/>
  <c r="D108" i="66" s="1"/>
  <c r="D156" i="66" s="1"/>
  <c r="D204" i="66" s="1"/>
  <c r="D252" i="66" s="1"/>
  <c r="D61" i="66"/>
  <c r="D109" i="66" s="1"/>
  <c r="D157" i="66" s="1"/>
  <c r="D205" i="66" s="1"/>
  <c r="D253" i="66" s="1"/>
  <c r="D62" i="66"/>
  <c r="D110" i="66" s="1"/>
  <c r="D158" i="66" s="1"/>
  <c r="D206" i="66" s="1"/>
  <c r="D254" i="66" s="1"/>
  <c r="D63" i="66"/>
  <c r="D111" i="66" s="1"/>
  <c r="D159" i="66" s="1"/>
  <c r="D207" i="66" s="1"/>
  <c r="D255" i="66" s="1"/>
  <c r="D64" i="66"/>
  <c r="D112" i="66" s="1"/>
  <c r="D160" i="66" s="1"/>
  <c r="D208" i="66" s="1"/>
  <c r="D256" i="66" s="1"/>
  <c r="D65" i="66"/>
  <c r="D66" i="66"/>
  <c r="D67" i="66"/>
  <c r="D115" i="66" s="1"/>
  <c r="D163" i="66" s="1"/>
  <c r="D211" i="66" s="1"/>
  <c r="D259" i="66" s="1"/>
  <c r="D68" i="66"/>
  <c r="D116" i="66" s="1"/>
  <c r="D164" i="66" s="1"/>
  <c r="D212" i="66" s="1"/>
  <c r="D260" i="66" s="1"/>
  <c r="D69" i="66"/>
  <c r="D117" i="66" s="1"/>
  <c r="D165" i="66" s="1"/>
  <c r="D213" i="66" s="1"/>
  <c r="D261" i="66" s="1"/>
  <c r="D70" i="66"/>
  <c r="D118" i="66" s="1"/>
  <c r="D166" i="66" s="1"/>
  <c r="D214" i="66" s="1"/>
  <c r="D262" i="66" s="1"/>
  <c r="D71" i="66"/>
  <c r="D119" i="66" s="1"/>
  <c r="D167" i="66" s="1"/>
  <c r="D215" i="66" s="1"/>
  <c r="D263" i="66" s="1"/>
  <c r="D72" i="66"/>
  <c r="D120" i="66" s="1"/>
  <c r="D168" i="66" s="1"/>
  <c r="D216" i="66" s="1"/>
  <c r="D264" i="66" s="1"/>
  <c r="D73" i="66"/>
  <c r="D121" i="66" s="1"/>
  <c r="D169" i="66" s="1"/>
  <c r="D217" i="66" s="1"/>
  <c r="D265" i="66" s="1"/>
  <c r="D74" i="66"/>
  <c r="D122" i="66" s="1"/>
  <c r="D170" i="66" s="1"/>
  <c r="D218" i="66" s="1"/>
  <c r="D266" i="66" s="1"/>
  <c r="D75" i="66"/>
  <c r="D123" i="66" s="1"/>
  <c r="D171" i="66" s="1"/>
  <c r="D219" i="66" s="1"/>
  <c r="D267" i="66" s="1"/>
  <c r="D76" i="66"/>
  <c r="D124" i="66" s="1"/>
  <c r="D172" i="66" s="1"/>
  <c r="D220" i="66" s="1"/>
  <c r="D268" i="66" s="1"/>
  <c r="D77" i="66"/>
  <c r="D125" i="66" s="1"/>
  <c r="D173" i="66" s="1"/>
  <c r="D221" i="66" s="1"/>
  <c r="D269" i="66" s="1"/>
  <c r="D78" i="66"/>
  <c r="D79" i="66"/>
  <c r="D80" i="66"/>
  <c r="D128" i="66" s="1"/>
  <c r="D176" i="66" s="1"/>
  <c r="D224" i="66" s="1"/>
  <c r="D272" i="66" s="1"/>
  <c r="D81" i="66"/>
  <c r="D82" i="66"/>
  <c r="D130" i="66" s="1"/>
  <c r="D178" i="66" s="1"/>
  <c r="D226" i="66" s="1"/>
  <c r="D274" i="66" s="1"/>
  <c r="D83" i="66"/>
  <c r="D131" i="66" s="1"/>
  <c r="D179" i="66" s="1"/>
  <c r="D227" i="66" s="1"/>
  <c r="D275" i="66" s="1"/>
  <c r="D84" i="66"/>
  <c r="D85" i="66"/>
  <c r="D133" i="66" s="1"/>
  <c r="D181" i="66" s="1"/>
  <c r="D229" i="66" s="1"/>
  <c r="D277" i="66" s="1"/>
  <c r="D86" i="66"/>
  <c r="D134" i="66" s="1"/>
  <c r="D182" i="66" s="1"/>
  <c r="D230" i="66" s="1"/>
  <c r="D278" i="66" s="1"/>
  <c r="D87" i="66"/>
  <c r="D135" i="66" s="1"/>
  <c r="D183" i="66" s="1"/>
  <c r="D231" i="66" s="1"/>
  <c r="D279" i="66" s="1"/>
  <c r="D88" i="66"/>
  <c r="D136" i="66" s="1"/>
  <c r="D184" i="66" s="1"/>
  <c r="D232" i="66" s="1"/>
  <c r="D280" i="66" s="1"/>
  <c r="D89" i="66"/>
  <c r="D137" i="66" s="1"/>
  <c r="D185" i="66" s="1"/>
  <c r="D233" i="66" s="1"/>
  <c r="D281" i="66" s="1"/>
  <c r="D90" i="66"/>
  <c r="D91" i="66"/>
  <c r="D139" i="66" s="1"/>
  <c r="D187" i="66" s="1"/>
  <c r="D235" i="66" s="1"/>
  <c r="D283" i="66" s="1"/>
  <c r="D92" i="66"/>
  <c r="D140" i="66" s="1"/>
  <c r="D188" i="66" s="1"/>
  <c r="D236" i="66" s="1"/>
  <c r="D284" i="66" s="1"/>
  <c r="D93" i="66"/>
  <c r="D94" i="66"/>
  <c r="D142" i="66" s="1"/>
  <c r="D190" i="66" s="1"/>
  <c r="D238" i="66" s="1"/>
  <c r="D286" i="66" s="1"/>
  <c r="D95" i="66"/>
  <c r="D143" i="66" s="1"/>
  <c r="D191" i="66" s="1"/>
  <c r="D239" i="66" s="1"/>
  <c r="D287" i="66" s="1"/>
  <c r="D96" i="66"/>
  <c r="D144" i="66" s="1"/>
  <c r="D192" i="66" s="1"/>
  <c r="D240" i="66" s="1"/>
  <c r="D288" i="66" s="1"/>
  <c r="D97" i="66"/>
  <c r="D145" i="66" s="1"/>
  <c r="D193" i="66" s="1"/>
  <c r="D241" i="66" s="1"/>
  <c r="D289" i="66" s="1"/>
  <c r="D98" i="66"/>
  <c r="D146" i="66" s="1"/>
  <c r="D194" i="66" s="1"/>
  <c r="D242" i="66" s="1"/>
  <c r="D290" i="66" s="1"/>
  <c r="D99" i="66"/>
  <c r="D147" i="66" s="1"/>
  <c r="D195" i="66" s="1"/>
  <c r="D243" i="66" s="1"/>
  <c r="D291" i="66" s="1"/>
  <c r="D101" i="66"/>
  <c r="D106" i="66"/>
  <c r="D154" i="66" s="1"/>
  <c r="D202" i="66" s="1"/>
  <c r="D250" i="66" s="1"/>
  <c r="D113" i="66"/>
  <c r="D161" i="66" s="1"/>
  <c r="D209" i="66" s="1"/>
  <c r="D257" i="66" s="1"/>
  <c r="D114" i="66"/>
  <c r="D162" i="66" s="1"/>
  <c r="D210" i="66" s="1"/>
  <c r="D258" i="66" s="1"/>
  <c r="D126" i="66"/>
  <c r="D174" i="66" s="1"/>
  <c r="D222" i="66" s="1"/>
  <c r="D270" i="66" s="1"/>
  <c r="D129" i="66"/>
  <c r="D177" i="66" s="1"/>
  <c r="D225" i="66" s="1"/>
  <c r="D273" i="66" s="1"/>
  <c r="D132" i="66"/>
  <c r="D180" i="66" s="1"/>
  <c r="D228" i="66" s="1"/>
  <c r="D276" i="66" s="1"/>
  <c r="D138" i="66"/>
  <c r="D186" i="66" s="1"/>
  <c r="D234" i="66" s="1"/>
  <c r="D282" i="66" s="1"/>
  <c r="D141" i="66"/>
  <c r="D189" i="66" s="1"/>
  <c r="D237" i="66" s="1"/>
  <c r="D285" i="66" s="1"/>
  <c r="D149" i="66"/>
  <c r="D197" i="66" s="1"/>
  <c r="D245" i="66" s="1"/>
  <c r="D52" i="66"/>
  <c r="D100" i="66" s="1"/>
  <c r="D148" i="66" s="1"/>
  <c r="D196" i="66" s="1"/>
  <c r="D244" i="66" s="1"/>
  <c r="D127" i="66" l="1"/>
  <c r="D175" i="66" l="1"/>
  <c r="D223" i="66" l="1"/>
  <c r="D271" i="66" l="1"/>
  <c r="D5" i="32" l="1"/>
  <c r="E5" i="32" s="1"/>
  <c r="D6" i="32"/>
  <c r="E6" i="32" s="1"/>
  <c r="D7" i="32"/>
  <c r="E7" i="32" s="1"/>
  <c r="E4" i="32"/>
  <c r="D4" i="32"/>
  <c r="T14" i="9" l="1"/>
  <c r="E26" i="39"/>
  <c r="D26" i="39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E35" i="17" s="1"/>
  <c r="C36" i="17"/>
  <c r="D36" i="17" s="1"/>
  <c r="E36" i="17" s="1"/>
  <c r="C37" i="17"/>
  <c r="D37" i="17" s="1"/>
  <c r="E37" i="17" s="1"/>
  <c r="C38" i="17"/>
  <c r="C39" i="17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D39" i="17" l="1"/>
  <c r="E39" i="17" s="1"/>
  <c r="D38" i="17"/>
  <c r="E38" i="17" s="1"/>
  <c r="C56" i="17"/>
  <c r="D32" i="17"/>
  <c r="E32" i="17" s="1"/>
  <c r="C60" i="26"/>
  <c r="D60" i="26" s="1"/>
  <c r="B61" i="26"/>
  <c r="E56" i="17" l="1"/>
  <c r="D46" i="17"/>
  <c r="D56" i="17"/>
  <c r="D59" i="26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D17" i="34" s="1"/>
  <c r="E17" i="34" s="1"/>
  <c r="A3" i="34"/>
  <c r="C3" i="34" s="1"/>
  <c r="D3" i="34" s="1"/>
  <c r="E3" i="34" s="1"/>
  <c r="A4" i="34"/>
  <c r="C189" i="38" s="1"/>
  <c r="A5" i="34"/>
  <c r="C190" i="38" s="1"/>
  <c r="A6" i="34"/>
  <c r="C191" i="38" s="1"/>
  <c r="A7" i="34"/>
  <c r="C7" i="34" s="1"/>
  <c r="A8" i="34"/>
  <c r="C8" i="34" s="1"/>
  <c r="D8" i="34" s="1"/>
  <c r="E8" i="34" s="1"/>
  <c r="A9" i="34"/>
  <c r="C9" i="34" s="1"/>
  <c r="A10" i="34"/>
  <c r="A11" i="34"/>
  <c r="A12" i="34"/>
  <c r="C12" i="34" s="1"/>
  <c r="D12" i="34" s="1"/>
  <c r="E12" i="34" s="1"/>
  <c r="A13" i="34"/>
  <c r="C13" i="34" s="1"/>
  <c r="D13" i="34" s="1"/>
  <c r="E13" i="34" s="1"/>
  <c r="A14" i="34"/>
  <c r="C14" i="34" s="1"/>
  <c r="A15" i="34"/>
  <c r="C15" i="34" s="1"/>
  <c r="A16" i="34"/>
  <c r="C201" i="38" s="1"/>
  <c r="B26" i="6"/>
  <c r="D9" i="34" l="1"/>
  <c r="E9" i="34" s="1"/>
  <c r="D7" i="34"/>
  <c r="E7" i="34" s="1"/>
  <c r="D15" i="34"/>
  <c r="C11" i="34"/>
  <c r="D11" i="34" s="1"/>
  <c r="C10" i="34"/>
  <c r="D10" i="34" s="1"/>
  <c r="C198" i="38"/>
  <c r="C197" i="38"/>
  <c r="C196" i="38"/>
  <c r="C200" i="38"/>
  <c r="C199" i="38"/>
  <c r="C16" i="34"/>
  <c r="D16" i="34" s="1"/>
  <c r="E16" i="34" s="1"/>
  <c r="C195" i="38"/>
  <c r="C6" i="34"/>
  <c r="D6" i="34" s="1"/>
  <c r="E6" i="34" s="1"/>
  <c r="C194" i="38"/>
  <c r="C5" i="34"/>
  <c r="D5" i="34" s="1"/>
  <c r="E5" i="34" s="1"/>
  <c r="C193" i="38"/>
  <c r="C4" i="34"/>
  <c r="D4" i="34" s="1"/>
  <c r="E4" i="34" s="1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E10" i="34" l="1"/>
  <c r="E11" i="34"/>
  <c r="E15" i="34"/>
  <c r="E14" i="34" s="1"/>
  <c r="D14" i="34"/>
  <c r="A228" i="66"/>
  <c r="I228" i="66" s="1"/>
  <c r="B228" i="66"/>
  <c r="B276" i="66" s="1"/>
  <c r="A229" i="66"/>
  <c r="A277" i="66" s="1"/>
  <c r="B229" i="66"/>
  <c r="B277" i="66" s="1"/>
  <c r="I180" i="66"/>
  <c r="I181" i="66"/>
  <c r="B84" i="66"/>
  <c r="B132" i="66" s="1"/>
  <c r="B85" i="66"/>
  <c r="B133" i="66" s="1"/>
  <c r="A84" i="66"/>
  <c r="I84" i="66" s="1"/>
  <c r="A85" i="66"/>
  <c r="A133" i="66" s="1"/>
  <c r="I36" i="66"/>
  <c r="I37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6" i="66" l="1"/>
  <c r="I276" i="66" s="1"/>
  <c r="A497" i="41"/>
  <c r="A496" i="41"/>
  <c r="I277" i="66"/>
  <c r="I229" i="66"/>
  <c r="I85" i="66"/>
  <c r="A132" i="66"/>
  <c r="I133" i="66"/>
  <c r="F487" i="41"/>
  <c r="I132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I148" i="66"/>
  <c r="I149" i="66"/>
  <c r="I150" i="66"/>
  <c r="I151" i="66"/>
  <c r="I152" i="66"/>
  <c r="I153" i="66"/>
  <c r="I154" i="66"/>
  <c r="I155" i="66"/>
  <c r="I156" i="66"/>
  <c r="I157" i="66"/>
  <c r="I158" i="66"/>
  <c r="I159" i="66"/>
  <c r="I160" i="66"/>
  <c r="I161" i="66"/>
  <c r="I162" i="66"/>
  <c r="I163" i="66"/>
  <c r="I165" i="66"/>
  <c r="I166" i="66"/>
  <c r="I167" i="66"/>
  <c r="I168" i="66"/>
  <c r="I169" i="66"/>
  <c r="I170" i="66"/>
  <c r="I171" i="66"/>
  <c r="I172" i="66"/>
  <c r="I173" i="66"/>
  <c r="I174" i="66"/>
  <c r="I175" i="66"/>
  <c r="I176" i="66"/>
  <c r="I177" i="66"/>
  <c r="I178" i="66"/>
  <c r="I179" i="66"/>
  <c r="I182" i="66"/>
  <c r="I183" i="66"/>
  <c r="I184" i="66"/>
  <c r="I185" i="66"/>
  <c r="I186" i="66"/>
  <c r="I187" i="66"/>
  <c r="I188" i="66"/>
  <c r="I189" i="66"/>
  <c r="I190" i="66"/>
  <c r="I191" i="66"/>
  <c r="I192" i="66"/>
  <c r="I193" i="66"/>
  <c r="I194" i="66"/>
  <c r="I195" i="66"/>
  <c r="A4" i="58" l="1"/>
  <c r="D4" i="58"/>
  <c r="B4" i="58"/>
  <c r="C4" i="58"/>
  <c r="E2" i="76"/>
  <c r="B3" i="35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C2" i="76"/>
  <c r="D2" i="76"/>
  <c r="C22" i="17"/>
  <c r="C23" i="17"/>
  <c r="D23" i="17" s="1"/>
  <c r="I6" i="9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2" i="66"/>
  <c r="E52" i="66"/>
  <c r="A53" i="66"/>
  <c r="A101" i="66" s="1"/>
  <c r="E53" i="66"/>
  <c r="E54" i="66"/>
  <c r="A54" i="66"/>
  <c r="A102" i="66" s="1"/>
  <c r="E198" i="66"/>
  <c r="A198" i="66"/>
  <c r="E55" i="66"/>
  <c r="A55" i="66"/>
  <c r="A103" i="66" s="1"/>
  <c r="E199" i="66"/>
  <c r="A199" i="66"/>
  <c r="S199" i="66" s="1"/>
  <c r="A56" i="66"/>
  <c r="E56" i="66"/>
  <c r="E57" i="66"/>
  <c r="A57" i="66"/>
  <c r="E201" i="66"/>
  <c r="A201" i="66"/>
  <c r="A249" i="66" s="1"/>
  <c r="E58" i="66"/>
  <c r="A58" i="66"/>
  <c r="A106" i="66" s="1"/>
  <c r="E202" i="66"/>
  <c r="A202" i="66"/>
  <c r="A250" i="66" s="1"/>
  <c r="A59" i="66"/>
  <c r="A60" i="66"/>
  <c r="A61" i="66"/>
  <c r="A109" i="66" s="1"/>
  <c r="A62" i="66"/>
  <c r="I4" i="66"/>
  <c r="I5" i="66"/>
  <c r="I6" i="66"/>
  <c r="I9" i="66"/>
  <c r="I10" i="66"/>
  <c r="I11" i="66"/>
  <c r="I12" i="66"/>
  <c r="I13" i="66"/>
  <c r="I14" i="66"/>
  <c r="I15" i="66"/>
  <c r="I16" i="66"/>
  <c r="I17" i="66"/>
  <c r="I18" i="66"/>
  <c r="I19" i="66"/>
  <c r="I21" i="66"/>
  <c r="I22" i="66"/>
  <c r="I23" i="66"/>
  <c r="I24" i="66"/>
  <c r="I25" i="66"/>
  <c r="I26" i="66"/>
  <c r="I27" i="66"/>
  <c r="I28" i="66"/>
  <c r="I29" i="66"/>
  <c r="I30" i="66"/>
  <c r="I31" i="66"/>
  <c r="I32" i="66"/>
  <c r="I33" i="66"/>
  <c r="I34" i="66"/>
  <c r="I35" i="66"/>
  <c r="I38" i="66"/>
  <c r="I39" i="66"/>
  <c r="I40" i="66"/>
  <c r="I41" i="66"/>
  <c r="I42" i="66"/>
  <c r="I43" i="66"/>
  <c r="I44" i="66"/>
  <c r="I45" i="66"/>
  <c r="I46" i="66"/>
  <c r="I47" i="66"/>
  <c r="I48" i="66"/>
  <c r="I49" i="66"/>
  <c r="I50" i="66"/>
  <c r="I51" i="66"/>
  <c r="E59" i="66"/>
  <c r="E60" i="66"/>
  <c r="E61" i="66"/>
  <c r="E62" i="66"/>
  <c r="E63" i="66"/>
  <c r="A63" i="66"/>
  <c r="E64" i="66"/>
  <c r="A64" i="66"/>
  <c r="E65" i="66"/>
  <c r="A65" i="66"/>
  <c r="E66" i="66"/>
  <c r="A66" i="66"/>
  <c r="A114" i="66" s="1"/>
  <c r="E67" i="66"/>
  <c r="A67" i="66"/>
  <c r="E68" i="66"/>
  <c r="A68" i="66"/>
  <c r="E69" i="66"/>
  <c r="A69" i="66"/>
  <c r="A117" i="66" s="1"/>
  <c r="E70" i="66"/>
  <c r="A70" i="66"/>
  <c r="E71" i="66"/>
  <c r="A71" i="66"/>
  <c r="E72" i="66"/>
  <c r="A72" i="66"/>
  <c r="A120" i="66" s="1"/>
  <c r="E73" i="66"/>
  <c r="A73" i="66"/>
  <c r="E74" i="66"/>
  <c r="A74" i="66"/>
  <c r="A122" i="66" s="1"/>
  <c r="E75" i="66"/>
  <c r="A75" i="66"/>
  <c r="E76" i="66"/>
  <c r="A76" i="66"/>
  <c r="E77" i="66"/>
  <c r="A77" i="66"/>
  <c r="A125" i="66" s="1"/>
  <c r="E78" i="66"/>
  <c r="A78" i="66"/>
  <c r="A126" i="66" s="1"/>
  <c r="E79" i="66"/>
  <c r="A79" i="66"/>
  <c r="E80" i="66"/>
  <c r="A80" i="66"/>
  <c r="E81" i="66"/>
  <c r="A81" i="66"/>
  <c r="E82" i="66"/>
  <c r="A82" i="66"/>
  <c r="A130" i="66" s="1"/>
  <c r="E83" i="66"/>
  <c r="A83" i="66"/>
  <c r="A131" i="66" s="1"/>
  <c r="E86" i="66"/>
  <c r="A86" i="66"/>
  <c r="A134" i="66" s="1"/>
  <c r="E87" i="66"/>
  <c r="A87" i="66"/>
  <c r="E88" i="66"/>
  <c r="A88" i="66"/>
  <c r="E89" i="66"/>
  <c r="A89" i="66"/>
  <c r="A137" i="66" s="1"/>
  <c r="E90" i="66"/>
  <c r="A90" i="66"/>
  <c r="E91" i="66"/>
  <c r="A91" i="66"/>
  <c r="A139" i="66" s="1"/>
  <c r="E92" i="66"/>
  <c r="A92" i="66"/>
  <c r="A140" i="66" s="1"/>
  <c r="E93" i="66"/>
  <c r="A93" i="66"/>
  <c r="E94" i="66"/>
  <c r="A94" i="66"/>
  <c r="E95" i="66"/>
  <c r="A95" i="66"/>
  <c r="E96" i="66"/>
  <c r="A96" i="66"/>
  <c r="A144" i="66" s="1"/>
  <c r="E97" i="66"/>
  <c r="A97" i="66"/>
  <c r="E98" i="66"/>
  <c r="A98" i="66"/>
  <c r="A146" i="66" s="1"/>
  <c r="E99" i="66"/>
  <c r="A99" i="66"/>
  <c r="E118" i="66"/>
  <c r="E122" i="66"/>
  <c r="E196" i="66"/>
  <c r="A196" i="66"/>
  <c r="A244" i="66" s="1"/>
  <c r="E197" i="66"/>
  <c r="A197" i="66"/>
  <c r="A245" i="66" s="1"/>
  <c r="E200" i="66"/>
  <c r="A200" i="66"/>
  <c r="E203" i="66"/>
  <c r="A203" i="66"/>
  <c r="A251" i="66" s="1"/>
  <c r="E204" i="66"/>
  <c r="A204" i="66"/>
  <c r="E205" i="66"/>
  <c r="A205" i="66"/>
  <c r="A253" i="66" s="1"/>
  <c r="E206" i="66"/>
  <c r="A206" i="66"/>
  <c r="E207" i="66"/>
  <c r="A207" i="66"/>
  <c r="E208" i="66"/>
  <c r="A208" i="66"/>
  <c r="A256" i="66" s="1"/>
  <c r="E209" i="66"/>
  <c r="A209" i="66"/>
  <c r="A257" i="66" s="1"/>
  <c r="E210" i="66"/>
  <c r="A210" i="66"/>
  <c r="E211" i="66"/>
  <c r="A211" i="66"/>
  <c r="E212" i="66"/>
  <c r="A212" i="66"/>
  <c r="E213" i="66"/>
  <c r="A213" i="66"/>
  <c r="A261" i="66" s="1"/>
  <c r="E214" i="66"/>
  <c r="A214" i="66"/>
  <c r="E215" i="66"/>
  <c r="A215" i="66"/>
  <c r="E216" i="66"/>
  <c r="A216" i="66"/>
  <c r="E217" i="66"/>
  <c r="A217" i="66"/>
  <c r="E218" i="66"/>
  <c r="A218" i="66"/>
  <c r="E219" i="66"/>
  <c r="A219" i="66"/>
  <c r="A267" i="66" s="1"/>
  <c r="E220" i="66"/>
  <c r="A220" i="66"/>
  <c r="E221" i="66"/>
  <c r="A221" i="66"/>
  <c r="A269" i="66" s="1"/>
  <c r="E222" i="66"/>
  <c r="A222" i="66"/>
  <c r="E223" i="66"/>
  <c r="A223" i="66"/>
  <c r="E224" i="66"/>
  <c r="A224" i="66"/>
  <c r="A272" i="66" s="1"/>
  <c r="E225" i="66"/>
  <c r="A225" i="66"/>
  <c r="A273" i="66" s="1"/>
  <c r="E226" i="66"/>
  <c r="A226" i="66"/>
  <c r="E227" i="66"/>
  <c r="A227" i="66"/>
  <c r="E230" i="66"/>
  <c r="A230" i="66"/>
  <c r="E231" i="66"/>
  <c r="A231" i="66"/>
  <c r="E232" i="66"/>
  <c r="A232" i="66"/>
  <c r="E233" i="66"/>
  <c r="A233" i="66"/>
  <c r="A281" i="66" s="1"/>
  <c r="E234" i="66"/>
  <c r="A234" i="66"/>
  <c r="E235" i="66"/>
  <c r="A235" i="66"/>
  <c r="E236" i="66"/>
  <c r="A236" i="66"/>
  <c r="E237" i="66"/>
  <c r="A237" i="66"/>
  <c r="E238" i="66"/>
  <c r="A238" i="66"/>
  <c r="E239" i="66"/>
  <c r="A239" i="66"/>
  <c r="A287" i="66" s="1"/>
  <c r="E240" i="66"/>
  <c r="A240" i="66"/>
  <c r="E241" i="66"/>
  <c r="A241" i="66"/>
  <c r="E242" i="66"/>
  <c r="A242" i="66"/>
  <c r="E243" i="66"/>
  <c r="A243" i="66"/>
  <c r="E265" i="66"/>
  <c r="S7" i="66"/>
  <c r="S151" i="66"/>
  <c r="I7" i="66"/>
  <c r="I8" i="66"/>
  <c r="B243" i="66"/>
  <c r="B291" i="66" s="1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65" i="66"/>
  <c r="B113" i="66" s="1"/>
  <c r="B209" i="66"/>
  <c r="B257" i="66" s="1"/>
  <c r="B78" i="66"/>
  <c r="B126" i="66" s="1"/>
  <c r="B222" i="66"/>
  <c r="B270" i="66" s="1"/>
  <c r="B90" i="66"/>
  <c r="B138" i="66" s="1"/>
  <c r="B234" i="66"/>
  <c r="B282" i="66" s="1"/>
  <c r="B233" i="66"/>
  <c r="B281" i="66" s="1"/>
  <c r="B232" i="66"/>
  <c r="B280" i="66" s="1"/>
  <c r="B231" i="66"/>
  <c r="B279" i="66" s="1"/>
  <c r="B230" i="66"/>
  <c r="B278" i="66" s="1"/>
  <c r="B227" i="66"/>
  <c r="B275" i="66" s="1"/>
  <c r="B226" i="66"/>
  <c r="B274" i="66" s="1"/>
  <c r="B225" i="66"/>
  <c r="B273" i="66" s="1"/>
  <c r="B224" i="66"/>
  <c r="B272" i="66" s="1"/>
  <c r="B223" i="66"/>
  <c r="B271" i="66" s="1"/>
  <c r="B221" i="66"/>
  <c r="B269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8" i="66"/>
  <c r="B256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99" i="66"/>
  <c r="B147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89" i="66"/>
  <c r="B137" i="66" s="1"/>
  <c r="B88" i="66"/>
  <c r="B136" i="66" s="1"/>
  <c r="B87" i="66"/>
  <c r="B135" i="66" s="1"/>
  <c r="B86" i="66"/>
  <c r="B134" i="66" s="1"/>
  <c r="B83" i="66"/>
  <c r="B131" i="66" s="1"/>
  <c r="B82" i="66"/>
  <c r="B130" i="66" s="1"/>
  <c r="B81" i="66"/>
  <c r="B129" i="66" s="1"/>
  <c r="B80" i="66"/>
  <c r="B128" i="66" s="1"/>
  <c r="B79" i="66"/>
  <c r="B127" i="66" s="1"/>
  <c r="B77" i="66"/>
  <c r="B125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4" i="66"/>
  <c r="B112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I8" i="9"/>
  <c r="I9" i="9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E269" i="66" l="1"/>
  <c r="F95" i="41"/>
  <c r="D4" i="76"/>
  <c r="D3" i="76"/>
  <c r="D5" i="76"/>
  <c r="D6" i="76"/>
  <c r="F48" i="74"/>
  <c r="F42" i="74"/>
  <c r="F36" i="74"/>
  <c r="F30" i="74"/>
  <c r="F24" i="74"/>
  <c r="F18" i="74"/>
  <c r="F12" i="74"/>
  <c r="F47" i="74"/>
  <c r="F23" i="74"/>
  <c r="F22" i="74"/>
  <c r="F6" i="74"/>
  <c r="F41" i="74"/>
  <c r="F11" i="74"/>
  <c r="F28" i="74"/>
  <c r="F29" i="74"/>
  <c r="F40" i="74"/>
  <c r="F16" i="74"/>
  <c r="F43" i="74"/>
  <c r="F13" i="74"/>
  <c r="F5" i="74"/>
  <c r="F34" i="74"/>
  <c r="F46" i="74"/>
  <c r="F10" i="74"/>
  <c r="AE1" i="74"/>
  <c r="F49" i="74"/>
  <c r="F19" i="74"/>
  <c r="F37" i="74"/>
  <c r="F51" i="74"/>
  <c r="F45" i="74"/>
  <c r="F39" i="74"/>
  <c r="F33" i="74"/>
  <c r="F27" i="74"/>
  <c r="F21" i="74"/>
  <c r="F15" i="74"/>
  <c r="F9" i="74"/>
  <c r="F50" i="74"/>
  <c r="F44" i="74"/>
  <c r="F38" i="74"/>
  <c r="F32" i="74"/>
  <c r="F26" i="74"/>
  <c r="F20" i="74"/>
  <c r="F14" i="74"/>
  <c r="F8" i="74"/>
  <c r="F25" i="74"/>
  <c r="F7" i="74"/>
  <c r="F35" i="74"/>
  <c r="F17" i="74"/>
  <c r="F31" i="74"/>
  <c r="D7" i="74"/>
  <c r="D48" i="74"/>
  <c r="D42" i="74"/>
  <c r="D36" i="74"/>
  <c r="D30" i="74"/>
  <c r="D24" i="74"/>
  <c r="P24" i="74" s="1"/>
  <c r="D18" i="74"/>
  <c r="P18" i="74" s="1"/>
  <c r="D12" i="74"/>
  <c r="D8" i="74"/>
  <c r="P8" i="74" s="1"/>
  <c r="D70" i="74"/>
  <c r="P70" i="74" s="1"/>
  <c r="D47" i="74"/>
  <c r="P47" i="74" s="1"/>
  <c r="D41" i="74"/>
  <c r="D35" i="74"/>
  <c r="D29" i="74"/>
  <c r="P29" i="74" s="1"/>
  <c r="D23" i="74"/>
  <c r="D17" i="74"/>
  <c r="D11" i="74"/>
  <c r="P11" i="74" s="1"/>
  <c r="D5" i="74"/>
  <c r="P5" i="74" s="1"/>
  <c r="D46" i="74"/>
  <c r="D40" i="74"/>
  <c r="P40" i="74" s="1"/>
  <c r="D34" i="74"/>
  <c r="P34" i="74" s="1"/>
  <c r="D28" i="74"/>
  <c r="D22" i="74"/>
  <c r="P22" i="74" s="1"/>
  <c r="D16" i="74"/>
  <c r="D10" i="74"/>
  <c r="D4" i="74"/>
  <c r="P4" i="74" s="1"/>
  <c r="D39" i="74"/>
  <c r="P39" i="74" s="1"/>
  <c r="D27" i="74"/>
  <c r="P27" i="74" s="1"/>
  <c r="D21" i="74"/>
  <c r="D9" i="74"/>
  <c r="D50" i="74"/>
  <c r="D32" i="74"/>
  <c r="D20" i="74"/>
  <c r="D51" i="74"/>
  <c r="P51" i="74" s="1"/>
  <c r="D45" i="74"/>
  <c r="D33" i="74"/>
  <c r="P33" i="74" s="1"/>
  <c r="D15" i="74"/>
  <c r="P15" i="74" s="1"/>
  <c r="D14" i="74"/>
  <c r="P14" i="74" s="1"/>
  <c r="D44" i="74"/>
  <c r="P44" i="74" s="1"/>
  <c r="D26" i="74"/>
  <c r="D49" i="74"/>
  <c r="D43" i="74"/>
  <c r="P43" i="74" s="1"/>
  <c r="D37" i="74"/>
  <c r="D31" i="74"/>
  <c r="P31" i="74" s="1"/>
  <c r="D25" i="74"/>
  <c r="P25" i="74" s="1"/>
  <c r="D19" i="74"/>
  <c r="P19" i="74" s="1"/>
  <c r="D13" i="74"/>
  <c r="P13" i="74" s="1"/>
  <c r="D6" i="74"/>
  <c r="D89" i="74"/>
  <c r="D84" i="74"/>
  <c r="D82" i="74"/>
  <c r="P82" i="74" s="1"/>
  <c r="D58" i="74"/>
  <c r="D76" i="74"/>
  <c r="D88" i="74"/>
  <c r="P88" i="74" s="1"/>
  <c r="D139" i="74"/>
  <c r="P139" i="74" s="1"/>
  <c r="D55" i="74"/>
  <c r="D97" i="74"/>
  <c r="D67" i="74"/>
  <c r="P67" i="74" s="1"/>
  <c r="D92" i="74"/>
  <c r="P92" i="74" s="1"/>
  <c r="D95" i="74"/>
  <c r="P95" i="74" s="1"/>
  <c r="D57" i="74"/>
  <c r="D75" i="74"/>
  <c r="P75" i="74" s="1"/>
  <c r="D81" i="74"/>
  <c r="P81" i="74" s="1"/>
  <c r="D91" i="74"/>
  <c r="P91" i="74" s="1"/>
  <c r="D74" i="74"/>
  <c r="D71" i="74"/>
  <c r="D136" i="74"/>
  <c r="P136" i="74" s="1"/>
  <c r="D73" i="74"/>
  <c r="P73" i="74" s="1"/>
  <c r="D87" i="74"/>
  <c r="P87" i="74" s="1"/>
  <c r="D98" i="74"/>
  <c r="D64" i="74"/>
  <c r="D93" i="74"/>
  <c r="D62" i="74"/>
  <c r="P62" i="74" s="1"/>
  <c r="D54" i="74"/>
  <c r="D52" i="74"/>
  <c r="P52" i="74" s="1"/>
  <c r="D66" i="74"/>
  <c r="P66" i="74" s="1"/>
  <c r="D99" i="74"/>
  <c r="P99" i="74" s="1"/>
  <c r="D130" i="74"/>
  <c r="P130" i="74" s="1"/>
  <c r="D77" i="74"/>
  <c r="P77" i="74" s="1"/>
  <c r="D121" i="74"/>
  <c r="P121" i="74" s="1"/>
  <c r="D80" i="74"/>
  <c r="D68" i="74"/>
  <c r="D60" i="74"/>
  <c r="D109" i="74"/>
  <c r="P109" i="74" s="1"/>
  <c r="D69" i="74"/>
  <c r="D65" i="74"/>
  <c r="D100" i="74"/>
  <c r="P100" i="74" s="1"/>
  <c r="D85" i="74"/>
  <c r="D78" i="74"/>
  <c r="D96" i="74"/>
  <c r="D53" i="74"/>
  <c r="P53" i="74" s="1"/>
  <c r="D61" i="74"/>
  <c r="P61" i="74" s="1"/>
  <c r="D56" i="74"/>
  <c r="P56" i="74" s="1"/>
  <c r="D72" i="74"/>
  <c r="P72" i="74" s="1"/>
  <c r="D63" i="74"/>
  <c r="P63" i="74" s="1"/>
  <c r="D83" i="74"/>
  <c r="D59" i="74"/>
  <c r="P59" i="74" s="1"/>
  <c r="D79" i="74"/>
  <c r="P79" i="74" s="1"/>
  <c r="D94" i="74"/>
  <c r="D90" i="74"/>
  <c r="D145" i="74"/>
  <c r="D103" i="74"/>
  <c r="D117" i="74"/>
  <c r="D111" i="74"/>
  <c r="P111" i="74" s="1"/>
  <c r="D147" i="74"/>
  <c r="P147" i="74" s="1"/>
  <c r="D112" i="74"/>
  <c r="D143" i="74"/>
  <c r="P143" i="74" s="1"/>
  <c r="D132" i="74"/>
  <c r="D116" i="74"/>
  <c r="D128" i="74"/>
  <c r="D144" i="74"/>
  <c r="D126" i="74"/>
  <c r="D118" i="74"/>
  <c r="P118" i="74" s="1"/>
  <c r="D102" i="74"/>
  <c r="D135" i="74"/>
  <c r="P135" i="74" s="1"/>
  <c r="D110" i="74"/>
  <c r="P110" i="74" s="1"/>
  <c r="D120" i="74"/>
  <c r="P120" i="74" s="1"/>
  <c r="D104" i="74"/>
  <c r="P104" i="74" s="1"/>
  <c r="D122" i="74"/>
  <c r="D127" i="74"/>
  <c r="P127" i="74" s="1"/>
  <c r="D114" i="74"/>
  <c r="P114" i="74" s="1"/>
  <c r="D108" i="74"/>
  <c r="D124" i="74"/>
  <c r="D101" i="74"/>
  <c r="P101" i="74" s="1"/>
  <c r="D131" i="74"/>
  <c r="D125" i="74"/>
  <c r="P125" i="74" s="1"/>
  <c r="D129" i="74"/>
  <c r="P129" i="74" s="1"/>
  <c r="D107" i="74"/>
  <c r="P107" i="74" s="1"/>
  <c r="D115" i="74"/>
  <c r="P115" i="74" s="1"/>
  <c r="D133" i="74"/>
  <c r="D105" i="74"/>
  <c r="D140" i="74"/>
  <c r="P140" i="74" s="1"/>
  <c r="D137" i="74"/>
  <c r="D138" i="74"/>
  <c r="D142" i="74"/>
  <c r="D106" i="74"/>
  <c r="D146" i="74"/>
  <c r="D141" i="74"/>
  <c r="D113" i="74"/>
  <c r="D123" i="74"/>
  <c r="P123" i="74" s="1"/>
  <c r="D119" i="74"/>
  <c r="F139" i="74"/>
  <c r="F127" i="74"/>
  <c r="F115" i="74"/>
  <c r="F103" i="74"/>
  <c r="F117" i="74"/>
  <c r="F138" i="74"/>
  <c r="F126" i="74"/>
  <c r="F114" i="74"/>
  <c r="F102" i="74"/>
  <c r="F137" i="74"/>
  <c r="F125" i="74"/>
  <c r="F113" i="74"/>
  <c r="F101" i="74"/>
  <c r="F141" i="74"/>
  <c r="F136" i="74"/>
  <c r="F124" i="74"/>
  <c r="F112" i="74"/>
  <c r="F100" i="74"/>
  <c r="F147" i="74"/>
  <c r="F135" i="74"/>
  <c r="F123" i="74"/>
  <c r="F111" i="74"/>
  <c r="F129" i="74"/>
  <c r="F146" i="74"/>
  <c r="F134" i="74"/>
  <c r="F122" i="74"/>
  <c r="F110" i="74"/>
  <c r="F145" i="74"/>
  <c r="F133" i="74"/>
  <c r="F121" i="74"/>
  <c r="F109" i="74"/>
  <c r="F144" i="74"/>
  <c r="F132" i="74"/>
  <c r="F120" i="74"/>
  <c r="F108" i="74"/>
  <c r="AE3" i="74"/>
  <c r="F143" i="74"/>
  <c r="F131" i="74"/>
  <c r="F119" i="74"/>
  <c r="F107" i="74"/>
  <c r="F142" i="74"/>
  <c r="F130" i="74"/>
  <c r="F118" i="74"/>
  <c r="F106" i="74"/>
  <c r="F140" i="74"/>
  <c r="F128" i="74"/>
  <c r="F116" i="74"/>
  <c r="F104" i="74"/>
  <c r="F105" i="74"/>
  <c r="F97" i="74"/>
  <c r="F94" i="74"/>
  <c r="F91" i="74"/>
  <c r="F88" i="74"/>
  <c r="F58" i="74"/>
  <c r="F56" i="74"/>
  <c r="F85" i="74"/>
  <c r="F82" i="74"/>
  <c r="F79" i="74"/>
  <c r="F76" i="74"/>
  <c r="F73" i="74"/>
  <c r="F70" i="74"/>
  <c r="F61" i="74"/>
  <c r="F62" i="74"/>
  <c r="F67" i="74"/>
  <c r="F55" i="74"/>
  <c r="F68" i="74"/>
  <c r="F59" i="74"/>
  <c r="F99" i="74"/>
  <c r="F96" i="74"/>
  <c r="F93" i="74"/>
  <c r="F90" i="74"/>
  <c r="F87" i="74"/>
  <c r="F65" i="74"/>
  <c r="F84" i="74"/>
  <c r="F81" i="74"/>
  <c r="F78" i="74"/>
  <c r="F75" i="74"/>
  <c r="F72" i="74"/>
  <c r="F69" i="74"/>
  <c r="F66" i="74"/>
  <c r="F63" i="74"/>
  <c r="F60" i="74"/>
  <c r="F57" i="74"/>
  <c r="F54" i="74"/>
  <c r="F53" i="74"/>
  <c r="F98" i="74"/>
  <c r="F95" i="74"/>
  <c r="F92" i="74"/>
  <c r="F89" i="74"/>
  <c r="AE2" i="74"/>
  <c r="F86" i="74"/>
  <c r="F83" i="74"/>
  <c r="F80" i="74"/>
  <c r="F77" i="74"/>
  <c r="F74" i="74"/>
  <c r="F71" i="74"/>
  <c r="F64" i="74"/>
  <c r="F52" i="74"/>
  <c r="P36" i="70"/>
  <c r="AD1" i="66"/>
  <c r="P38" i="70"/>
  <c r="AD3" i="66"/>
  <c r="P37" i="70"/>
  <c r="AD2" i="66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S55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E279" i="66"/>
  <c r="E244" i="66"/>
  <c r="E130" i="66"/>
  <c r="D348" i="38"/>
  <c r="D43" i="38"/>
  <c r="E273" i="66"/>
  <c r="E126" i="66"/>
  <c r="D337" i="38"/>
  <c r="D230" i="38"/>
  <c r="E261" i="66"/>
  <c r="E114" i="66"/>
  <c r="C37" i="57"/>
  <c r="E4" i="17"/>
  <c r="D174" i="38"/>
  <c r="B28" i="63"/>
  <c r="E291" i="66"/>
  <c r="E257" i="66"/>
  <c r="E144" i="66"/>
  <c r="E110" i="66"/>
  <c r="C74" i="57"/>
  <c r="C36" i="57"/>
  <c r="D173" i="38"/>
  <c r="D48" i="26"/>
  <c r="J4" i="6"/>
  <c r="L11" i="39"/>
  <c r="E287" i="66"/>
  <c r="E253" i="66"/>
  <c r="E140" i="66"/>
  <c r="C73" i="57"/>
  <c r="G11" i="32"/>
  <c r="I4" i="20"/>
  <c r="E283" i="66"/>
  <c r="E136" i="66"/>
  <c r="E101" i="66"/>
  <c r="D349" i="38"/>
  <c r="A247" i="66"/>
  <c r="S247" i="66" s="1"/>
  <c r="I53" i="66"/>
  <c r="C99" i="66"/>
  <c r="P99" i="66" s="1"/>
  <c r="C93" i="66"/>
  <c r="C79" i="66"/>
  <c r="P79" i="66" s="1"/>
  <c r="C67" i="66"/>
  <c r="P67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6" i="66"/>
  <c r="P56" i="66" s="1"/>
  <c r="C97" i="66"/>
  <c r="C65" i="66"/>
  <c r="C236" i="66"/>
  <c r="P236" i="66" s="1"/>
  <c r="V236" i="66" s="1"/>
  <c r="C222" i="66"/>
  <c r="C216" i="66"/>
  <c r="P216" i="66" s="1"/>
  <c r="V216" i="66" s="1"/>
  <c r="C76" i="66"/>
  <c r="C55" i="66"/>
  <c r="C103" i="66"/>
  <c r="C81" i="66"/>
  <c r="P81" i="66" s="1"/>
  <c r="C75" i="66"/>
  <c r="P75" i="66" s="1"/>
  <c r="C240" i="66"/>
  <c r="C234" i="66"/>
  <c r="C226" i="66"/>
  <c r="P226" i="66" s="1"/>
  <c r="V226" i="66" s="1"/>
  <c r="C53" i="66"/>
  <c r="P53" i="66" s="1"/>
  <c r="C218" i="66"/>
  <c r="C94" i="66"/>
  <c r="B3" i="8"/>
  <c r="E180" i="66"/>
  <c r="E181" i="66"/>
  <c r="E36" i="66"/>
  <c r="E37" i="66"/>
  <c r="D401" i="38"/>
  <c r="D398" i="38"/>
  <c r="D3" i="8"/>
  <c r="E276" i="66"/>
  <c r="E277" i="66"/>
  <c r="D403" i="38"/>
  <c r="E132" i="66"/>
  <c r="E133" i="66"/>
  <c r="D400" i="38"/>
  <c r="C10" i="66"/>
  <c r="C22" i="66"/>
  <c r="P22" i="66" s="1"/>
  <c r="C34" i="66"/>
  <c r="P34" i="66" s="1"/>
  <c r="C46" i="66"/>
  <c r="C154" i="66"/>
  <c r="C166" i="66"/>
  <c r="P166" i="66" s="1"/>
  <c r="C178" i="66"/>
  <c r="P178" i="66" s="1"/>
  <c r="C192" i="66"/>
  <c r="C26" i="66"/>
  <c r="C4" i="66"/>
  <c r="P4" i="66" s="1"/>
  <c r="C180" i="66"/>
  <c r="C11" i="66"/>
  <c r="P11" i="66" s="1"/>
  <c r="C23" i="66"/>
  <c r="C35" i="66"/>
  <c r="C47" i="66"/>
  <c r="P47" i="66" s="1"/>
  <c r="C155" i="66"/>
  <c r="P155" i="66" s="1"/>
  <c r="C167" i="66"/>
  <c r="C179" i="66"/>
  <c r="C193" i="66"/>
  <c r="C170" i="66"/>
  <c r="C12" i="66"/>
  <c r="C24" i="66"/>
  <c r="P24" i="66" s="1"/>
  <c r="C36" i="66"/>
  <c r="C48" i="66"/>
  <c r="C156" i="66"/>
  <c r="C168" i="66"/>
  <c r="P168" i="66" s="1"/>
  <c r="C194" i="66"/>
  <c r="C50" i="66"/>
  <c r="C184" i="66"/>
  <c r="P184" i="66" s="1"/>
  <c r="C13" i="66"/>
  <c r="P13" i="66" s="1"/>
  <c r="C25" i="66"/>
  <c r="P25" i="66" s="1"/>
  <c r="C37" i="66"/>
  <c r="C49" i="66"/>
  <c r="C157" i="66"/>
  <c r="P157" i="66" s="1"/>
  <c r="C169" i="66"/>
  <c r="P169" i="66" s="1"/>
  <c r="C183" i="66"/>
  <c r="P183" i="66" s="1"/>
  <c r="C195" i="66"/>
  <c r="P195" i="66" s="1"/>
  <c r="C14" i="66"/>
  <c r="P14" i="66" s="1"/>
  <c r="C158" i="66"/>
  <c r="P158" i="66" s="1"/>
  <c r="C181" i="66"/>
  <c r="C15" i="66"/>
  <c r="P15" i="66" s="1"/>
  <c r="C27" i="66"/>
  <c r="P27" i="66" s="1"/>
  <c r="C39" i="66"/>
  <c r="P39" i="66" s="1"/>
  <c r="C51" i="66"/>
  <c r="P51" i="66" s="1"/>
  <c r="C159" i="66"/>
  <c r="P159" i="66" s="1"/>
  <c r="C171" i="66"/>
  <c r="P171" i="66" s="1"/>
  <c r="C185" i="66"/>
  <c r="C152" i="66"/>
  <c r="P152" i="66" s="1"/>
  <c r="V152" i="66" s="1"/>
  <c r="C45" i="66"/>
  <c r="C16" i="66"/>
  <c r="C28" i="66"/>
  <c r="C40" i="66"/>
  <c r="P40" i="66" s="1"/>
  <c r="C148" i="66"/>
  <c r="P148" i="66" s="1"/>
  <c r="C160" i="66"/>
  <c r="C172" i="66"/>
  <c r="C186" i="66"/>
  <c r="C32" i="66"/>
  <c r="C21" i="66"/>
  <c r="C191" i="66"/>
  <c r="P191" i="66" s="1"/>
  <c r="C5" i="66"/>
  <c r="P5" i="66" s="1"/>
  <c r="C17" i="66"/>
  <c r="C29" i="66"/>
  <c r="P29" i="66" s="1"/>
  <c r="C41" i="66"/>
  <c r="C149" i="66"/>
  <c r="P149" i="66" s="1"/>
  <c r="C161" i="66"/>
  <c r="C173" i="66"/>
  <c r="P173" i="66" s="1"/>
  <c r="C187" i="66"/>
  <c r="P187" i="66" s="1"/>
  <c r="C44" i="66"/>
  <c r="P44" i="66" s="1"/>
  <c r="C190" i="66"/>
  <c r="C153" i="66"/>
  <c r="C228" i="66"/>
  <c r="C6" i="66"/>
  <c r="C18" i="66"/>
  <c r="P18" i="66" s="1"/>
  <c r="C30" i="66"/>
  <c r="C42" i="66"/>
  <c r="C150" i="66"/>
  <c r="C162" i="66"/>
  <c r="P162" i="66" s="1"/>
  <c r="C174" i="66"/>
  <c r="C188" i="66"/>
  <c r="P188" i="66" s="1"/>
  <c r="C20" i="66"/>
  <c r="C176" i="66"/>
  <c r="C33" i="66"/>
  <c r="P33" i="66" s="1"/>
  <c r="C177" i="66"/>
  <c r="P177" i="66" s="1"/>
  <c r="C7" i="66"/>
  <c r="C19" i="66"/>
  <c r="P19" i="66" s="1"/>
  <c r="C31" i="66"/>
  <c r="P31" i="66" s="1"/>
  <c r="C43" i="66"/>
  <c r="P43" i="66" s="1"/>
  <c r="C151" i="66"/>
  <c r="C163" i="66"/>
  <c r="P163" i="66" s="1"/>
  <c r="C175" i="66"/>
  <c r="P175" i="66" s="1"/>
  <c r="C189" i="66"/>
  <c r="C164" i="66"/>
  <c r="C165" i="66"/>
  <c r="C8" i="66"/>
  <c r="P8" i="66" s="1"/>
  <c r="C9" i="66"/>
  <c r="C85" i="66"/>
  <c r="C276" i="66"/>
  <c r="C229" i="66"/>
  <c r="C84" i="66"/>
  <c r="C277" i="66"/>
  <c r="C133" i="66"/>
  <c r="C132" i="66"/>
  <c r="C3" i="8"/>
  <c r="E229" i="66"/>
  <c r="D402" i="38"/>
  <c r="E228" i="66"/>
  <c r="E84" i="66"/>
  <c r="D399" i="38"/>
  <c r="E85" i="66"/>
  <c r="A11" i="53"/>
  <c r="A17" i="53" s="1"/>
  <c r="I56" i="66"/>
  <c r="I52" i="66"/>
  <c r="A104" i="66"/>
  <c r="I104" i="66" s="1"/>
  <c r="A100" i="66"/>
  <c r="I100" i="66" s="1"/>
  <c r="I137" i="66"/>
  <c r="C137" i="66"/>
  <c r="I131" i="66"/>
  <c r="C131" i="66"/>
  <c r="I130" i="66"/>
  <c r="C130" i="66"/>
  <c r="P130" i="66" s="1"/>
  <c r="I257" i="66"/>
  <c r="C257" i="66"/>
  <c r="I73" i="66"/>
  <c r="C73" i="66"/>
  <c r="P73" i="66" s="1"/>
  <c r="I261" i="66"/>
  <c r="C261" i="66"/>
  <c r="I244" i="66"/>
  <c r="C244" i="66"/>
  <c r="P244" i="66" s="1"/>
  <c r="I238" i="66"/>
  <c r="C238" i="66"/>
  <c r="I232" i="66"/>
  <c r="C232" i="66"/>
  <c r="P232" i="66" s="1"/>
  <c r="I224" i="66"/>
  <c r="C224" i="66"/>
  <c r="A260" i="66"/>
  <c r="C260" i="66" s="1"/>
  <c r="C212" i="66"/>
  <c r="I196" i="66"/>
  <c r="C196" i="66"/>
  <c r="P196" i="66" s="1"/>
  <c r="I114" i="66"/>
  <c r="C114" i="66"/>
  <c r="P114" i="66" s="1"/>
  <c r="I61" i="66"/>
  <c r="C61" i="66"/>
  <c r="P61" i="66" s="1"/>
  <c r="A286" i="66"/>
  <c r="I98" i="66"/>
  <c r="C98" i="66"/>
  <c r="I92" i="66"/>
  <c r="C92" i="66"/>
  <c r="P92" i="66" s="1"/>
  <c r="I86" i="66"/>
  <c r="I78" i="66"/>
  <c r="C78" i="66"/>
  <c r="I72" i="66"/>
  <c r="C72" i="66"/>
  <c r="P72" i="66" s="1"/>
  <c r="I66" i="66"/>
  <c r="C66" i="66"/>
  <c r="P66" i="66" s="1"/>
  <c r="I60" i="66"/>
  <c r="C60" i="66"/>
  <c r="I199" i="66"/>
  <c r="C199" i="66"/>
  <c r="C52" i="66"/>
  <c r="P52" i="66" s="1"/>
  <c r="I206" i="66"/>
  <c r="C206" i="66"/>
  <c r="P206" i="66" s="1"/>
  <c r="I243" i="66"/>
  <c r="C243" i="66"/>
  <c r="P243" i="66" s="1"/>
  <c r="I237" i="66"/>
  <c r="C237" i="66"/>
  <c r="I231" i="66"/>
  <c r="C231" i="66"/>
  <c r="P231" i="66" s="1"/>
  <c r="I223" i="66"/>
  <c r="C223" i="66"/>
  <c r="P223" i="66" s="1"/>
  <c r="V223" i="66" s="1"/>
  <c r="I217" i="66"/>
  <c r="C217" i="66"/>
  <c r="P217" i="66" s="1"/>
  <c r="I211" i="66"/>
  <c r="C211" i="66"/>
  <c r="P211" i="66" s="1"/>
  <c r="V211" i="66" s="1"/>
  <c r="I205" i="66"/>
  <c r="C205" i="66"/>
  <c r="P205" i="66" s="1"/>
  <c r="I146" i="66"/>
  <c r="C146" i="66"/>
  <c r="I59" i="66"/>
  <c r="C59" i="66"/>
  <c r="P59" i="66" s="1"/>
  <c r="I281" i="66"/>
  <c r="C281" i="66"/>
  <c r="I144" i="66"/>
  <c r="C144" i="66"/>
  <c r="I126" i="66"/>
  <c r="C126" i="66"/>
  <c r="I109" i="66"/>
  <c r="C109" i="66"/>
  <c r="P109" i="66" s="1"/>
  <c r="V109" i="66" s="1"/>
  <c r="I91" i="66"/>
  <c r="C91" i="66"/>
  <c r="P91" i="66" s="1"/>
  <c r="I83" i="66"/>
  <c r="C83" i="66"/>
  <c r="I77" i="66"/>
  <c r="C77" i="66"/>
  <c r="P77" i="66" s="1"/>
  <c r="I71" i="66"/>
  <c r="C71" i="66"/>
  <c r="I202" i="66"/>
  <c r="C202" i="66"/>
  <c r="I55" i="66"/>
  <c r="I95" i="66"/>
  <c r="C95" i="66"/>
  <c r="P95" i="66" s="1"/>
  <c r="I256" i="66"/>
  <c r="C256" i="66"/>
  <c r="I242" i="66"/>
  <c r="C242" i="66"/>
  <c r="I210" i="66"/>
  <c r="C210" i="66"/>
  <c r="P210" i="66" s="1"/>
  <c r="I204" i="66"/>
  <c r="C204" i="66"/>
  <c r="I106" i="66"/>
  <c r="C106" i="66"/>
  <c r="I230" i="66"/>
  <c r="I273" i="66"/>
  <c r="C273" i="66"/>
  <c r="P273" i="66" s="1"/>
  <c r="I253" i="66"/>
  <c r="C253" i="66"/>
  <c r="P253" i="66" s="1"/>
  <c r="I140" i="66"/>
  <c r="C140" i="66"/>
  <c r="P140" i="66" s="1"/>
  <c r="I125" i="66"/>
  <c r="C125" i="66"/>
  <c r="P125" i="66" s="1"/>
  <c r="I96" i="66"/>
  <c r="C96" i="66"/>
  <c r="I90" i="66"/>
  <c r="C90" i="66"/>
  <c r="I82" i="66"/>
  <c r="C82" i="66"/>
  <c r="P82" i="66" s="1"/>
  <c r="I70" i="66"/>
  <c r="C70" i="66"/>
  <c r="P70" i="66" s="1"/>
  <c r="I64" i="66"/>
  <c r="C64" i="66"/>
  <c r="I58" i="66"/>
  <c r="C58" i="66"/>
  <c r="I241" i="66"/>
  <c r="C241" i="66"/>
  <c r="I235" i="66"/>
  <c r="C235" i="66"/>
  <c r="P235" i="66" s="1"/>
  <c r="I227" i="66"/>
  <c r="C227" i="66"/>
  <c r="I221" i="66"/>
  <c r="C221" i="66"/>
  <c r="P221" i="66" s="1"/>
  <c r="I215" i="66"/>
  <c r="C215" i="66"/>
  <c r="I209" i="66"/>
  <c r="C209" i="66"/>
  <c r="I203" i="66"/>
  <c r="C203" i="66"/>
  <c r="P203" i="66" s="1"/>
  <c r="I122" i="66"/>
  <c r="C122" i="66"/>
  <c r="I198" i="66"/>
  <c r="C198" i="66"/>
  <c r="I272" i="66"/>
  <c r="C272" i="66"/>
  <c r="I139" i="66"/>
  <c r="C139" i="66"/>
  <c r="P139" i="66" s="1"/>
  <c r="I69" i="66"/>
  <c r="C69" i="66"/>
  <c r="A111" i="66"/>
  <c r="C63" i="66"/>
  <c r="P63" i="66" s="1"/>
  <c r="I201" i="66"/>
  <c r="C201" i="66"/>
  <c r="I220" i="66"/>
  <c r="C220" i="66"/>
  <c r="I214" i="66"/>
  <c r="C214" i="66"/>
  <c r="P214" i="66" s="1"/>
  <c r="I208" i="66"/>
  <c r="C208" i="66"/>
  <c r="I200" i="66"/>
  <c r="C200" i="66"/>
  <c r="P200" i="66" s="1"/>
  <c r="A138" i="66"/>
  <c r="I120" i="66"/>
  <c r="C120" i="66"/>
  <c r="P120" i="66" s="1"/>
  <c r="I101" i="66"/>
  <c r="C101" i="66"/>
  <c r="P101" i="66" s="1"/>
  <c r="I54" i="66"/>
  <c r="C54" i="66"/>
  <c r="I88" i="66"/>
  <c r="C88" i="66"/>
  <c r="P88" i="66" s="1"/>
  <c r="I80" i="66"/>
  <c r="C80" i="66"/>
  <c r="I74" i="66"/>
  <c r="C74" i="66"/>
  <c r="A116" i="66"/>
  <c r="C116" i="66" s="1"/>
  <c r="C68" i="66"/>
  <c r="A105" i="66"/>
  <c r="C57" i="66"/>
  <c r="I251" i="66"/>
  <c r="C251" i="66"/>
  <c r="P251" i="66" s="1"/>
  <c r="I102" i="66"/>
  <c r="C102" i="66"/>
  <c r="I269" i="66"/>
  <c r="C269" i="66"/>
  <c r="P269" i="66" s="1"/>
  <c r="I250" i="66"/>
  <c r="C250" i="66"/>
  <c r="I249" i="66"/>
  <c r="C249" i="66"/>
  <c r="A119" i="66"/>
  <c r="I267" i="66"/>
  <c r="C267" i="66"/>
  <c r="P267" i="66" s="1"/>
  <c r="I239" i="66"/>
  <c r="C239" i="66"/>
  <c r="P239" i="66" s="1"/>
  <c r="V239" i="66" s="1"/>
  <c r="I233" i="66"/>
  <c r="C233" i="66"/>
  <c r="I225" i="66"/>
  <c r="C225" i="66"/>
  <c r="P225" i="66" s="1"/>
  <c r="I219" i="66"/>
  <c r="C219" i="66"/>
  <c r="P219" i="66" s="1"/>
  <c r="I213" i="66"/>
  <c r="C213" i="66"/>
  <c r="I207" i="66"/>
  <c r="C207" i="66"/>
  <c r="P207" i="66" s="1"/>
  <c r="I197" i="66"/>
  <c r="C197" i="66"/>
  <c r="P197" i="66" s="1"/>
  <c r="I89" i="66"/>
  <c r="C89" i="66"/>
  <c r="I287" i="66"/>
  <c r="C287" i="66"/>
  <c r="P287" i="66" s="1"/>
  <c r="I245" i="66"/>
  <c r="C245" i="66"/>
  <c r="P245" i="66" s="1"/>
  <c r="I134" i="66"/>
  <c r="I117" i="66"/>
  <c r="C117" i="66"/>
  <c r="I62" i="66"/>
  <c r="C62" i="66"/>
  <c r="P62" i="66" s="1"/>
  <c r="I87" i="66"/>
  <c r="C87" i="66"/>
  <c r="P87" i="66" s="1"/>
  <c r="A279" i="66"/>
  <c r="A259" i="66"/>
  <c r="A283" i="66"/>
  <c r="A263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4" i="66"/>
  <c r="I236" i="66"/>
  <c r="A264" i="66"/>
  <c r="I216" i="66"/>
  <c r="A127" i="66"/>
  <c r="I79" i="66"/>
  <c r="A285" i="66"/>
  <c r="A268" i="66"/>
  <c r="A143" i="66"/>
  <c r="A128" i="66"/>
  <c r="A147" i="66"/>
  <c r="I99" i="66"/>
  <c r="F47" i="39"/>
  <c r="A252" i="66"/>
  <c r="A110" i="66"/>
  <c r="A265" i="66"/>
  <c r="A270" i="66"/>
  <c r="I222" i="66"/>
  <c r="A141" i="66"/>
  <c r="I93" i="66"/>
  <c r="A115" i="66"/>
  <c r="I67" i="66"/>
  <c r="A288" i="66"/>
  <c r="I240" i="66"/>
  <c r="A282" i="66"/>
  <c r="I234" i="66"/>
  <c r="A274" i="66"/>
  <c r="I226" i="66"/>
  <c r="A145" i="66"/>
  <c r="I97" i="66"/>
  <c r="A113" i="66"/>
  <c r="I65" i="66"/>
  <c r="D25" i="6"/>
  <c r="O25" i="39"/>
  <c r="A124" i="66"/>
  <c r="I76" i="66"/>
  <c r="D23" i="6"/>
  <c r="C26" i="6"/>
  <c r="B24" i="6"/>
  <c r="A291" i="66"/>
  <c r="A278" i="66"/>
  <c r="A121" i="66"/>
  <c r="S103" i="66"/>
  <c r="I103" i="66"/>
  <c r="C25" i="6"/>
  <c r="B23" i="6"/>
  <c r="N29" i="39"/>
  <c r="A266" i="66"/>
  <c r="I218" i="66"/>
  <c r="A135" i="66"/>
  <c r="A129" i="66"/>
  <c r="I81" i="66"/>
  <c r="A123" i="66"/>
  <c r="I75" i="66"/>
  <c r="D20" i="6"/>
  <c r="C24" i="6"/>
  <c r="A290" i="66"/>
  <c r="A142" i="66"/>
  <c r="I94" i="66"/>
  <c r="I57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80" i="66"/>
  <c r="A262" i="66"/>
  <c r="I63" i="66"/>
  <c r="A108" i="66"/>
  <c r="O22" i="39"/>
  <c r="P28" i="39"/>
  <c r="Q28" i="39" s="1"/>
  <c r="A255" i="66"/>
  <c r="B22" i="6"/>
  <c r="C53" i="39"/>
  <c r="O21" i="39"/>
  <c r="A289" i="66"/>
  <c r="A271" i="66"/>
  <c r="A136" i="66"/>
  <c r="A118" i="66"/>
  <c r="G118" i="66" s="1"/>
  <c r="A107" i="66"/>
  <c r="C20" i="6"/>
  <c r="A254" i="66"/>
  <c r="A112" i="66"/>
  <c r="A248" i="66"/>
  <c r="F46" i="39"/>
  <c r="A275" i="66"/>
  <c r="A258" i="66"/>
  <c r="D22" i="6"/>
  <c r="A246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E249" i="66"/>
  <c r="E106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E248" i="66"/>
  <c r="E105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E260" i="66"/>
  <c r="E256" i="66"/>
  <c r="E252" i="66"/>
  <c r="E113" i="66"/>
  <c r="E109" i="66"/>
  <c r="E100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E290" i="66"/>
  <c r="E286" i="66"/>
  <c r="E282" i="66"/>
  <c r="E278" i="66"/>
  <c r="E272" i="66"/>
  <c r="E268" i="66"/>
  <c r="E264" i="66"/>
  <c r="E247" i="66"/>
  <c r="E147" i="66"/>
  <c r="E143" i="66"/>
  <c r="E139" i="66"/>
  <c r="E135" i="66"/>
  <c r="E129" i="66"/>
  <c r="E125" i="66"/>
  <c r="E121" i="66"/>
  <c r="E117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E104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E259" i="66"/>
  <c r="E255" i="66"/>
  <c r="E251" i="66"/>
  <c r="E116" i="66"/>
  <c r="E112" i="66"/>
  <c r="E108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E289" i="66"/>
  <c r="E285" i="66"/>
  <c r="E281" i="66"/>
  <c r="E275" i="66"/>
  <c r="E271" i="66"/>
  <c r="E267" i="66"/>
  <c r="E263" i="66"/>
  <c r="E246" i="66"/>
  <c r="E146" i="66"/>
  <c r="E142" i="66"/>
  <c r="E138" i="66"/>
  <c r="E134" i="66"/>
  <c r="E128" i="66"/>
  <c r="E124" i="66"/>
  <c r="E120" i="66"/>
  <c r="E103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E102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E258" i="66"/>
  <c r="E254" i="66"/>
  <c r="E115" i="66"/>
  <c r="E111" i="66"/>
  <c r="E107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E288" i="66"/>
  <c r="E284" i="66"/>
  <c r="E280" i="66"/>
  <c r="E274" i="66"/>
  <c r="E270" i="66"/>
  <c r="E266" i="66"/>
  <c r="E262" i="66"/>
  <c r="E245" i="66"/>
  <c r="E145" i="66"/>
  <c r="E141" i="66"/>
  <c r="E137" i="66"/>
  <c r="E131" i="66"/>
  <c r="E127" i="66"/>
  <c r="E123" i="66"/>
  <c r="E119" i="66"/>
  <c r="E250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E10" i="66"/>
  <c r="E41" i="66"/>
  <c r="E209" i="18"/>
  <c r="C13" i="53"/>
  <c r="D141" i="38"/>
  <c r="D199" i="38"/>
  <c r="D98" i="35"/>
  <c r="D50" i="35"/>
  <c r="E194" i="66"/>
  <c r="E462" i="18"/>
  <c r="D373" i="38"/>
  <c r="D140" i="38"/>
  <c r="E8" i="66"/>
  <c r="E167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E188" i="66"/>
  <c r="C51" i="22"/>
  <c r="C47" i="57"/>
  <c r="D11" i="35"/>
  <c r="D87" i="35"/>
  <c r="D54" i="35"/>
  <c r="R5" i="20"/>
  <c r="E40" i="66"/>
  <c r="E173" i="66"/>
  <c r="E39" i="66"/>
  <c r="D292" i="38"/>
  <c r="D244" i="38"/>
  <c r="D150" i="38"/>
  <c r="E25" i="66"/>
  <c r="C12" i="57"/>
  <c r="D354" i="38"/>
  <c r="D291" i="38"/>
  <c r="D243" i="38"/>
  <c r="D149" i="38"/>
  <c r="D5" i="38"/>
  <c r="C11" i="39"/>
  <c r="D30" i="22"/>
  <c r="E160" i="66"/>
  <c r="E24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E185" i="66"/>
  <c r="E11" i="66"/>
  <c r="E26" i="66"/>
  <c r="E42" i="66"/>
  <c r="E155" i="66"/>
  <c r="E161" i="66"/>
  <c r="E182" i="66"/>
  <c r="E195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E6" i="66"/>
  <c r="E12" i="66"/>
  <c r="E27" i="66"/>
  <c r="E43" i="66"/>
  <c r="E168" i="66"/>
  <c r="E174" i="66"/>
  <c r="E189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E150" i="66"/>
  <c r="E13" i="66"/>
  <c r="E28" i="66"/>
  <c r="E44" i="66"/>
  <c r="E148" i="66"/>
  <c r="E156" i="66"/>
  <c r="E162" i="66"/>
  <c r="E183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E9" i="66"/>
  <c r="E14" i="66"/>
  <c r="E29" i="66"/>
  <c r="E46" i="66"/>
  <c r="E154" i="66"/>
  <c r="E169" i="66"/>
  <c r="E175" i="66"/>
  <c r="E190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E21" i="66"/>
  <c r="E15" i="66"/>
  <c r="E30" i="66"/>
  <c r="E47" i="66"/>
  <c r="E149" i="66"/>
  <c r="E157" i="66"/>
  <c r="E163" i="66"/>
  <c r="E184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E23" i="66"/>
  <c r="E16" i="66"/>
  <c r="E31" i="66"/>
  <c r="E48" i="66"/>
  <c r="E170" i="66"/>
  <c r="E176" i="66"/>
  <c r="E191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E20" i="66"/>
  <c r="E45" i="66"/>
  <c r="E17" i="66"/>
  <c r="E32" i="66"/>
  <c r="E49" i="66"/>
  <c r="E158" i="66"/>
  <c r="E164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E35" i="66"/>
  <c r="E4" i="66"/>
  <c r="E18" i="66"/>
  <c r="E33" i="66"/>
  <c r="E51" i="66"/>
  <c r="E151" i="66"/>
  <c r="E165" i="66"/>
  <c r="E171" i="66"/>
  <c r="E177" i="66"/>
  <c r="E186" i="66"/>
  <c r="E192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E50" i="66"/>
  <c r="E5" i="66"/>
  <c r="E19" i="66"/>
  <c r="E34" i="66"/>
  <c r="E152" i="66"/>
  <c r="E159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E179" i="66"/>
  <c r="E7" i="66"/>
  <c r="E22" i="66"/>
  <c r="E38" i="66"/>
  <c r="E153" i="66"/>
  <c r="E166" i="66"/>
  <c r="E172" i="66"/>
  <c r="E178" i="66"/>
  <c r="E187" i="66"/>
  <c r="E193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G214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G64" i="66"/>
  <c r="F8" i="41"/>
  <c r="G97" i="66"/>
  <c r="G75" i="66"/>
  <c r="A19" i="8"/>
  <c r="C203" i="38"/>
  <c r="O44" i="39"/>
  <c r="G70" i="66"/>
  <c r="D72" i="35"/>
  <c r="D7" i="35"/>
  <c r="B76" i="22"/>
  <c r="B61" i="22"/>
  <c r="B16" i="22"/>
  <c r="B36" i="22"/>
  <c r="B41" i="22"/>
  <c r="B86" i="22"/>
  <c r="B51" i="22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G241" i="66"/>
  <c r="G219" i="66"/>
  <c r="G208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Q38" i="70"/>
  <c r="Q37" i="70"/>
  <c r="Q36" i="70"/>
  <c r="C247" i="66" l="1"/>
  <c r="D38" i="74"/>
  <c r="P38" i="74" s="1"/>
  <c r="R38" i="74" s="1"/>
  <c r="D86" i="74"/>
  <c r="P86" i="74" s="1"/>
  <c r="V86" i="74" s="1"/>
  <c r="I125" i="74"/>
  <c r="V123" i="74"/>
  <c r="R123" i="74"/>
  <c r="R115" i="74"/>
  <c r="V115" i="74"/>
  <c r="R120" i="74"/>
  <c r="V120" i="74"/>
  <c r="V147" i="74"/>
  <c r="R147" i="74"/>
  <c r="V56" i="74"/>
  <c r="R56" i="74"/>
  <c r="V67" i="74"/>
  <c r="R67" i="74"/>
  <c r="R19" i="74"/>
  <c r="V19" i="74"/>
  <c r="R22" i="74"/>
  <c r="V22" i="74"/>
  <c r="V47" i="74"/>
  <c r="R47" i="74"/>
  <c r="I10" i="74"/>
  <c r="I41" i="74"/>
  <c r="D134" i="74"/>
  <c r="P134" i="74" s="1"/>
  <c r="R51" i="74"/>
  <c r="V51" i="74"/>
  <c r="I132" i="74"/>
  <c r="V129" i="74"/>
  <c r="R129" i="74"/>
  <c r="R135" i="74"/>
  <c r="V135" i="74"/>
  <c r="V53" i="74"/>
  <c r="R53" i="74"/>
  <c r="R73" i="74"/>
  <c r="V73" i="74"/>
  <c r="V31" i="74"/>
  <c r="R31" i="74"/>
  <c r="R34" i="74"/>
  <c r="V34" i="74"/>
  <c r="V8" i="74"/>
  <c r="R8" i="74"/>
  <c r="I21" i="74"/>
  <c r="I85" i="74"/>
  <c r="I106" i="74"/>
  <c r="V125" i="74"/>
  <c r="R125" i="74"/>
  <c r="R77" i="74"/>
  <c r="V77" i="74"/>
  <c r="V136" i="74"/>
  <c r="R136" i="74"/>
  <c r="V139" i="74"/>
  <c r="R139" i="74"/>
  <c r="V40" i="74"/>
  <c r="R40" i="74"/>
  <c r="I5" i="74"/>
  <c r="V107" i="74"/>
  <c r="R107" i="74"/>
  <c r="V25" i="74"/>
  <c r="R25" i="74"/>
  <c r="I69" i="74"/>
  <c r="I109" i="74"/>
  <c r="R118" i="74"/>
  <c r="V118" i="74"/>
  <c r="V130" i="74"/>
  <c r="R130" i="74"/>
  <c r="V88" i="74"/>
  <c r="R88" i="74"/>
  <c r="V43" i="74"/>
  <c r="R43" i="74"/>
  <c r="R18" i="74"/>
  <c r="V18" i="74"/>
  <c r="I13" i="74"/>
  <c r="I58" i="74"/>
  <c r="I100" i="74"/>
  <c r="V101" i="74"/>
  <c r="R101" i="74"/>
  <c r="V99" i="74"/>
  <c r="R99" i="74"/>
  <c r="V5" i="74"/>
  <c r="R5" i="74"/>
  <c r="R24" i="74"/>
  <c r="V24" i="74"/>
  <c r="R110" i="74"/>
  <c r="V110" i="74"/>
  <c r="I89" i="74"/>
  <c r="I133" i="74"/>
  <c r="I117" i="74"/>
  <c r="R100" i="74"/>
  <c r="V100" i="74"/>
  <c r="R66" i="74"/>
  <c r="V66" i="74"/>
  <c r="R91" i="74"/>
  <c r="V91" i="74"/>
  <c r="R11" i="74"/>
  <c r="V11" i="74"/>
  <c r="I45" i="74"/>
  <c r="I4" i="74"/>
  <c r="V61" i="74"/>
  <c r="R61" i="74"/>
  <c r="I67" i="74"/>
  <c r="R79" i="74"/>
  <c r="V79" i="74"/>
  <c r="R52" i="74"/>
  <c r="V52" i="74"/>
  <c r="R81" i="74"/>
  <c r="V81" i="74"/>
  <c r="R82" i="74"/>
  <c r="V82" i="74"/>
  <c r="R44" i="74"/>
  <c r="V44" i="74"/>
  <c r="R27" i="74"/>
  <c r="V27" i="74"/>
  <c r="I16" i="74"/>
  <c r="V87" i="74"/>
  <c r="R87" i="74"/>
  <c r="V114" i="74"/>
  <c r="R114" i="74"/>
  <c r="V59" i="74"/>
  <c r="R59" i="74"/>
  <c r="V75" i="74"/>
  <c r="R75" i="74"/>
  <c r="R14" i="74"/>
  <c r="V14" i="74"/>
  <c r="V39" i="74"/>
  <c r="R39" i="74"/>
  <c r="I37" i="74"/>
  <c r="I137" i="74"/>
  <c r="V70" i="74"/>
  <c r="R70" i="74"/>
  <c r="I52" i="74"/>
  <c r="I84" i="74"/>
  <c r="I61" i="74"/>
  <c r="V140" i="74"/>
  <c r="R140" i="74"/>
  <c r="V127" i="74"/>
  <c r="R127" i="74"/>
  <c r="V109" i="74"/>
  <c r="R109" i="74"/>
  <c r="V62" i="74"/>
  <c r="R62" i="74"/>
  <c r="R4" i="74"/>
  <c r="V4" i="74"/>
  <c r="R29" i="74"/>
  <c r="V29" i="74"/>
  <c r="I29" i="74"/>
  <c r="I36" i="74"/>
  <c r="V121" i="74"/>
  <c r="R121" i="74"/>
  <c r="I53" i="74"/>
  <c r="I70" i="74"/>
  <c r="I101" i="74"/>
  <c r="V143" i="74"/>
  <c r="R143" i="74"/>
  <c r="R63" i="74"/>
  <c r="V63" i="74"/>
  <c r="V95" i="74"/>
  <c r="R95" i="74"/>
  <c r="R15" i="74"/>
  <c r="V15" i="74"/>
  <c r="I77" i="74"/>
  <c r="R111" i="74"/>
  <c r="V111" i="74"/>
  <c r="R104" i="74"/>
  <c r="V104" i="74"/>
  <c r="R72" i="74"/>
  <c r="V72" i="74"/>
  <c r="V92" i="74"/>
  <c r="R92" i="74"/>
  <c r="R13" i="74"/>
  <c r="V13" i="74"/>
  <c r="V33" i="74"/>
  <c r="R33" i="74"/>
  <c r="I31" i="74"/>
  <c r="R37" i="70"/>
  <c r="R38" i="70"/>
  <c r="R36" i="70"/>
  <c r="D13" i="17"/>
  <c r="D12" i="17"/>
  <c r="D11" i="17"/>
  <c r="E188" i="72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4" i="66"/>
  <c r="P134" i="66" s="1"/>
  <c r="V134" i="66" s="1"/>
  <c r="C230" i="66"/>
  <c r="P230" i="66" s="1"/>
  <c r="V230" i="66" s="1"/>
  <c r="C38" i="66"/>
  <c r="P38" i="66" s="1"/>
  <c r="V38" i="66" s="1"/>
  <c r="C86" i="66"/>
  <c r="P86" i="66" s="1"/>
  <c r="V86" i="66" s="1"/>
  <c r="C182" i="66"/>
  <c r="P182" i="66" s="1"/>
  <c r="V182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100" i="66"/>
  <c r="P100" i="66" s="1"/>
  <c r="V100" i="66" s="1"/>
  <c r="C104" i="66"/>
  <c r="P104" i="66" s="1"/>
  <c r="V104" i="66" s="1"/>
  <c r="I247" i="66"/>
  <c r="I103" i="74" s="1"/>
  <c r="B31" i="6"/>
  <c r="B12" i="6"/>
  <c r="D31" i="6"/>
  <c r="C31" i="6"/>
  <c r="C12" i="6"/>
  <c r="G267" i="66"/>
  <c r="G256" i="66"/>
  <c r="G262" i="66"/>
  <c r="G171" i="66"/>
  <c r="G27" i="66"/>
  <c r="G75" i="74" s="1"/>
  <c r="C218" i="38"/>
  <c r="C233" i="38" s="1"/>
  <c r="C248" i="38" s="1"/>
  <c r="C263" i="38" s="1"/>
  <c r="A10" i="53"/>
  <c r="A16" i="53" s="1"/>
  <c r="A9" i="53"/>
  <c r="A15" i="53" s="1"/>
  <c r="I258" i="66"/>
  <c r="I114" i="74" s="1"/>
  <c r="C258" i="66"/>
  <c r="P258" i="66" s="1"/>
  <c r="V258" i="66" s="1"/>
  <c r="I271" i="66"/>
  <c r="C271" i="66"/>
  <c r="P271" i="66" s="1"/>
  <c r="V271" i="66" s="1"/>
  <c r="I280" i="66"/>
  <c r="C280" i="66"/>
  <c r="P280" i="66" s="1"/>
  <c r="I121" i="66"/>
  <c r="I25" i="74" s="1"/>
  <c r="C121" i="66"/>
  <c r="P121" i="66" s="1"/>
  <c r="I113" i="66"/>
  <c r="I113" i="74" s="1"/>
  <c r="C113" i="66"/>
  <c r="I268" i="66"/>
  <c r="C268" i="66"/>
  <c r="I259" i="66"/>
  <c r="C259" i="66"/>
  <c r="P259" i="66" s="1"/>
  <c r="V259" i="66" s="1"/>
  <c r="I119" i="66"/>
  <c r="I23" i="74" s="1"/>
  <c r="C119" i="66"/>
  <c r="I105" i="66"/>
  <c r="I105" i="74" s="1"/>
  <c r="C105" i="66"/>
  <c r="I262" i="66"/>
  <c r="C262" i="66"/>
  <c r="P262" i="66" s="1"/>
  <c r="V262" i="66" s="1"/>
  <c r="I115" i="66"/>
  <c r="I19" i="74" s="1"/>
  <c r="C115" i="66"/>
  <c r="P115" i="66" s="1"/>
  <c r="V115" i="66" s="1"/>
  <c r="I283" i="66"/>
  <c r="I139" i="74" s="1"/>
  <c r="C283" i="66"/>
  <c r="P283" i="66" s="1"/>
  <c r="V283" i="66" s="1"/>
  <c r="I275" i="66"/>
  <c r="I131" i="74" s="1"/>
  <c r="C275" i="66"/>
  <c r="I289" i="66"/>
  <c r="C289" i="66"/>
  <c r="I123" i="66"/>
  <c r="I123" i="74" s="1"/>
  <c r="C123" i="66"/>
  <c r="P123" i="66" s="1"/>
  <c r="V123" i="66" s="1"/>
  <c r="I278" i="66"/>
  <c r="I134" i="74" s="1"/>
  <c r="C278" i="66"/>
  <c r="P278" i="66" s="1"/>
  <c r="V278" i="66" s="1"/>
  <c r="I141" i="66"/>
  <c r="I93" i="74" s="1"/>
  <c r="C141" i="66"/>
  <c r="I285" i="66"/>
  <c r="C285" i="66"/>
  <c r="I279" i="66"/>
  <c r="C279" i="66"/>
  <c r="P279" i="66" s="1"/>
  <c r="I136" i="66"/>
  <c r="I40" i="74" s="1"/>
  <c r="C136" i="66"/>
  <c r="P136" i="66" s="1"/>
  <c r="I143" i="66"/>
  <c r="I143" i="74" s="1"/>
  <c r="C143" i="66"/>
  <c r="P143" i="66" s="1"/>
  <c r="V143" i="66" s="1"/>
  <c r="I263" i="66"/>
  <c r="C263" i="66"/>
  <c r="I291" i="66"/>
  <c r="C291" i="66"/>
  <c r="P291" i="66" s="1"/>
  <c r="V291" i="66" s="1"/>
  <c r="I145" i="66"/>
  <c r="I49" i="74" s="1"/>
  <c r="C145" i="66"/>
  <c r="I129" i="66"/>
  <c r="I129" i="74" s="1"/>
  <c r="C129" i="66"/>
  <c r="P129" i="66" s="1"/>
  <c r="V129" i="66" s="1"/>
  <c r="I270" i="66"/>
  <c r="I126" i="74" s="1"/>
  <c r="C270" i="66"/>
  <c r="I127" i="66"/>
  <c r="I79" i="74" s="1"/>
  <c r="C127" i="66"/>
  <c r="P127" i="66" s="1"/>
  <c r="V127" i="66" s="1"/>
  <c r="I138" i="66"/>
  <c r="I42" i="74" s="1"/>
  <c r="C138" i="66"/>
  <c r="I111" i="66"/>
  <c r="I63" i="74" s="1"/>
  <c r="C111" i="66"/>
  <c r="P111" i="66" s="1"/>
  <c r="V111" i="66" s="1"/>
  <c r="I248" i="66"/>
  <c r="I104" i="74" s="1"/>
  <c r="C248" i="66"/>
  <c r="P248" i="66" s="1"/>
  <c r="V248" i="66" s="1"/>
  <c r="I135" i="66"/>
  <c r="I135" i="74" s="1"/>
  <c r="C135" i="66"/>
  <c r="P135" i="66" s="1"/>
  <c r="I274" i="66"/>
  <c r="I130" i="74" s="1"/>
  <c r="C274" i="66"/>
  <c r="P274" i="66" s="1"/>
  <c r="V274" i="66" s="1"/>
  <c r="I265" i="66"/>
  <c r="C265" i="66"/>
  <c r="P265" i="66" s="1"/>
  <c r="I112" i="66"/>
  <c r="I112" i="74" s="1"/>
  <c r="C112" i="66"/>
  <c r="I255" i="66"/>
  <c r="C255" i="66"/>
  <c r="P255" i="66" s="1"/>
  <c r="V255" i="66" s="1"/>
  <c r="I110" i="66"/>
  <c r="I62" i="74" s="1"/>
  <c r="C110" i="66"/>
  <c r="P110" i="66" s="1"/>
  <c r="V110" i="66" s="1"/>
  <c r="I264" i="66"/>
  <c r="I120" i="74" s="1"/>
  <c r="C264" i="66"/>
  <c r="P264" i="66" s="1"/>
  <c r="V264" i="66" s="1"/>
  <c r="I254" i="66"/>
  <c r="C254" i="66"/>
  <c r="P254" i="66" s="1"/>
  <c r="V254" i="66" s="1"/>
  <c r="I266" i="66"/>
  <c r="I122" i="74" s="1"/>
  <c r="C266" i="66"/>
  <c r="I282" i="66"/>
  <c r="C282" i="66"/>
  <c r="I252" i="66"/>
  <c r="C252" i="66"/>
  <c r="I286" i="66"/>
  <c r="C286" i="66"/>
  <c r="I124" i="66"/>
  <c r="I124" i="74" s="1"/>
  <c r="C124" i="66"/>
  <c r="I284" i="66"/>
  <c r="I140" i="74" s="1"/>
  <c r="C284" i="66"/>
  <c r="P284" i="66" s="1"/>
  <c r="V284" i="66" s="1"/>
  <c r="I108" i="66"/>
  <c r="I60" i="74" s="1"/>
  <c r="C108" i="66"/>
  <c r="I142" i="66"/>
  <c r="I94" i="74" s="1"/>
  <c r="C142" i="66"/>
  <c r="I288" i="66"/>
  <c r="I144" i="74" s="1"/>
  <c r="C288" i="66"/>
  <c r="I107" i="66"/>
  <c r="I107" i="74" s="1"/>
  <c r="C107" i="66"/>
  <c r="P107" i="66" s="1"/>
  <c r="V107" i="66" s="1"/>
  <c r="I290" i="66"/>
  <c r="I146" i="74" s="1"/>
  <c r="C290" i="66"/>
  <c r="I147" i="66"/>
  <c r="I99" i="74" s="1"/>
  <c r="C147" i="66"/>
  <c r="P147" i="66" s="1"/>
  <c r="V147" i="66" s="1"/>
  <c r="I246" i="66"/>
  <c r="I102" i="74" s="1"/>
  <c r="C246" i="66"/>
  <c r="I118" i="66"/>
  <c r="I118" i="74" s="1"/>
  <c r="C118" i="66"/>
  <c r="P118" i="66" s="1"/>
  <c r="V118" i="66" s="1"/>
  <c r="I128" i="66"/>
  <c r="I128" i="74" s="1"/>
  <c r="C128" i="66"/>
  <c r="G145" i="66"/>
  <c r="G123" i="66"/>
  <c r="G289" i="66"/>
  <c r="J7" i="9"/>
  <c r="T7" i="9" s="1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G166" i="66"/>
  <c r="G49" i="66"/>
  <c r="G97" i="74" s="1"/>
  <c r="G22" i="66"/>
  <c r="G70" i="74" s="1"/>
  <c r="G160" i="66"/>
  <c r="G193" i="66"/>
  <c r="G16" i="66"/>
  <c r="G64" i="74" s="1"/>
  <c r="G112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V188" i="66"/>
  <c r="V178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V177" i="66"/>
  <c r="E48" i="38"/>
  <c r="E44" i="38"/>
  <c r="E5" i="38"/>
  <c r="E14" i="38"/>
  <c r="E10" i="38"/>
  <c r="E7" i="38"/>
  <c r="V148" i="66"/>
  <c r="V195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V191" i="66"/>
  <c r="E50" i="38"/>
  <c r="V77" i="66"/>
  <c r="V130" i="66"/>
  <c r="V158" i="66"/>
  <c r="V273" i="66"/>
  <c r="V157" i="66"/>
  <c r="V61" i="66"/>
  <c r="V219" i="66"/>
  <c r="V196" i="66"/>
  <c r="V29" i="66"/>
  <c r="V114" i="66"/>
  <c r="V51" i="66"/>
  <c r="G53" i="20"/>
  <c r="V27" i="66"/>
  <c r="V207" i="66"/>
  <c r="V18" i="66"/>
  <c r="V159" i="66"/>
  <c r="V14" i="66"/>
  <c r="V75" i="66"/>
  <c r="V166" i="66"/>
  <c r="V22" i="66"/>
  <c r="V253" i="66"/>
  <c r="V81" i="66"/>
  <c r="V225" i="66"/>
  <c r="V63" i="66"/>
  <c r="V200" i="66"/>
  <c r="V62" i="66"/>
  <c r="V221" i="66"/>
  <c r="V155" i="66"/>
  <c r="V244" i="66"/>
  <c r="V243" i="66"/>
  <c r="V43" i="66"/>
  <c r="V214" i="66"/>
  <c r="V140" i="66"/>
  <c r="V187" i="66"/>
  <c r="V47" i="66"/>
  <c r="V59" i="66"/>
  <c r="V11" i="66"/>
  <c r="V19" i="66"/>
  <c r="V203" i="66"/>
  <c r="V15" i="66"/>
  <c r="V33" i="66"/>
  <c r="V8" i="66"/>
  <c r="V205" i="66"/>
  <c r="V206" i="66"/>
  <c r="V4" i="66"/>
  <c r="V92" i="66"/>
  <c r="V235" i="66"/>
  <c r="V24" i="66"/>
  <c r="V287" i="66"/>
  <c r="V31" i="66"/>
  <c r="V72" i="66"/>
  <c r="V173" i="66"/>
  <c r="V251" i="66"/>
  <c r="V171" i="66"/>
  <c r="V79" i="66"/>
  <c r="V210" i="66"/>
  <c r="V91" i="66"/>
  <c r="V163" i="66"/>
  <c r="V267" i="66"/>
  <c r="V175" i="66"/>
  <c r="V162" i="66"/>
  <c r="V70" i="66"/>
  <c r="V13" i="66"/>
  <c r="V269" i="66"/>
  <c r="V120" i="66"/>
  <c r="V139" i="66"/>
  <c r="V34" i="66"/>
  <c r="V66" i="66"/>
  <c r="V95" i="66"/>
  <c r="V99" i="66"/>
  <c r="V44" i="66"/>
  <c r="V82" i="66"/>
  <c r="V67" i="66"/>
  <c r="V168" i="66"/>
  <c r="V125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V56" i="66"/>
  <c r="A23" i="53"/>
  <c r="J39" i="9"/>
  <c r="A12" i="53"/>
  <c r="C274" i="38"/>
  <c r="V52" i="66"/>
  <c r="C271" i="38"/>
  <c r="E2" i="22"/>
  <c r="C254" i="38"/>
  <c r="A8" i="53"/>
  <c r="J35" i="9"/>
  <c r="J5" i="9" s="1"/>
  <c r="T5" i="9" s="1"/>
  <c r="I11" i="74" l="1"/>
  <c r="I71" i="74"/>
  <c r="I44" i="74"/>
  <c r="I35" i="74"/>
  <c r="I32" i="74"/>
  <c r="I18" i="74"/>
  <c r="I39" i="74"/>
  <c r="I8" i="74"/>
  <c r="I22" i="74"/>
  <c r="I50" i="74"/>
  <c r="I46" i="74"/>
  <c r="I24" i="74"/>
  <c r="I91" i="74"/>
  <c r="I14" i="74"/>
  <c r="I34" i="74"/>
  <c r="I76" i="74"/>
  <c r="I6" i="74"/>
  <c r="I90" i="74"/>
  <c r="I51" i="74"/>
  <c r="I78" i="74"/>
  <c r="I7" i="74"/>
  <c r="I82" i="74"/>
  <c r="I57" i="74"/>
  <c r="I65" i="74"/>
  <c r="I97" i="74"/>
  <c r="I26" i="74"/>
  <c r="I92" i="74"/>
  <c r="I72" i="74"/>
  <c r="I56" i="74"/>
  <c r="I96" i="74"/>
  <c r="I9" i="74"/>
  <c r="I74" i="74"/>
  <c r="I73" i="74"/>
  <c r="I30" i="74"/>
  <c r="I81" i="74"/>
  <c r="I15" i="74"/>
  <c r="I88" i="74"/>
  <c r="I47" i="74"/>
  <c r="I59" i="74"/>
  <c r="I66" i="74"/>
  <c r="I17" i="74"/>
  <c r="I87" i="74"/>
  <c r="I28" i="74"/>
  <c r="I38" i="74"/>
  <c r="I95" i="74"/>
  <c r="I55" i="74"/>
  <c r="I12" i="74"/>
  <c r="I27" i="74"/>
  <c r="I83" i="74"/>
  <c r="I80" i="74"/>
  <c r="G118" i="74"/>
  <c r="I48" i="74"/>
  <c r="I54" i="74"/>
  <c r="I64" i="74"/>
  <c r="I98" i="74"/>
  <c r="I75" i="74"/>
  <c r="I43" i="74"/>
  <c r="I33" i="74"/>
  <c r="I86" i="74"/>
  <c r="G27" i="74"/>
  <c r="I141" i="74"/>
  <c r="G16" i="74"/>
  <c r="G145" i="74"/>
  <c r="G123" i="74"/>
  <c r="I115" i="74"/>
  <c r="I111" i="74"/>
  <c r="V38" i="74"/>
  <c r="I127" i="74"/>
  <c r="I142" i="74"/>
  <c r="R86" i="74"/>
  <c r="I136" i="74"/>
  <c r="G49" i="74"/>
  <c r="I108" i="74"/>
  <c r="I147" i="74"/>
  <c r="I119" i="74"/>
  <c r="G112" i="74"/>
  <c r="I110" i="74"/>
  <c r="I145" i="74"/>
  <c r="G22" i="74"/>
  <c r="I138" i="74"/>
  <c r="I121" i="74"/>
  <c r="V134" i="74"/>
  <c r="R134" i="74"/>
  <c r="D64" i="72" a="1"/>
  <c r="D64" i="72" s="1"/>
  <c r="D65" i="72" s="1" a="1"/>
  <c r="D65" i="72" s="1"/>
  <c r="D66" i="72" s="1" a="1"/>
  <c r="D66" i="72" s="1"/>
  <c r="D67" i="72" s="1" a="1"/>
  <c r="D67" i="72" s="1"/>
  <c r="D250" i="72" a="1"/>
  <c r="D250" i="72" s="1"/>
  <c r="D251" i="72" s="1" a="1"/>
  <c r="D251" i="72" s="1"/>
  <c r="D252" i="72" s="1" a="1"/>
  <c r="D252" i="72" s="1"/>
  <c r="D2" i="72" a="1"/>
  <c r="D2" i="72" s="1"/>
  <c r="D3" i="72" s="1" a="1"/>
  <c r="D3" i="72" s="1"/>
  <c r="D4" i="72" s="1" a="1"/>
  <c r="D4" i="72" s="1"/>
  <c r="D188" i="72" a="1"/>
  <c r="D188" i="72" s="1"/>
  <c r="D189" i="72" s="1" a="1"/>
  <c r="D189" i="72" s="1"/>
  <c r="D190" i="72" s="1" a="1"/>
  <c r="D190" i="72" s="1"/>
  <c r="D126" i="72" a="1"/>
  <c r="D126" i="72" s="1"/>
  <c r="D127" i="72" s="1" a="1"/>
  <c r="D127" i="72" s="1"/>
  <c r="D33" i="72" a="1"/>
  <c r="D33" i="72" s="1"/>
  <c r="D157" i="72" a="1"/>
  <c r="D157" i="72" s="1"/>
  <c r="D95" i="72" a="1"/>
  <c r="D95" i="72" s="1"/>
  <c r="D96" i="72" s="1" a="1"/>
  <c r="D96" i="72" s="1"/>
  <c r="D97" i="72" s="1" a="1"/>
  <c r="D97" i="72" s="1"/>
  <c r="D219" i="72" a="1"/>
  <c r="D219" i="72" s="1"/>
  <c r="D220" i="72" s="1" a="1"/>
  <c r="D220" i="72" s="1"/>
  <c r="D221" i="72" s="1" a="1"/>
  <c r="D221" i="72" s="1"/>
  <c r="D222" i="72" s="1" a="1"/>
  <c r="D222" i="72" s="1"/>
  <c r="D281" i="72" a="1"/>
  <c r="D281" i="72" s="1"/>
  <c r="D282" i="72" s="1" a="1"/>
  <c r="D282" i="72" s="1"/>
  <c r="D283" i="72" s="1" a="1"/>
  <c r="D283" i="72" s="1"/>
  <c r="D24" i="20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T9" i="9" s="1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D128" i="72" l="1" a="1"/>
  <c r="D128" i="72" s="1"/>
  <c r="D129" i="72" s="1" a="1"/>
  <c r="D129" i="72" s="1"/>
  <c r="D284" i="72" a="1"/>
  <c r="D284" i="72" s="1"/>
  <c r="D285" i="72" s="1" a="1"/>
  <c r="D285" i="72" s="1"/>
  <c r="D286" i="72" s="1" a="1"/>
  <c r="D286" i="72" s="1"/>
  <c r="D253" i="72" a="1"/>
  <c r="D253" i="72" s="1"/>
  <c r="D254" i="72" s="1" a="1"/>
  <c r="D254" i="72" s="1"/>
  <c r="D98" i="72" a="1"/>
  <c r="D98" i="72" s="1"/>
  <c r="D99" i="72" s="1" a="1"/>
  <c r="D99" i="72" s="1"/>
  <c r="D100" i="72" s="1" a="1"/>
  <c r="D100" i="72" s="1"/>
  <c r="D101" i="72" s="1" a="1"/>
  <c r="D101" i="72" s="1"/>
  <c r="D102" i="72" s="1" a="1"/>
  <c r="D102" i="72" s="1"/>
  <c r="D158" i="72" a="1"/>
  <c r="D158" i="72" s="1"/>
  <c r="D5" i="72" a="1"/>
  <c r="D5" i="72" s="1"/>
  <c r="D34" i="72" a="1"/>
  <c r="D34" i="72" s="1"/>
  <c r="D223" i="72" a="1"/>
  <c r="D223" i="72" s="1"/>
  <c r="D224" i="72" s="1" a="1"/>
  <c r="D224" i="72" s="1"/>
  <c r="D191" i="72" a="1"/>
  <c r="D191" i="72" s="1"/>
  <c r="D68" i="72" a="1"/>
  <c r="D68" i="72" s="1"/>
  <c r="D69" i="72" s="1" a="1"/>
  <c r="D69" i="72" s="1"/>
  <c r="H14" i="41"/>
  <c r="AL126" i="72"/>
  <c r="C49" i="26"/>
  <c r="H185" i="35"/>
  <c r="I14" i="37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D130" i="72" l="1" a="1"/>
  <c r="D130" i="72" s="1"/>
  <c r="D131" i="72" s="1" a="1"/>
  <c r="D131" i="72" s="1"/>
  <c r="D132" i="72" s="1" a="1"/>
  <c r="D132" i="72" s="1"/>
  <c r="D287" i="72" a="1"/>
  <c r="D287" i="72" s="1"/>
  <c r="D288" i="72" s="1" a="1"/>
  <c r="D288" i="72" s="1"/>
  <c r="D289" i="72" s="1" a="1"/>
  <c r="D289" i="72" s="1"/>
  <c r="D290" i="72" s="1" a="1"/>
  <c r="D290" i="72" s="1"/>
  <c r="D291" i="72" s="1" a="1"/>
  <c r="D291" i="72" s="1"/>
  <c r="D292" i="72" s="1" a="1"/>
  <c r="D292" i="72" s="1"/>
  <c r="D225" i="72" a="1"/>
  <c r="D225" i="72" s="1"/>
  <c r="D226" i="72" s="1" a="1"/>
  <c r="D226" i="72" s="1"/>
  <c r="D227" i="72" s="1" a="1"/>
  <c r="D227" i="72" s="1"/>
  <c r="D228" i="72" s="1" a="1"/>
  <c r="D228" i="72" s="1"/>
  <c r="D6" i="72" a="1"/>
  <c r="D6" i="72" s="1"/>
  <c r="D7" i="72" s="1" a="1"/>
  <c r="D7" i="72" s="1"/>
  <c r="D8" i="72" s="1" a="1"/>
  <c r="D8" i="72" s="1"/>
  <c r="D9" i="72" s="1" a="1"/>
  <c r="D9" i="72" s="1"/>
  <c r="D70" i="72" a="1"/>
  <c r="D70" i="72" s="1"/>
  <c r="D192" i="72" a="1"/>
  <c r="D192" i="72" s="1"/>
  <c r="D159" i="72" a="1"/>
  <c r="D159" i="72" s="1"/>
  <c r="D160" i="72" s="1" a="1"/>
  <c r="D160" i="72" s="1"/>
  <c r="D103" i="72" a="1"/>
  <c r="D103" i="72" s="1"/>
  <c r="D104" i="72" s="1" a="1"/>
  <c r="D104" i="72" s="1"/>
  <c r="D255" i="72" a="1"/>
  <c r="D255" i="72" s="1"/>
  <c r="D256" i="72" s="1" a="1"/>
  <c r="D256" i="72" s="1"/>
  <c r="D35" i="72" a="1"/>
  <c r="D35" i="72" s="1"/>
  <c r="D36" i="72" s="1" a="1"/>
  <c r="D36" i="72" s="1"/>
  <c r="I14" i="41"/>
  <c r="I49" i="26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61" i="72" l="1" a="1"/>
  <c r="D161" i="72" s="1"/>
  <c r="D162" i="72" s="1" a="1"/>
  <c r="D162" i="72" s="1"/>
  <c r="D163" i="72" s="1" a="1"/>
  <c r="D163" i="72" s="1"/>
  <c r="D164" i="72" s="1" a="1"/>
  <c r="D164" i="72" s="1"/>
  <c r="D193" i="72" a="1"/>
  <c r="D193" i="72" s="1"/>
  <c r="D293" i="72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133" i="72" a="1"/>
  <c r="D133" i="72" s="1"/>
  <c r="D134" i="72" s="1" a="1"/>
  <c r="D134" i="72" s="1"/>
  <c r="D135" i="72" s="1" a="1"/>
  <c r="D135" i="72" s="1"/>
  <c r="D136" i="72" s="1" a="1"/>
  <c r="D136" i="72" s="1"/>
  <c r="D105" i="72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10" i="72" a="1"/>
  <c r="D10" i="72" s="1"/>
  <c r="D11" i="72" s="1" a="1"/>
  <c r="D11" i="72" s="1"/>
  <c r="D12" i="72" s="1" a="1"/>
  <c r="D12" i="72" s="1"/>
  <c r="D13" i="72" s="1" a="1"/>
  <c r="D13" i="72" s="1"/>
  <c r="D14" i="72" s="1" a="1"/>
  <c r="D14" i="72" s="1"/>
  <c r="D15" i="72" s="1" a="1"/>
  <c r="D15" i="72" s="1"/>
  <c r="D229" i="72" a="1"/>
  <c r="D229" i="72" s="1"/>
  <c r="D230" i="72" s="1" a="1"/>
  <c r="D230" i="72" s="1"/>
  <c r="D71" i="72" a="1"/>
  <c r="D71" i="72" s="1"/>
  <c r="D72" i="72" s="1" a="1"/>
  <c r="D72" i="72" s="1"/>
  <c r="D73" i="72" s="1" a="1"/>
  <c r="D73" i="72" s="1"/>
  <c r="D37" i="72" a="1"/>
  <c r="D37" i="72" s="1"/>
  <c r="D38" i="72" s="1" a="1"/>
  <c r="D38" i="72" s="1"/>
  <c r="D257" i="72" a="1"/>
  <c r="D257" i="72" s="1"/>
  <c r="Z5" i="20"/>
  <c r="P28" i="18"/>
  <c r="P26" i="18"/>
  <c r="Z3" i="20"/>
  <c r="Z4" i="20"/>
  <c r="C265" i="38"/>
  <c r="C268" i="38"/>
  <c r="A32" i="53"/>
  <c r="A36" i="53"/>
  <c r="C275" i="38"/>
  <c r="D39" i="72" l="1" a="1"/>
  <c r="D39" i="72" s="1"/>
  <c r="D40" i="72" s="1" a="1"/>
  <c r="D40" i="72" s="1"/>
  <c r="D41" i="72" s="1" a="1"/>
  <c r="D41" i="72" s="1"/>
  <c r="D231" i="72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137" i="72" a="1"/>
  <c r="D137" i="72" s="1"/>
  <c r="D138" i="72" s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194" i="72" a="1"/>
  <c r="D194" i="72" s="1"/>
  <c r="D16" i="72" a="1"/>
  <c r="D16" i="72" s="1"/>
  <c r="D17" i="72" s="1" a="1"/>
  <c r="D17" i="72" s="1"/>
  <c r="D18" i="72" s="1" a="1"/>
  <c r="D18" i="72" s="1"/>
  <c r="D19" i="72" s="1" a="1"/>
  <c r="D19" i="72" s="1"/>
  <c r="D165" i="72" a="1"/>
  <c r="D165" i="72" s="1"/>
  <c r="D166" i="72" s="1" a="1"/>
  <c r="D166" i="72" s="1"/>
  <c r="D74" i="72" a="1"/>
  <c r="D74" i="72" s="1"/>
  <c r="D75" i="72" s="1" a="1"/>
  <c r="D75" i="72" s="1"/>
  <c r="D76" i="72" s="1" a="1"/>
  <c r="D76" i="72" s="1"/>
  <c r="M17" i="66"/>
  <c r="D10" i="53"/>
  <c r="D11" i="53"/>
  <c r="D34" i="53"/>
  <c r="D9" i="53"/>
  <c r="D23" i="53"/>
  <c r="D22" i="53"/>
  <c r="D35" i="53"/>
  <c r="D33" i="53"/>
  <c r="D21" i="53"/>
  <c r="D167" i="72" l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63" i="72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20" i="72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D77" i="72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5" i="72" a="1"/>
  <c r="D195" i="72" s="1"/>
  <c r="D42" i="72" a="1"/>
  <c r="D42" i="72" s="1"/>
  <c r="D43" i="72" s="1" a="1"/>
  <c r="D43" i="72" s="1"/>
  <c r="N205" i="66"/>
  <c r="N57" i="66"/>
  <c r="N273" i="66"/>
  <c r="N144" i="66"/>
  <c r="N60" i="66"/>
  <c r="N94" i="66"/>
  <c r="N211" i="66"/>
  <c r="N93" i="66"/>
  <c r="N76" i="66"/>
  <c r="N239" i="66"/>
  <c r="N64" i="66"/>
  <c r="N79" i="66"/>
  <c r="N71" i="66"/>
  <c r="N126" i="66"/>
  <c r="N196" i="66"/>
  <c r="N202" i="66"/>
  <c r="N63" i="66"/>
  <c r="N271" i="66"/>
  <c r="N67" i="66"/>
  <c r="N223" i="66"/>
  <c r="N204" i="66"/>
  <c r="N237" i="66"/>
  <c r="N201" i="66"/>
  <c r="N95" i="66"/>
  <c r="N81" i="66"/>
  <c r="N136" i="66"/>
  <c r="N52" i="66"/>
  <c r="N52" i="74" s="1"/>
  <c r="N61" i="66"/>
  <c r="N56" i="66"/>
  <c r="N225" i="66"/>
  <c r="N265" i="66"/>
  <c r="N101" i="66"/>
  <c r="N75" i="66"/>
  <c r="N207" i="66"/>
  <c r="N208" i="66"/>
  <c r="N241" i="66"/>
  <c r="N244" i="66"/>
  <c r="N283" i="66"/>
  <c r="N216" i="66"/>
  <c r="N219" i="66"/>
  <c r="N82" i="66"/>
  <c r="N86" i="66"/>
  <c r="N130" i="66"/>
  <c r="N235" i="66"/>
  <c r="N200" i="66"/>
  <c r="N230" i="66"/>
  <c r="N122" i="66"/>
  <c r="N238" i="66"/>
  <c r="N199" i="66"/>
  <c r="N114" i="66"/>
  <c r="N269" i="66"/>
  <c r="N91" i="66"/>
  <c r="N110" i="66"/>
  <c r="N140" i="66"/>
  <c r="N220" i="66"/>
  <c r="N287" i="66"/>
  <c r="N97" i="66"/>
  <c r="N118" i="66"/>
  <c r="N72" i="66"/>
  <c r="N62" i="66"/>
  <c r="N58" i="66"/>
  <c r="N215" i="66"/>
  <c r="N226" i="66"/>
  <c r="N55" i="66"/>
  <c r="N253" i="66"/>
  <c r="N206" i="66"/>
  <c r="N27" i="66"/>
  <c r="N160" i="66"/>
  <c r="N153" i="66"/>
  <c r="N169" i="66"/>
  <c r="N162" i="66"/>
  <c r="N25" i="66"/>
  <c r="N138" i="66"/>
  <c r="N14" i="66"/>
  <c r="N37" i="66"/>
  <c r="N22" i="66"/>
  <c r="N44" i="66"/>
  <c r="N288" i="66"/>
  <c r="N152" i="66"/>
  <c r="N266" i="66"/>
  <c r="N127" i="66"/>
  <c r="N120" i="66"/>
  <c r="N277" i="66"/>
  <c r="N10" i="66"/>
  <c r="N18" i="66"/>
  <c r="N106" i="66"/>
  <c r="N177" i="66"/>
  <c r="N151" i="66"/>
  <c r="N284" i="66"/>
  <c r="N103" i="66"/>
  <c r="N249" i="66"/>
  <c r="N247" i="66"/>
  <c r="N176" i="66"/>
  <c r="N250" i="66"/>
  <c r="N178" i="66"/>
  <c r="N139" i="66"/>
  <c r="N159" i="66"/>
  <c r="N15" i="66"/>
  <c r="N124" i="66"/>
  <c r="N228" i="66"/>
  <c r="N128" i="66"/>
  <c r="N191" i="66"/>
  <c r="N43" i="66"/>
  <c r="N229" i="66"/>
  <c r="N23" i="66"/>
  <c r="N248" i="66"/>
  <c r="N192" i="66"/>
  <c r="N129" i="66"/>
  <c r="N145" i="66"/>
  <c r="N19" i="66"/>
  <c r="N11" i="66"/>
  <c r="N282" i="66"/>
  <c r="N36" i="66"/>
  <c r="N40" i="66"/>
  <c r="N132" i="66"/>
  <c r="N115" i="66"/>
  <c r="N31" i="66"/>
  <c r="N186" i="66"/>
  <c r="N255" i="66"/>
  <c r="N125" i="66"/>
  <c r="N134" i="66"/>
  <c r="N254" i="66"/>
  <c r="N133" i="66"/>
  <c r="N133" i="74" s="1"/>
  <c r="N112" i="66"/>
  <c r="N12" i="66"/>
  <c r="N187" i="66"/>
  <c r="N47" i="66"/>
  <c r="N4" i="66"/>
  <c r="N289" i="66"/>
  <c r="N107" i="66"/>
  <c r="N121" i="66"/>
  <c r="N173" i="66"/>
  <c r="N168" i="66"/>
  <c r="N24" i="66"/>
  <c r="N46" i="66"/>
  <c r="N158" i="66"/>
  <c r="N9" i="66"/>
  <c r="N251" i="66"/>
  <c r="N189" i="66"/>
  <c r="N5" i="66"/>
  <c r="N181" i="66"/>
  <c r="N258" i="66"/>
  <c r="N142" i="66"/>
  <c r="N193" i="66"/>
  <c r="N84" i="66"/>
  <c r="N149" i="66"/>
  <c r="N155" i="66"/>
  <c r="N48" i="66"/>
  <c r="N280" i="66"/>
  <c r="N105" i="66"/>
  <c r="N285" i="66"/>
  <c r="N85" i="66"/>
  <c r="N42" i="66"/>
  <c r="N259" i="66"/>
  <c r="N29" i="66"/>
  <c r="N45" i="66"/>
  <c r="N34" i="66"/>
  <c r="N174" i="66"/>
  <c r="N148" i="66"/>
  <c r="N163" i="66"/>
  <c r="N182" i="66"/>
  <c r="N104" i="66"/>
  <c r="N172" i="66"/>
  <c r="N13" i="66"/>
  <c r="N111" i="66"/>
  <c r="N111" i="74" s="1"/>
  <c r="N252" i="66"/>
  <c r="N38" i="66"/>
  <c r="N274" i="66"/>
  <c r="N33" i="66"/>
  <c r="N245" i="66"/>
  <c r="N30" i="66"/>
  <c r="N49" i="66"/>
  <c r="N175" i="66"/>
  <c r="N7" i="66"/>
  <c r="N184" i="66"/>
  <c r="N16" i="66"/>
  <c r="N188" i="66"/>
  <c r="N109" i="66"/>
  <c r="N32" i="66"/>
  <c r="N157" i="66"/>
  <c r="N276" i="66"/>
  <c r="N263" i="66"/>
  <c r="N119" i="66"/>
  <c r="N143" i="66"/>
  <c r="N154" i="66"/>
  <c r="N123" i="66"/>
  <c r="N28" i="66"/>
  <c r="N28" i="74" s="1"/>
  <c r="N270" i="66"/>
  <c r="N264" i="66"/>
  <c r="N286" i="66"/>
  <c r="N166" i="66"/>
  <c r="N156" i="66"/>
  <c r="N268" i="66"/>
  <c r="N180" i="66"/>
  <c r="N8" i="66"/>
  <c r="N190" i="66"/>
  <c r="N100" i="66"/>
  <c r="N167" i="66"/>
  <c r="N108" i="66"/>
  <c r="N272" i="66"/>
  <c r="N278" i="66"/>
  <c r="N141" i="66"/>
  <c r="N267" i="66"/>
  <c r="N262" i="66"/>
  <c r="N171" i="66"/>
  <c r="N256" i="66"/>
  <c r="H4" i="66"/>
  <c r="L133" i="66"/>
  <c r="J132" i="66"/>
  <c r="K181" i="66"/>
  <c r="H133" i="66"/>
  <c r="H229" i="66"/>
  <c r="K37" i="66"/>
  <c r="L181" i="66"/>
  <c r="J85" i="66"/>
  <c r="J228" i="66"/>
  <c r="J133" i="66"/>
  <c r="J277" i="66"/>
  <c r="J36" i="66"/>
  <c r="K85" i="66"/>
  <c r="L132" i="66"/>
  <c r="H228" i="66"/>
  <c r="J180" i="66"/>
  <c r="K133" i="66"/>
  <c r="L228" i="66"/>
  <c r="L85" i="66"/>
  <c r="L37" i="66"/>
  <c r="H84" i="66"/>
  <c r="L84" i="66"/>
  <c r="K276" i="66"/>
  <c r="L36" i="66"/>
  <c r="H181" i="66"/>
  <c r="L180" i="66"/>
  <c r="H132" i="66"/>
  <c r="J181" i="66"/>
  <c r="K36" i="66"/>
  <c r="L229" i="66"/>
  <c r="H276" i="66"/>
  <c r="J229" i="66"/>
  <c r="H36" i="66"/>
  <c r="K180" i="66"/>
  <c r="K84" i="66"/>
  <c r="L276" i="66"/>
  <c r="K228" i="66"/>
  <c r="J37" i="66"/>
  <c r="K132" i="66"/>
  <c r="H277" i="66"/>
  <c r="H85" i="66"/>
  <c r="H180" i="66"/>
  <c r="K229" i="66"/>
  <c r="K277" i="66"/>
  <c r="L277" i="66"/>
  <c r="H37" i="66"/>
  <c r="J276" i="66"/>
  <c r="J84" i="66"/>
  <c r="J217" i="66"/>
  <c r="K35" i="66"/>
  <c r="J67" i="66"/>
  <c r="K248" i="66"/>
  <c r="J223" i="66"/>
  <c r="J190" i="66"/>
  <c r="J128" i="66"/>
  <c r="J80" i="66"/>
  <c r="H285" i="66"/>
  <c r="H148" i="66"/>
  <c r="J101" i="66"/>
  <c r="J245" i="66"/>
  <c r="J52" i="66"/>
  <c r="J115" i="66"/>
  <c r="J74" i="66"/>
  <c r="J96" i="66"/>
  <c r="M283" i="66"/>
  <c r="J134" i="66"/>
  <c r="J265" i="66"/>
  <c r="L218" i="66"/>
  <c r="H21" i="66"/>
  <c r="H61" i="66"/>
  <c r="L256" i="66"/>
  <c r="J56" i="66"/>
  <c r="K51" i="66"/>
  <c r="L143" i="66"/>
  <c r="J4" i="66"/>
  <c r="K226" i="66"/>
  <c r="K7" i="66"/>
  <c r="L128" i="66"/>
  <c r="J73" i="66"/>
  <c r="K67" i="66"/>
  <c r="J263" i="66"/>
  <c r="M206" i="66"/>
  <c r="M42" i="66"/>
  <c r="J283" i="66"/>
  <c r="M171" i="66"/>
  <c r="M10" i="66"/>
  <c r="J143" i="66"/>
  <c r="J107" i="66"/>
  <c r="M187" i="66"/>
  <c r="M40" i="66"/>
  <c r="H201" i="66"/>
  <c r="H64" i="66"/>
  <c r="H27" i="66"/>
  <c r="M19" i="66"/>
  <c r="J57" i="66"/>
  <c r="J199" i="66"/>
  <c r="H264" i="66"/>
  <c r="J230" i="66"/>
  <c r="J122" i="66"/>
  <c r="H158" i="66"/>
  <c r="J234" i="66"/>
  <c r="K50" i="66"/>
  <c r="M8" i="66"/>
  <c r="M186" i="66"/>
  <c r="J98" i="66"/>
  <c r="L177" i="66"/>
  <c r="H81" i="66"/>
  <c r="K11" i="66"/>
  <c r="K49" i="66"/>
  <c r="M140" i="66"/>
  <c r="K273" i="66"/>
  <c r="H235" i="66"/>
  <c r="K196" i="66"/>
  <c r="J253" i="66"/>
  <c r="M168" i="66"/>
  <c r="M145" i="66"/>
  <c r="J104" i="66"/>
  <c r="L291" i="66"/>
  <c r="L131" i="66"/>
  <c r="K183" i="66"/>
  <c r="L174" i="66"/>
  <c r="J16" i="66"/>
  <c r="K197" i="66"/>
  <c r="M23" i="66"/>
  <c r="K136" i="66"/>
  <c r="J262" i="66"/>
  <c r="H72" i="66"/>
  <c r="L38" i="66"/>
  <c r="H195" i="66"/>
  <c r="L173" i="66"/>
  <c r="M26" i="66"/>
  <c r="H259" i="66"/>
  <c r="L93" i="66"/>
  <c r="M56" i="66"/>
  <c r="K95" i="66"/>
  <c r="H55" i="66"/>
  <c r="M44" i="66"/>
  <c r="J202" i="66"/>
  <c r="H100" i="66"/>
  <c r="L205" i="66"/>
  <c r="L237" i="66"/>
  <c r="L4" i="66"/>
  <c r="J278" i="66"/>
  <c r="K38" i="66"/>
  <c r="J64" i="66"/>
  <c r="J239" i="66"/>
  <c r="H189" i="66"/>
  <c r="J61" i="66"/>
  <c r="K244" i="66"/>
  <c r="L139" i="66"/>
  <c r="L184" i="66"/>
  <c r="L59" i="66"/>
  <c r="M110" i="66"/>
  <c r="M257" i="66"/>
  <c r="J145" i="66"/>
  <c r="H196" i="66"/>
  <c r="J244" i="66"/>
  <c r="M82" i="66"/>
  <c r="J53" i="66"/>
  <c r="L262" i="66"/>
  <c r="L288" i="66"/>
  <c r="M46" i="66"/>
  <c r="K34" i="66"/>
  <c r="K199" i="66"/>
  <c r="H227" i="66"/>
  <c r="M138" i="66"/>
  <c r="J291" i="66"/>
  <c r="J138" i="66"/>
  <c r="M126" i="66"/>
  <c r="K281" i="66"/>
  <c r="J121" i="66"/>
  <c r="J207" i="66"/>
  <c r="M16" i="66"/>
  <c r="L23" i="66"/>
  <c r="J89" i="66"/>
  <c r="K41" i="66"/>
  <c r="L69" i="66"/>
  <c r="H50" i="66"/>
  <c r="M201" i="66"/>
  <c r="K179" i="66"/>
  <c r="J266" i="66"/>
  <c r="J59" i="66"/>
  <c r="M230" i="66"/>
  <c r="J212" i="66"/>
  <c r="K287" i="66"/>
  <c r="M18" i="66"/>
  <c r="K52" i="66"/>
  <c r="H242" i="66"/>
  <c r="H160" i="66"/>
  <c r="J220" i="66"/>
  <c r="H200" i="66"/>
  <c r="M48" i="66"/>
  <c r="K53" i="66"/>
  <c r="J259" i="66"/>
  <c r="J124" i="66"/>
  <c r="M81" i="66"/>
  <c r="K5" i="66"/>
  <c r="J155" i="66"/>
  <c r="M167" i="66"/>
  <c r="J184" i="66"/>
  <c r="J100" i="66"/>
  <c r="K208" i="66"/>
  <c r="J130" i="66"/>
  <c r="M9" i="66"/>
  <c r="H105" i="66"/>
  <c r="L112" i="66"/>
  <c r="K258" i="66"/>
  <c r="J273" i="66"/>
  <c r="M222" i="66"/>
  <c r="J109" i="66"/>
  <c r="K27" i="66"/>
  <c r="J204" i="66"/>
  <c r="H147" i="66"/>
  <c r="K271" i="66"/>
  <c r="L41" i="66"/>
  <c r="J78" i="66"/>
  <c r="J271" i="66"/>
  <c r="J238" i="66"/>
  <c r="L166" i="66"/>
  <c r="J9" i="66"/>
  <c r="K125" i="66"/>
  <c r="K47" i="66"/>
  <c r="L115" i="66"/>
  <c r="M282" i="66"/>
  <c r="K59" i="66"/>
  <c r="M97" i="66"/>
  <c r="J200" i="66"/>
  <c r="H213" i="66"/>
  <c r="M287" i="66"/>
  <c r="J108" i="66"/>
  <c r="H255" i="66"/>
  <c r="K99" i="66"/>
  <c r="L209" i="66"/>
  <c r="H187" i="66"/>
  <c r="M101" i="66"/>
  <c r="J233" i="66"/>
  <c r="H208" i="66"/>
  <c r="M149" i="66"/>
  <c r="M77" i="66"/>
  <c r="J255" i="66"/>
  <c r="M112" i="66"/>
  <c r="H178" i="66"/>
  <c r="H89" i="66"/>
  <c r="M288" i="66"/>
  <c r="H62" i="66"/>
  <c r="M120" i="66"/>
  <c r="L97" i="66"/>
  <c r="L198" i="66"/>
  <c r="J19" i="66"/>
  <c r="L260" i="66"/>
  <c r="L89" i="66"/>
  <c r="J163" i="66"/>
  <c r="M209" i="66"/>
  <c r="M245" i="66"/>
  <c r="L14" i="66"/>
  <c r="J76" i="66"/>
  <c r="H52" i="66"/>
  <c r="K264" i="66"/>
  <c r="M61" i="66"/>
  <c r="H67" i="66"/>
  <c r="K245" i="66"/>
  <c r="H130" i="66"/>
  <c r="M76" i="66"/>
  <c r="L211" i="66"/>
  <c r="J158" i="66"/>
  <c r="M289" i="66"/>
  <c r="L113" i="66"/>
  <c r="M136" i="66"/>
  <c r="L114" i="66"/>
  <c r="J224" i="66"/>
  <c r="J203" i="66"/>
  <c r="K283" i="66"/>
  <c r="L137" i="66"/>
  <c r="M63" i="66"/>
  <c r="H98" i="66"/>
  <c r="L15" i="66"/>
  <c r="M122" i="66"/>
  <c r="M155" i="66"/>
  <c r="K70" i="66"/>
  <c r="J225" i="66"/>
  <c r="K97" i="66"/>
  <c r="M33" i="66"/>
  <c r="L149" i="66"/>
  <c r="L107" i="66"/>
  <c r="L196" i="66"/>
  <c r="J226" i="66"/>
  <c r="J240" i="66"/>
  <c r="H139" i="66"/>
  <c r="H279" i="66"/>
  <c r="J281" i="66"/>
  <c r="M64" i="66"/>
  <c r="J81" i="66"/>
  <c r="L67" i="66"/>
  <c r="J261" i="66"/>
  <c r="J136" i="66"/>
  <c r="M183" i="66"/>
  <c r="H93" i="66"/>
  <c r="H57" i="66"/>
  <c r="K160" i="66"/>
  <c r="K44" i="66"/>
  <c r="K81" i="66"/>
  <c r="L70" i="66"/>
  <c r="K120" i="66"/>
  <c r="K255" i="66"/>
  <c r="L178" i="66"/>
  <c r="M135" i="66"/>
  <c r="J282" i="66"/>
  <c r="M125" i="66"/>
  <c r="M128" i="66"/>
  <c r="K205" i="66"/>
  <c r="K130" i="66"/>
  <c r="J219" i="66"/>
  <c r="L24" i="66"/>
  <c r="M129" i="66"/>
  <c r="K166" i="66"/>
  <c r="L223" i="66"/>
  <c r="K256" i="66"/>
  <c r="M255" i="66"/>
  <c r="K92" i="66"/>
  <c r="K265" i="66"/>
  <c r="H115" i="66"/>
  <c r="J178" i="66"/>
  <c r="L282" i="66"/>
  <c r="K231" i="66"/>
  <c r="J63" i="66"/>
  <c r="M104" i="66"/>
  <c r="L145" i="66"/>
  <c r="K61" i="66"/>
  <c r="M160" i="66"/>
  <c r="H120" i="66"/>
  <c r="H287" i="66"/>
  <c r="K241" i="66"/>
  <c r="M208" i="66"/>
  <c r="L269" i="66"/>
  <c r="J215" i="66"/>
  <c r="L52" i="66"/>
  <c r="L158" i="66"/>
  <c r="J269" i="66"/>
  <c r="J70" i="66"/>
  <c r="J174" i="66"/>
  <c r="J285" i="66"/>
  <c r="L160" i="66"/>
  <c r="M240" i="66"/>
  <c r="K109" i="66"/>
  <c r="J149" i="66"/>
  <c r="J183" i="66"/>
  <c r="J237" i="66"/>
  <c r="L245" i="66"/>
  <c r="J131" i="66"/>
  <c r="M130" i="66"/>
  <c r="M156" i="66"/>
  <c r="L199" i="66"/>
  <c r="H63" i="66"/>
  <c r="H223" i="66"/>
  <c r="K64" i="66"/>
  <c r="L241" i="66"/>
  <c r="L121" i="66"/>
  <c r="M217" i="66"/>
  <c r="M226" i="66"/>
  <c r="M258" i="66"/>
  <c r="L117" i="66"/>
  <c r="M176" i="66"/>
  <c r="L157" i="66"/>
  <c r="L54" i="66"/>
  <c r="H278" i="66"/>
  <c r="H253" i="66"/>
  <c r="H165" i="66"/>
  <c r="L270" i="66"/>
  <c r="K200" i="66"/>
  <c r="L251" i="66"/>
  <c r="J99" i="66"/>
  <c r="H117" i="66"/>
  <c r="M197" i="66"/>
  <c r="K262" i="66"/>
  <c r="K115" i="66"/>
  <c r="L273" i="66"/>
  <c r="L125" i="66"/>
  <c r="J264" i="66"/>
  <c r="L289" i="66"/>
  <c r="K148" i="66"/>
  <c r="J117" i="66"/>
  <c r="K63" i="66"/>
  <c r="J75" i="66"/>
  <c r="H127" i="66"/>
  <c r="H241" i="66"/>
  <c r="M270" i="66"/>
  <c r="K233" i="66"/>
  <c r="J170" i="66"/>
  <c r="J120" i="66"/>
  <c r="M47" i="66"/>
  <c r="J209" i="66"/>
  <c r="J218" i="66"/>
  <c r="M60" i="66"/>
  <c r="J137" i="66"/>
  <c r="J30" i="66"/>
  <c r="M114" i="66"/>
  <c r="L88" i="66"/>
  <c r="M263" i="66"/>
  <c r="K137" i="66"/>
  <c r="J206" i="66"/>
  <c r="J251" i="66"/>
  <c r="M220" i="66"/>
  <c r="M70" i="66"/>
  <c r="M273" i="66"/>
  <c r="J92" i="66"/>
  <c r="J5" i="66"/>
  <c r="K269" i="66"/>
  <c r="K223" i="66"/>
  <c r="M115" i="66"/>
  <c r="J279" i="66"/>
  <c r="L129" i="66"/>
  <c r="K121" i="66"/>
  <c r="J144" i="66"/>
  <c r="J27" i="66"/>
  <c r="J213" i="66"/>
  <c r="K227" i="66"/>
  <c r="M29" i="66"/>
  <c r="J79" i="66"/>
  <c r="L265" i="66"/>
  <c r="M200" i="66"/>
  <c r="L82" i="66"/>
  <c r="J254" i="66"/>
  <c r="L130" i="66"/>
  <c r="H99" i="66"/>
  <c r="J95" i="66"/>
  <c r="J289" i="66"/>
  <c r="M157" i="66"/>
  <c r="K253" i="66"/>
  <c r="L19" i="66"/>
  <c r="L258" i="66"/>
  <c r="M24" i="66"/>
  <c r="K98" i="66"/>
  <c r="J208" i="66"/>
  <c r="M254" i="66"/>
  <c r="M241" i="66"/>
  <c r="M163" i="66"/>
  <c r="J156" i="66"/>
  <c r="J267" i="66"/>
  <c r="M52" i="66"/>
  <c r="K112" i="66"/>
  <c r="J11" i="66"/>
  <c r="J196" i="66"/>
  <c r="M173" i="66"/>
  <c r="K217" i="66"/>
  <c r="H182" i="66"/>
  <c r="H225" i="66"/>
  <c r="K149" i="66"/>
  <c r="M72" i="66"/>
  <c r="L215" i="66"/>
  <c r="J287" i="66"/>
  <c r="M11" i="66"/>
  <c r="K216" i="66"/>
  <c r="M266" i="66"/>
  <c r="M267" i="66"/>
  <c r="K230" i="66"/>
  <c r="K278" i="66"/>
  <c r="K168" i="66"/>
  <c r="M231" i="66"/>
  <c r="L63" i="66"/>
  <c r="L275" i="66"/>
  <c r="M191" i="66"/>
  <c r="L253" i="66"/>
  <c r="M216" i="66"/>
  <c r="M25" i="66"/>
  <c r="J139" i="66"/>
  <c r="M148" i="66"/>
  <c r="H267" i="66"/>
  <c r="L243" i="66"/>
  <c r="J54" i="66"/>
  <c r="M265" i="66"/>
  <c r="J112" i="66"/>
  <c r="J216" i="66"/>
  <c r="L55" i="66"/>
  <c r="H243" i="66"/>
  <c r="L16" i="66"/>
  <c r="L109" i="66"/>
  <c r="M225" i="66"/>
  <c r="L120" i="66"/>
  <c r="K279" i="66"/>
  <c r="L283" i="66"/>
  <c r="J165" i="66"/>
  <c r="K251" i="66"/>
  <c r="H137" i="66"/>
  <c r="L214" i="66"/>
  <c r="M269" i="66"/>
  <c r="M174" i="66"/>
  <c r="M205" i="66"/>
  <c r="L284" i="66"/>
  <c r="M67" i="66"/>
  <c r="L165" i="66"/>
  <c r="J275" i="66"/>
  <c r="K289" i="66"/>
  <c r="M196" i="66"/>
  <c r="H230" i="66"/>
  <c r="M30" i="66"/>
  <c r="M109" i="66"/>
  <c r="J241" i="66"/>
  <c r="J192" i="66"/>
  <c r="J111" i="66"/>
  <c r="L163" i="66"/>
  <c r="J260" i="66"/>
  <c r="M92" i="66"/>
  <c r="J160" i="66"/>
  <c r="J148" i="66"/>
  <c r="M218" i="66"/>
  <c r="K77" i="66"/>
  <c r="J258" i="66"/>
  <c r="J129" i="66"/>
  <c r="J129" i="74" s="1"/>
  <c r="K219" i="66"/>
  <c r="L246" i="66"/>
  <c r="M124" i="66"/>
  <c r="H75" i="66"/>
  <c r="K75" i="66"/>
  <c r="L216" i="66"/>
  <c r="M237" i="66"/>
  <c r="L231" i="66"/>
  <c r="M203" i="66"/>
  <c r="M178" i="66"/>
  <c r="H216" i="66"/>
  <c r="H153" i="66"/>
  <c r="L77" i="66"/>
  <c r="L92" i="66"/>
  <c r="H211" i="66"/>
  <c r="K182" i="66"/>
  <c r="H112" i="66"/>
  <c r="K178" i="66"/>
  <c r="L213" i="66"/>
  <c r="H273" i="66"/>
  <c r="M204" i="66"/>
  <c r="H16" i="66"/>
  <c r="L278" i="66"/>
  <c r="H157" i="66"/>
  <c r="L99" i="66"/>
  <c r="L255" i="66"/>
  <c r="K267" i="66"/>
  <c r="K163" i="66"/>
  <c r="K191" i="66"/>
  <c r="L225" i="66"/>
  <c r="K158" i="66"/>
  <c r="K14" i="66"/>
  <c r="M251" i="66"/>
  <c r="L61" i="66"/>
  <c r="K89" i="66"/>
  <c r="L290" i="66"/>
  <c r="H38" i="66"/>
  <c r="J166" i="66"/>
  <c r="L230" i="66"/>
  <c r="J58" i="66"/>
  <c r="M88" i="66"/>
  <c r="J90" i="66"/>
  <c r="K29" i="66"/>
  <c r="K18" i="66"/>
  <c r="J175" i="66"/>
  <c r="K235" i="66"/>
  <c r="H146" i="66"/>
  <c r="L79" i="66"/>
  <c r="L11" i="66"/>
  <c r="M78" i="66"/>
  <c r="L62" i="66"/>
  <c r="H151" i="66"/>
  <c r="L40" i="66"/>
  <c r="H49" i="66"/>
  <c r="L175" i="66"/>
  <c r="M202" i="66"/>
  <c r="M65" i="66"/>
  <c r="M111" i="66"/>
  <c r="M256" i="66"/>
  <c r="L217" i="66"/>
  <c r="J51" i="66"/>
  <c r="J176" i="66"/>
  <c r="M32" i="66"/>
  <c r="M177" i="66"/>
  <c r="K104" i="66"/>
  <c r="K275" i="66"/>
  <c r="L148" i="66"/>
  <c r="K242" i="66"/>
  <c r="L30" i="66"/>
  <c r="M259" i="66"/>
  <c r="L80" i="66"/>
  <c r="M123" i="66"/>
  <c r="L274" i="66"/>
  <c r="L197" i="66"/>
  <c r="K24" i="66"/>
  <c r="M253" i="66"/>
  <c r="J35" i="66"/>
  <c r="M232" i="66"/>
  <c r="K123" i="66"/>
  <c r="M39" i="66"/>
  <c r="M224" i="66"/>
  <c r="L32" i="66"/>
  <c r="M22" i="66"/>
  <c r="L151" i="66"/>
  <c r="M121" i="66"/>
  <c r="L65" i="66"/>
  <c r="J242" i="66"/>
  <c r="L26" i="66"/>
  <c r="K162" i="66"/>
  <c r="L98" i="66"/>
  <c r="J77" i="66"/>
  <c r="L44" i="66"/>
  <c r="M215" i="66"/>
  <c r="M190" i="66"/>
  <c r="J32" i="66"/>
  <c r="H249" i="66"/>
  <c r="L122" i="66"/>
  <c r="H123" i="66"/>
  <c r="L153" i="66"/>
  <c r="J221" i="66"/>
  <c r="M27" i="66"/>
  <c r="L103" i="66"/>
  <c r="J194" i="66"/>
  <c r="J55" i="66"/>
  <c r="J198" i="66"/>
  <c r="L17" i="66"/>
  <c r="L138" i="66"/>
  <c r="J43" i="66"/>
  <c r="H56" i="66"/>
  <c r="K206" i="66"/>
  <c r="J290" i="66"/>
  <c r="L249" i="66"/>
  <c r="M113" i="66"/>
  <c r="M113" i="74" s="1"/>
  <c r="H39" i="66"/>
  <c r="H291" i="66"/>
  <c r="H231" i="66"/>
  <c r="J125" i="66"/>
  <c r="M264" i="66"/>
  <c r="L111" i="66"/>
  <c r="L96" i="66"/>
  <c r="K16" i="66"/>
  <c r="K16" i="74" s="1"/>
  <c r="H226" i="66"/>
  <c r="H35" i="66"/>
  <c r="M158" i="66"/>
  <c r="L272" i="66"/>
  <c r="L182" i="66"/>
  <c r="J10" i="66"/>
  <c r="L176" i="66"/>
  <c r="J114" i="66"/>
  <c r="J189" i="66"/>
  <c r="L66" i="66"/>
  <c r="K101" i="66"/>
  <c r="J20" i="66"/>
  <c r="J103" i="66"/>
  <c r="M94" i="66"/>
  <c r="K87" i="66"/>
  <c r="J26" i="66"/>
  <c r="L25" i="66"/>
  <c r="L13" i="66"/>
  <c r="J116" i="66"/>
  <c r="J288" i="66"/>
  <c r="K114" i="66"/>
  <c r="J127" i="66"/>
  <c r="J152" i="66"/>
  <c r="M248" i="66"/>
  <c r="H95" i="66"/>
  <c r="L263" i="66"/>
  <c r="M80" i="66"/>
  <c r="J236" i="66"/>
  <c r="K155" i="66"/>
  <c r="J39" i="66"/>
  <c r="L170" i="66"/>
  <c r="J235" i="66"/>
  <c r="K187" i="66"/>
  <c r="K139" i="66"/>
  <c r="L191" i="66"/>
  <c r="K73" i="66"/>
  <c r="J8" i="66"/>
  <c r="L5" i="66"/>
  <c r="L287" i="66"/>
  <c r="M62" i="66"/>
  <c r="L74" i="66"/>
  <c r="J48" i="66"/>
  <c r="J150" i="66"/>
  <c r="M73" i="66"/>
  <c r="L33" i="66"/>
  <c r="L147" i="66"/>
  <c r="M249" i="66"/>
  <c r="H248" i="66"/>
  <c r="K100" i="66"/>
  <c r="K100" i="74" s="1"/>
  <c r="J249" i="66"/>
  <c r="K195" i="66"/>
  <c r="J185" i="66"/>
  <c r="L179" i="66"/>
  <c r="J106" i="66"/>
  <c r="L9" i="66"/>
  <c r="L119" i="66"/>
  <c r="H111" i="66"/>
  <c r="K62" i="66"/>
  <c r="L254" i="66"/>
  <c r="H134" i="66"/>
  <c r="K86" i="66"/>
  <c r="M278" i="66"/>
  <c r="K56" i="66"/>
  <c r="M262" i="66"/>
  <c r="H271" i="66"/>
  <c r="K82" i="66"/>
  <c r="M58" i="66"/>
  <c r="H256" i="66"/>
  <c r="L227" i="66"/>
  <c r="L78" i="66"/>
  <c r="L285" i="66"/>
  <c r="H24" i="66"/>
  <c r="M90" i="66"/>
  <c r="L206" i="66"/>
  <c r="H69" i="66"/>
  <c r="H45" i="66"/>
  <c r="L126" i="66"/>
  <c r="J49" i="66"/>
  <c r="L18" i="66"/>
  <c r="J161" i="66"/>
  <c r="M268" i="66"/>
  <c r="L127" i="66"/>
  <c r="H237" i="66"/>
  <c r="M45" i="66"/>
  <c r="L233" i="66"/>
  <c r="J201" i="66"/>
  <c r="M184" i="66"/>
  <c r="L210" i="66"/>
  <c r="J182" i="66"/>
  <c r="J83" i="66"/>
  <c r="H254" i="66"/>
  <c r="L187" i="66"/>
  <c r="K31" i="66"/>
  <c r="M154" i="66"/>
  <c r="L203" i="66"/>
  <c r="K210" i="66"/>
  <c r="L222" i="66"/>
  <c r="L164" i="66"/>
  <c r="L31" i="66"/>
  <c r="M53" i="66"/>
  <c r="L21" i="66"/>
  <c r="H41" i="66"/>
  <c r="J188" i="66"/>
  <c r="M5" i="66"/>
  <c r="M5" i="74" s="1"/>
  <c r="M280" i="66"/>
  <c r="M175" i="66"/>
  <c r="K25" i="66"/>
  <c r="J71" i="66"/>
  <c r="J247" i="66"/>
  <c r="K221" i="66"/>
  <c r="L50" i="66"/>
  <c r="L20" i="66"/>
  <c r="M95" i="66"/>
  <c r="J257" i="66"/>
  <c r="H179" i="66"/>
  <c r="L72" i="66"/>
  <c r="K33" i="66"/>
  <c r="L135" i="66"/>
  <c r="K145" i="66"/>
  <c r="J135" i="66"/>
  <c r="J23" i="66"/>
  <c r="L91" i="66"/>
  <c r="M223" i="66"/>
  <c r="J167" i="66"/>
  <c r="L100" i="66"/>
  <c r="M141" i="66"/>
  <c r="H86" i="66"/>
  <c r="J15" i="66"/>
  <c r="L39" i="66"/>
  <c r="K194" i="66"/>
  <c r="J246" i="66"/>
  <c r="J126" i="66"/>
  <c r="M161" i="66"/>
  <c r="L261" i="66"/>
  <c r="L64" i="66"/>
  <c r="J169" i="66"/>
  <c r="J119" i="66"/>
  <c r="J119" i="74" s="1"/>
  <c r="M188" i="66"/>
  <c r="K203" i="66"/>
  <c r="M182" i="66"/>
  <c r="J87" i="66"/>
  <c r="H91" i="66"/>
  <c r="J205" i="66"/>
  <c r="J274" i="66"/>
  <c r="M144" i="66"/>
  <c r="J62" i="66"/>
  <c r="J62" i="74" s="1"/>
  <c r="H82" i="66"/>
  <c r="J168" i="66"/>
  <c r="H43" i="66"/>
  <c r="J243" i="66"/>
  <c r="J66" i="66"/>
  <c r="L71" i="66"/>
  <c r="H171" i="66"/>
  <c r="L47" i="66"/>
  <c r="J82" i="66"/>
  <c r="J141" i="66"/>
  <c r="L189" i="66"/>
  <c r="K111" i="66"/>
  <c r="L185" i="66"/>
  <c r="K243" i="66"/>
  <c r="K232" i="66"/>
  <c r="J179" i="66"/>
  <c r="J86" i="66"/>
  <c r="M79" i="66"/>
  <c r="L102" i="66"/>
  <c r="M12" i="66"/>
  <c r="L259" i="66"/>
  <c r="J93" i="66"/>
  <c r="J93" i="74" s="1"/>
  <c r="J7" i="66"/>
  <c r="J197" i="66"/>
  <c r="H87" i="66"/>
  <c r="H163" i="66"/>
  <c r="L35" i="66"/>
  <c r="J151" i="66"/>
  <c r="M59" i="66"/>
  <c r="H8" i="66"/>
  <c r="J210" i="66"/>
  <c r="K8" i="66"/>
  <c r="M286" i="66"/>
  <c r="H110" i="66"/>
  <c r="J105" i="66"/>
  <c r="M153" i="66"/>
  <c r="M28" i="66"/>
  <c r="L257" i="66"/>
  <c r="L42" i="66"/>
  <c r="H194" i="66"/>
  <c r="K4" i="66"/>
  <c r="M271" i="66"/>
  <c r="M238" i="66"/>
  <c r="J252" i="66"/>
  <c r="L146" i="66"/>
  <c r="H274" i="66"/>
  <c r="K274" i="66"/>
  <c r="M75" i="66"/>
  <c r="J102" i="66"/>
  <c r="H31" i="66"/>
  <c r="M118" i="66"/>
  <c r="M34" i="66"/>
  <c r="K169" i="66"/>
  <c r="M189" i="66"/>
  <c r="H104" i="66"/>
  <c r="K207" i="66"/>
  <c r="M285" i="66"/>
  <c r="L281" i="66"/>
  <c r="M159" i="66"/>
  <c r="L81" i="66"/>
  <c r="H290" i="66"/>
  <c r="H103" i="66"/>
  <c r="J232" i="66"/>
  <c r="J186" i="66"/>
  <c r="M142" i="66"/>
  <c r="L169" i="66"/>
  <c r="H7" i="66"/>
  <c r="K66" i="66"/>
  <c r="L212" i="66"/>
  <c r="L83" i="66"/>
  <c r="J164" i="66"/>
  <c r="L105" i="66"/>
  <c r="L105" i="74" s="1"/>
  <c r="K118" i="66"/>
  <c r="K15" i="66"/>
  <c r="J153" i="66"/>
  <c r="J146" i="66"/>
  <c r="J24" i="66"/>
  <c r="H199" i="66"/>
  <c r="H129" i="66"/>
  <c r="H129" i="74" s="1"/>
  <c r="J113" i="66"/>
  <c r="K147" i="66"/>
  <c r="L201" i="66"/>
  <c r="K83" i="66"/>
  <c r="K193" i="66"/>
  <c r="L86" i="66"/>
  <c r="L141" i="66"/>
  <c r="M210" i="66"/>
  <c r="K236" i="66"/>
  <c r="M106" i="66"/>
  <c r="J110" i="66"/>
  <c r="J28" i="66"/>
  <c r="J268" i="66"/>
  <c r="L195" i="66"/>
  <c r="J118" i="66"/>
  <c r="M211" i="66"/>
  <c r="J272" i="66"/>
  <c r="K177" i="66"/>
  <c r="L134" i="66"/>
  <c r="K159" i="66"/>
  <c r="H33" i="66"/>
  <c r="L247" i="66"/>
  <c r="H261" i="66"/>
  <c r="L29" i="66"/>
  <c r="K91" i="66"/>
  <c r="K40" i="66"/>
  <c r="L118" i="66"/>
  <c r="H141" i="66"/>
  <c r="H141" i="74" s="1"/>
  <c r="H247" i="66"/>
  <c r="J214" i="66"/>
  <c r="K171" i="66"/>
  <c r="H34" i="66"/>
  <c r="M272" i="66"/>
  <c r="K214" i="66"/>
  <c r="H15" i="66"/>
  <c r="K88" i="66"/>
  <c r="J193" i="66"/>
  <c r="J12" i="66"/>
  <c r="J12" i="74" s="1"/>
  <c r="L101" i="66"/>
  <c r="J21" i="66"/>
  <c r="J47" i="66"/>
  <c r="J270" i="66"/>
  <c r="H193" i="66"/>
  <c r="L193" i="66"/>
  <c r="J284" i="66"/>
  <c r="L207" i="66"/>
  <c r="M91" i="66"/>
  <c r="J6" i="66"/>
  <c r="J6" i="74" s="1"/>
  <c r="J44" i="66"/>
  <c r="K211" i="66"/>
  <c r="M244" i="66"/>
  <c r="M96" i="66"/>
  <c r="K157" i="66"/>
  <c r="J72" i="66"/>
  <c r="L226" i="66"/>
  <c r="J231" i="66"/>
  <c r="M71" i="66"/>
  <c r="K127" i="66"/>
  <c r="K13" i="66"/>
  <c r="H281" i="66"/>
  <c r="L162" i="66"/>
  <c r="K151" i="66"/>
  <c r="K39" i="66"/>
  <c r="K19" i="66"/>
  <c r="K19" i="74" s="1"/>
  <c r="K107" i="66"/>
  <c r="M169" i="66"/>
  <c r="J60" i="66"/>
  <c r="K129" i="66"/>
  <c r="J50" i="66"/>
  <c r="J50" i="74" s="1"/>
  <c r="J14" i="66"/>
  <c r="K247" i="66"/>
  <c r="M127" i="66"/>
  <c r="M235" i="66"/>
  <c r="L140" i="66"/>
  <c r="H135" i="66"/>
  <c r="K43" i="66"/>
  <c r="L43" i="66"/>
  <c r="H177" i="66"/>
  <c r="J227" i="66"/>
  <c r="M143" i="66"/>
  <c r="L110" i="66"/>
  <c r="H152" i="66"/>
  <c r="M4" i="66"/>
  <c r="L57" i="66"/>
  <c r="M152" i="66"/>
  <c r="J211" i="66"/>
  <c r="H219" i="66"/>
  <c r="J29" i="66"/>
  <c r="K188" i="66"/>
  <c r="J45" i="66"/>
  <c r="M49" i="66"/>
  <c r="H185" i="66"/>
  <c r="K146" i="66"/>
  <c r="J88" i="66"/>
  <c r="M250" i="66"/>
  <c r="J94" i="66"/>
  <c r="J94" i="74" s="1"/>
  <c r="L232" i="66"/>
  <c r="J195" i="66"/>
  <c r="J65" i="66"/>
  <c r="J159" i="66"/>
  <c r="J256" i="66"/>
  <c r="M105" i="66"/>
  <c r="L194" i="66"/>
  <c r="L221" i="66"/>
  <c r="M279" i="66"/>
  <c r="J222" i="66"/>
  <c r="K140" i="66"/>
  <c r="K143" i="66"/>
  <c r="L73" i="66"/>
  <c r="H175" i="66"/>
  <c r="J41" i="66"/>
  <c r="J38" i="66"/>
  <c r="J38" i="74" s="1"/>
  <c r="L49" i="66"/>
  <c r="M172" i="66"/>
  <c r="J172" i="66"/>
  <c r="M192" i="66"/>
  <c r="L186" i="66"/>
  <c r="H183" i="66"/>
  <c r="M93" i="66"/>
  <c r="M93" i="74" s="1"/>
  <c r="M207" i="66"/>
  <c r="J40" i="66"/>
  <c r="J40" i="74" s="1"/>
  <c r="L45" i="66"/>
  <c r="K152" i="66"/>
  <c r="M193" i="66"/>
  <c r="H289" i="66"/>
  <c r="J91" i="66"/>
  <c r="H13" i="66"/>
  <c r="H275" i="66"/>
  <c r="H207" i="66"/>
  <c r="J97" i="66"/>
  <c r="L183" i="66"/>
  <c r="K239" i="66"/>
  <c r="J157" i="66"/>
  <c r="K225" i="66"/>
  <c r="M107" i="66"/>
  <c r="M221" i="66"/>
  <c r="J187" i="66"/>
  <c r="L234" i="66"/>
  <c r="H206" i="66"/>
  <c r="H205" i="66"/>
  <c r="H19" i="66"/>
  <c r="M38" i="66"/>
  <c r="H145" i="66"/>
  <c r="J250" i="66"/>
  <c r="H233" i="66"/>
  <c r="M119" i="66"/>
  <c r="H191" i="66"/>
  <c r="J68" i="66"/>
  <c r="H51" i="66"/>
  <c r="K134" i="66"/>
  <c r="L48" i="66"/>
  <c r="L7" i="66"/>
  <c r="M252" i="66"/>
  <c r="M15" i="66"/>
  <c r="K173" i="66"/>
  <c r="J18" i="66"/>
  <c r="K72" i="66"/>
  <c r="H239" i="66"/>
  <c r="M284" i="66"/>
  <c r="M86" i="66"/>
  <c r="M14" i="66"/>
  <c r="M14" i="74" s="1"/>
  <c r="L144" i="66"/>
  <c r="L116" i="66"/>
  <c r="K131" i="66"/>
  <c r="K131" i="74" s="1"/>
  <c r="L264" i="66"/>
  <c r="K280" i="66"/>
  <c r="M170" i="66"/>
  <c r="J22" i="66"/>
  <c r="J22" i="74" s="1"/>
  <c r="L136" i="66"/>
  <c r="H47" i="66"/>
  <c r="J280" i="66"/>
  <c r="L279" i="66"/>
  <c r="M13" i="66"/>
  <c r="M274" i="66"/>
  <c r="L90" i="66"/>
  <c r="L87" i="66"/>
  <c r="K135" i="66"/>
  <c r="K135" i="74" s="1"/>
  <c r="K79" i="66"/>
  <c r="M239" i="66"/>
  <c r="L22" i="66"/>
  <c r="M214" i="66"/>
  <c r="L242" i="66"/>
  <c r="H244" i="66"/>
  <c r="M74" i="66"/>
  <c r="J191" i="66"/>
  <c r="M51" i="66"/>
  <c r="J31" i="66"/>
  <c r="L239" i="66"/>
  <c r="L68" i="66"/>
  <c r="L150" i="66"/>
  <c r="K259" i="66"/>
  <c r="J17" i="66"/>
  <c r="M162" i="66"/>
  <c r="L161" i="66"/>
  <c r="L235" i="66"/>
  <c r="K291" i="66"/>
  <c r="M234" i="66"/>
  <c r="L266" i="66"/>
  <c r="J13" i="66"/>
  <c r="J34" i="66"/>
  <c r="J34" i="74" s="1"/>
  <c r="M134" i="66"/>
  <c r="H97" i="66"/>
  <c r="M100" i="66"/>
  <c r="H131" i="66"/>
  <c r="H79" i="66"/>
  <c r="J147" i="66"/>
  <c r="J147" i="74" s="1"/>
  <c r="K103" i="66"/>
  <c r="L244" i="66"/>
  <c r="L280" i="66"/>
  <c r="J286" i="66"/>
  <c r="K22" i="66"/>
  <c r="J33" i="66"/>
  <c r="J171" i="66"/>
  <c r="J154" i="66"/>
  <c r="L208" i="66"/>
  <c r="J173" i="66"/>
  <c r="L6" i="66"/>
  <c r="L224" i="66"/>
  <c r="L240" i="66"/>
  <c r="K110" i="66"/>
  <c r="H83" i="66"/>
  <c r="L159" i="66"/>
  <c r="M166" i="66"/>
  <c r="L53" i="66"/>
  <c r="K55" i="66"/>
  <c r="K55" i="74" s="1"/>
  <c r="H143" i="66"/>
  <c r="J162" i="66"/>
  <c r="H159" i="66"/>
  <c r="K290" i="66"/>
  <c r="K185" i="66"/>
  <c r="L51" i="66"/>
  <c r="L51" i="74" s="1"/>
  <c r="L271" i="66"/>
  <c r="K175" i="66"/>
  <c r="L236" i="66"/>
  <c r="H109" i="66"/>
  <c r="J140" i="66"/>
  <c r="M43" i="66"/>
  <c r="M66" i="66"/>
  <c r="J177" i="66"/>
  <c r="K284" i="66"/>
  <c r="K254" i="66"/>
  <c r="J42" i="66"/>
  <c r="M139" i="66"/>
  <c r="H14" i="66"/>
  <c r="H14" i="74" s="1"/>
  <c r="J142" i="66"/>
  <c r="L155" i="66"/>
  <c r="H168" i="66"/>
  <c r="J69" i="66"/>
  <c r="L34" i="66"/>
  <c r="M87" i="66"/>
  <c r="H9" i="66"/>
  <c r="J25" i="66"/>
  <c r="L168" i="66"/>
  <c r="J123" i="66"/>
  <c r="J123" i="74" s="1"/>
  <c r="H283" i="66"/>
  <c r="M31" i="66"/>
  <c r="L95" i="66"/>
  <c r="M236" i="66"/>
  <c r="M219" i="66"/>
  <c r="J46" i="66"/>
  <c r="L192" i="66"/>
  <c r="L167" i="66"/>
  <c r="K184" i="66"/>
  <c r="J248" i="66"/>
  <c r="L188" i="66"/>
  <c r="M108" i="66"/>
  <c r="M57" i="66"/>
  <c r="J25" i="74" l="1"/>
  <c r="M39" i="74"/>
  <c r="L79" i="74"/>
  <c r="K121" i="74"/>
  <c r="M43" i="74"/>
  <c r="H83" i="74"/>
  <c r="H79" i="74"/>
  <c r="M13" i="74"/>
  <c r="K72" i="74"/>
  <c r="H51" i="74"/>
  <c r="M12" i="74"/>
  <c r="K111" i="74"/>
  <c r="L147" i="74"/>
  <c r="L5" i="74"/>
  <c r="J39" i="74"/>
  <c r="L16" i="74"/>
  <c r="K64" i="74"/>
  <c r="H98" i="74"/>
  <c r="K52" i="74"/>
  <c r="J55" i="74"/>
  <c r="J46" i="74"/>
  <c r="J18" i="74"/>
  <c r="J68" i="74"/>
  <c r="K143" i="74"/>
  <c r="M96" i="74"/>
  <c r="K83" i="74"/>
  <c r="H7" i="74"/>
  <c r="L35" i="74"/>
  <c r="L102" i="74"/>
  <c r="M17" i="74"/>
  <c r="K33" i="74"/>
  <c r="L21" i="74"/>
  <c r="L126" i="74"/>
  <c r="K86" i="74"/>
  <c r="L33" i="74"/>
  <c r="H16" i="74"/>
  <c r="M129" i="74"/>
  <c r="J109" i="74"/>
  <c r="J132" i="74"/>
  <c r="N9" i="74"/>
  <c r="N97" i="74"/>
  <c r="M127" i="74"/>
  <c r="L146" i="74"/>
  <c r="M57" i="74"/>
  <c r="M139" i="74"/>
  <c r="L116" i="74"/>
  <c r="J65" i="74"/>
  <c r="M4" i="74"/>
  <c r="J60" i="74"/>
  <c r="L118" i="74"/>
  <c r="J141" i="74"/>
  <c r="J71" i="74"/>
  <c r="H134" i="74"/>
  <c r="M73" i="74"/>
  <c r="H56" i="74"/>
  <c r="L30" i="74"/>
  <c r="H85" i="74"/>
  <c r="N16" i="74"/>
  <c r="N85" i="74"/>
  <c r="K79" i="74"/>
  <c r="L140" i="74"/>
  <c r="K127" i="74"/>
  <c r="K4" i="74"/>
  <c r="S4" i="74" s="1"/>
  <c r="J82" i="74"/>
  <c r="M58" i="74"/>
  <c r="K101" i="74"/>
  <c r="N108" i="74"/>
  <c r="N119" i="74"/>
  <c r="K139" i="74"/>
  <c r="L138" i="74"/>
  <c r="K89" i="74"/>
  <c r="L29" i="74"/>
  <c r="L74" i="74"/>
  <c r="L32" i="74"/>
  <c r="M111" i="74"/>
  <c r="L61" i="74"/>
  <c r="L112" i="74"/>
  <c r="J37" i="74"/>
  <c r="N100" i="74"/>
  <c r="N34" i="74"/>
  <c r="N56" i="74"/>
  <c r="J17" i="74"/>
  <c r="M62" i="74"/>
  <c r="M65" i="74"/>
  <c r="N61" i="74"/>
  <c r="J118" i="74"/>
  <c r="M114" i="74"/>
  <c r="L54" i="74"/>
  <c r="J81" i="74"/>
  <c r="N67" i="74"/>
  <c r="J59" i="74"/>
  <c r="L53" i="74"/>
  <c r="H43" i="74"/>
  <c r="J69" i="74"/>
  <c r="H109" i="74"/>
  <c r="J120" i="74"/>
  <c r="H143" i="74"/>
  <c r="L144" i="74"/>
  <c r="M144" i="74"/>
  <c r="L65" i="74"/>
  <c r="L55" i="74"/>
  <c r="K88" i="74"/>
  <c r="X88" i="74" s="1"/>
  <c r="J28" i="74"/>
  <c r="J87" i="74"/>
  <c r="L39" i="74"/>
  <c r="L70" i="74"/>
  <c r="M82" i="74"/>
  <c r="L132" i="74"/>
  <c r="N12" i="74"/>
  <c r="N36" i="74"/>
  <c r="N110" i="74"/>
  <c r="N63" i="74"/>
  <c r="L72" i="74"/>
  <c r="J88" i="74"/>
  <c r="H131" i="74"/>
  <c r="M66" i="74"/>
  <c r="L81" i="74"/>
  <c r="M79" i="74"/>
  <c r="Q79" i="74" s="1"/>
  <c r="W79" i="74" s="1"/>
  <c r="M138" i="74"/>
  <c r="L90" i="74"/>
  <c r="J142" i="74"/>
  <c r="J126" i="74"/>
  <c r="K97" i="74"/>
  <c r="T97" i="74" s="1"/>
  <c r="K133" i="74"/>
  <c r="T133" i="74" s="1"/>
  <c r="J42" i="74"/>
  <c r="K14" i="74"/>
  <c r="X14" i="74" s="1"/>
  <c r="J140" i="74"/>
  <c r="J127" i="74"/>
  <c r="N7" i="74"/>
  <c r="M38" i="74"/>
  <c r="J14" i="74"/>
  <c r="M59" i="74"/>
  <c r="N46" i="74"/>
  <c r="M71" i="74"/>
  <c r="M143" i="74"/>
  <c r="Q143" i="74" s="1"/>
  <c r="W143" i="74" s="1"/>
  <c r="H37" i="74"/>
  <c r="N84" i="74"/>
  <c r="N58" i="74"/>
  <c r="J31" i="74"/>
  <c r="M53" i="74"/>
  <c r="M27" i="74"/>
  <c r="J100" i="74"/>
  <c r="H97" i="74"/>
  <c r="J91" i="74"/>
  <c r="L43" i="74"/>
  <c r="K24" i="74"/>
  <c r="T24" i="74" s="1"/>
  <c r="M74" i="74"/>
  <c r="J21" i="74"/>
  <c r="H120" i="74"/>
  <c r="M107" i="74"/>
  <c r="H135" i="74"/>
  <c r="H38" i="74"/>
  <c r="K103" i="74"/>
  <c r="J41" i="74"/>
  <c r="J24" i="74"/>
  <c r="J116" i="74"/>
  <c r="L52" i="74"/>
  <c r="M118" i="74"/>
  <c r="K56" i="74"/>
  <c r="M45" i="74"/>
  <c r="L45" i="74"/>
  <c r="K39" i="74"/>
  <c r="X39" i="74" s="1"/>
  <c r="J113" i="74"/>
  <c r="K132" i="74"/>
  <c r="X132" i="74" s="1"/>
  <c r="J133" i="74"/>
  <c r="N33" i="74"/>
  <c r="J139" i="74"/>
  <c r="M29" i="74"/>
  <c r="N129" i="74"/>
  <c r="N139" i="74"/>
  <c r="L87" i="74"/>
  <c r="K134" i="74"/>
  <c r="T134" i="74" s="1"/>
  <c r="L31" i="74"/>
  <c r="H69" i="74"/>
  <c r="J7" i="74"/>
  <c r="H123" i="74"/>
  <c r="L101" i="74"/>
  <c r="H110" i="74"/>
  <c r="K73" i="74"/>
  <c r="T73" i="74" s="1"/>
  <c r="L125" i="74"/>
  <c r="M108" i="74"/>
  <c r="H111" i="74"/>
  <c r="L13" i="74"/>
  <c r="K114" i="74"/>
  <c r="Q114" i="74" s="1"/>
  <c r="W114" i="74" s="1"/>
  <c r="K129" i="74"/>
  <c r="Q129" i="74" s="1"/>
  <c r="W129" i="74" s="1"/>
  <c r="L22" i="74"/>
  <c r="K22" i="74"/>
  <c r="X22" i="74" s="1"/>
  <c r="L134" i="74"/>
  <c r="H45" i="74"/>
  <c r="L19" i="74"/>
  <c r="H115" i="74"/>
  <c r="K87" i="74"/>
  <c r="T87" i="74" s="1"/>
  <c r="L95" i="74"/>
  <c r="K107" i="74"/>
  <c r="X107" i="74" s="1"/>
  <c r="J111" i="74"/>
  <c r="M52" i="74"/>
  <c r="S52" i="74" s="1"/>
  <c r="L97" i="74"/>
  <c r="J89" i="74"/>
  <c r="J73" i="74"/>
  <c r="M31" i="74"/>
  <c r="M86" i="74"/>
  <c r="S86" i="74" s="1"/>
  <c r="L83" i="74"/>
  <c r="J135" i="74"/>
  <c r="L99" i="74"/>
  <c r="L67" i="74"/>
  <c r="H52" i="74"/>
  <c r="N13" i="74"/>
  <c r="M119" i="74"/>
  <c r="K145" i="74"/>
  <c r="T145" i="74" s="1"/>
  <c r="M109" i="74"/>
  <c r="H99" i="74"/>
  <c r="H9" i="74"/>
  <c r="J84" i="74"/>
  <c r="J5" i="74"/>
  <c r="J44" i="74"/>
  <c r="K18" i="74"/>
  <c r="T18" i="74" s="1"/>
  <c r="M106" i="74"/>
  <c r="L34" i="74"/>
  <c r="H19" i="74"/>
  <c r="H33" i="74"/>
  <c r="J77" i="74"/>
  <c r="K43" i="74"/>
  <c r="Q43" i="74" s="1"/>
  <c r="W43" i="74" s="1"/>
  <c r="M78" i="74"/>
  <c r="M130" i="74"/>
  <c r="J108" i="74"/>
  <c r="M56" i="74"/>
  <c r="J16" i="74"/>
  <c r="M10" i="74"/>
  <c r="L143" i="74"/>
  <c r="K35" i="74"/>
  <c r="T35" i="74" s="1"/>
  <c r="N82" i="74"/>
  <c r="N60" i="74"/>
  <c r="M91" i="74"/>
  <c r="J114" i="74"/>
  <c r="K53" i="74"/>
  <c r="T53" i="74" s="1"/>
  <c r="N55" i="74"/>
  <c r="J75" i="74"/>
  <c r="K84" i="74"/>
  <c r="X84" i="74" s="1"/>
  <c r="N81" i="74"/>
  <c r="H84" i="74"/>
  <c r="N62" i="74"/>
  <c r="J13" i="74"/>
  <c r="L49" i="74"/>
  <c r="M75" i="74"/>
  <c r="H35" i="74"/>
  <c r="M70" i="74"/>
  <c r="K92" i="74"/>
  <c r="T92" i="74" s="1"/>
  <c r="K34" i="74"/>
  <c r="X34" i="74" s="1"/>
  <c r="H72" i="74"/>
  <c r="L85" i="74"/>
  <c r="N120" i="74"/>
  <c r="K110" i="74"/>
  <c r="T110" i="74" s="1"/>
  <c r="J29" i="74"/>
  <c r="J23" i="74"/>
  <c r="M33" i="74"/>
  <c r="S33" i="74" s="1"/>
  <c r="K47" i="74"/>
  <c r="X47" i="74" s="1"/>
  <c r="J134" i="74"/>
  <c r="K37" i="74"/>
  <c r="X37" i="74" s="1"/>
  <c r="N23" i="74"/>
  <c r="N127" i="74"/>
  <c r="N75" i="74"/>
  <c r="H24" i="74"/>
  <c r="J20" i="74"/>
  <c r="L122" i="74"/>
  <c r="L11" i="74"/>
  <c r="L77" i="74"/>
  <c r="J144" i="74"/>
  <c r="H63" i="74"/>
  <c r="L114" i="74"/>
  <c r="K125" i="74"/>
  <c r="T125" i="74" s="1"/>
  <c r="K5" i="74"/>
  <c r="X5" i="74" s="1"/>
  <c r="K36" i="74"/>
  <c r="X36" i="74" s="1"/>
  <c r="N4" i="74"/>
  <c r="N115" i="74"/>
  <c r="N93" i="74"/>
  <c r="K40" i="74"/>
  <c r="X40" i="74" s="1"/>
  <c r="K25" i="74"/>
  <c r="X25" i="74" s="1"/>
  <c r="M123" i="74"/>
  <c r="M72" i="74"/>
  <c r="S72" i="74" s="1"/>
  <c r="K61" i="74"/>
  <c r="T61" i="74" s="1"/>
  <c r="J76" i="74"/>
  <c r="K99" i="74"/>
  <c r="M81" i="74"/>
  <c r="H55" i="74"/>
  <c r="M23" i="74"/>
  <c r="J96" i="74"/>
  <c r="N47" i="74"/>
  <c r="N132" i="74"/>
  <c r="N43" i="74"/>
  <c r="N27" i="74"/>
  <c r="N130" i="74"/>
  <c r="L57" i="74"/>
  <c r="M100" i="74"/>
  <c r="S100" i="74" s="1"/>
  <c r="H145" i="74"/>
  <c r="K140" i="74"/>
  <c r="K13" i="74"/>
  <c r="H15" i="74"/>
  <c r="J110" i="74"/>
  <c r="H8" i="74"/>
  <c r="L71" i="74"/>
  <c r="J15" i="74"/>
  <c r="L119" i="74"/>
  <c r="J125" i="74"/>
  <c r="J54" i="74"/>
  <c r="L82" i="74"/>
  <c r="M115" i="74"/>
  <c r="L88" i="74"/>
  <c r="L117" i="74"/>
  <c r="J131" i="74"/>
  <c r="J63" i="74"/>
  <c r="L24" i="74"/>
  <c r="K81" i="74"/>
  <c r="M122" i="74"/>
  <c r="M112" i="74"/>
  <c r="H105" i="74"/>
  <c r="M126" i="74"/>
  <c r="J64" i="74"/>
  <c r="L93" i="74"/>
  <c r="K49" i="74"/>
  <c r="K51" i="74"/>
  <c r="J52" i="74"/>
  <c r="K85" i="74"/>
  <c r="L133" i="74"/>
  <c r="N143" i="74"/>
  <c r="N49" i="74"/>
  <c r="N112" i="74"/>
  <c r="N91" i="74"/>
  <c r="K31" i="74"/>
  <c r="L17" i="74"/>
  <c r="J97" i="74"/>
  <c r="T127" i="74"/>
  <c r="Q127" i="74"/>
  <c r="W127" i="74" s="1"/>
  <c r="X127" i="74"/>
  <c r="S127" i="74"/>
  <c r="M142" i="74"/>
  <c r="J86" i="74"/>
  <c r="J66" i="74"/>
  <c r="H86" i="74"/>
  <c r="L18" i="74"/>
  <c r="L9" i="74"/>
  <c r="L44" i="74"/>
  <c r="K98" i="74"/>
  <c r="H127" i="74"/>
  <c r="H117" i="74"/>
  <c r="K44" i="74"/>
  <c r="H139" i="74"/>
  <c r="L15" i="74"/>
  <c r="J78" i="74"/>
  <c r="M9" i="74"/>
  <c r="M48" i="74"/>
  <c r="J138" i="74"/>
  <c r="K38" i="74"/>
  <c r="K11" i="74"/>
  <c r="J56" i="74"/>
  <c r="L36" i="74"/>
  <c r="J36" i="74"/>
  <c r="H4" i="74"/>
  <c r="N8" i="74"/>
  <c r="N124" i="74"/>
  <c r="N37" i="74"/>
  <c r="H104" i="74"/>
  <c r="X33" i="74"/>
  <c r="T33" i="74"/>
  <c r="M87" i="74"/>
  <c r="M134" i="74"/>
  <c r="L68" i="74"/>
  <c r="X135" i="74"/>
  <c r="T135" i="74"/>
  <c r="K146" i="74"/>
  <c r="L110" i="74"/>
  <c r="J146" i="74"/>
  <c r="M34" i="74"/>
  <c r="M141" i="74"/>
  <c r="H41" i="74"/>
  <c r="J83" i="74"/>
  <c r="J49" i="74"/>
  <c r="K82" i="74"/>
  <c r="J106" i="74"/>
  <c r="J48" i="74"/>
  <c r="J10" i="74"/>
  <c r="K123" i="74"/>
  <c r="K29" i="74"/>
  <c r="M24" i="74"/>
  <c r="J30" i="74"/>
  <c r="J99" i="74"/>
  <c r="K130" i="74"/>
  <c r="M76" i="74"/>
  <c r="L89" i="74"/>
  <c r="M77" i="74"/>
  <c r="L41" i="74"/>
  <c r="J130" i="74"/>
  <c r="J145" i="74"/>
  <c r="M26" i="74"/>
  <c r="L131" i="74"/>
  <c r="H81" i="74"/>
  <c r="J57" i="74"/>
  <c r="M42" i="74"/>
  <c r="J101" i="74"/>
  <c r="N24" i="74"/>
  <c r="N19" i="74"/>
  <c r="N15" i="74"/>
  <c r="N106" i="74"/>
  <c r="N14" i="74"/>
  <c r="N57" i="74"/>
  <c r="K77" i="74"/>
  <c r="M104" i="74"/>
  <c r="M140" i="74"/>
  <c r="J33" i="74"/>
  <c r="L7" i="74"/>
  <c r="H34" i="74"/>
  <c r="L42" i="74"/>
  <c r="L100" i="74"/>
  <c r="M95" i="74"/>
  <c r="L25" i="74"/>
  <c r="H39" i="74"/>
  <c r="L103" i="74"/>
  <c r="L98" i="74"/>
  <c r="H49" i="74"/>
  <c r="J90" i="74"/>
  <c r="M92" i="74"/>
  <c r="L120" i="74"/>
  <c r="J79" i="74"/>
  <c r="J137" i="74"/>
  <c r="K63" i="74"/>
  <c r="H57" i="74"/>
  <c r="M63" i="74"/>
  <c r="H130" i="74"/>
  <c r="M97" i="74"/>
  <c r="H50" i="74"/>
  <c r="L4" i="74"/>
  <c r="M19" i="74"/>
  <c r="S19" i="74" s="1"/>
  <c r="H61" i="74"/>
  <c r="L84" i="74"/>
  <c r="N134" i="74"/>
  <c r="N145" i="74"/>
  <c r="N71" i="74"/>
  <c r="X143" i="74"/>
  <c r="T143" i="74"/>
  <c r="J115" i="74"/>
  <c r="S79" i="74"/>
  <c r="X79" i="74"/>
  <c r="T79" i="74"/>
  <c r="L48" i="74"/>
  <c r="H13" i="74"/>
  <c r="M49" i="74"/>
  <c r="L141" i="74"/>
  <c r="K15" i="74"/>
  <c r="H103" i="74"/>
  <c r="H31" i="74"/>
  <c r="L20" i="74"/>
  <c r="J26" i="74"/>
  <c r="J35" i="74"/>
  <c r="K104" i="74"/>
  <c r="L40" i="74"/>
  <c r="M88" i="74"/>
  <c r="H112" i="74"/>
  <c r="K75" i="74"/>
  <c r="M67" i="74"/>
  <c r="J11" i="74"/>
  <c r="J92" i="74"/>
  <c r="M60" i="74"/>
  <c r="J117" i="74"/>
  <c r="L121" i="74"/>
  <c r="M128" i="74"/>
  <c r="H93" i="74"/>
  <c r="L137" i="74"/>
  <c r="J19" i="74"/>
  <c r="K59" i="74"/>
  <c r="H147" i="74"/>
  <c r="L69" i="74"/>
  <c r="M110" i="74"/>
  <c r="J104" i="74"/>
  <c r="J98" i="74"/>
  <c r="H27" i="74"/>
  <c r="H21" i="74"/>
  <c r="H36" i="74"/>
  <c r="N45" i="74"/>
  <c r="N10" i="74"/>
  <c r="N95" i="74"/>
  <c r="N79" i="74"/>
  <c r="J47" i="74"/>
  <c r="M15" i="74"/>
  <c r="T131" i="74"/>
  <c r="X131" i="74"/>
  <c r="M105" i="74"/>
  <c r="J45" i="74"/>
  <c r="J72" i="74"/>
  <c r="L86" i="74"/>
  <c r="K118" i="74"/>
  <c r="J102" i="74"/>
  <c r="M28" i="74"/>
  <c r="H87" i="74"/>
  <c r="H82" i="74"/>
  <c r="L64" i="74"/>
  <c r="L50" i="74"/>
  <c r="M80" i="74"/>
  <c r="L26" i="74"/>
  <c r="J58" i="74"/>
  <c r="H75" i="74"/>
  <c r="L109" i="74"/>
  <c r="M25" i="74"/>
  <c r="K112" i="74"/>
  <c r="K109" i="74"/>
  <c r="M125" i="74"/>
  <c r="L107" i="74"/>
  <c r="H67" i="74"/>
  <c r="K41" i="74"/>
  <c r="L59" i="74"/>
  <c r="L38" i="74"/>
  <c r="M145" i="74"/>
  <c r="H64" i="74"/>
  <c r="K67" i="74"/>
  <c r="J80" i="74"/>
  <c r="L37" i="74"/>
  <c r="J85" i="74"/>
  <c r="N38" i="74"/>
  <c r="N142" i="74"/>
  <c r="N72" i="74"/>
  <c r="N64" i="74"/>
  <c r="Q111" i="74"/>
  <c r="W111" i="74" s="1"/>
  <c r="X111" i="74"/>
  <c r="S111" i="74"/>
  <c r="T111" i="74"/>
  <c r="L91" i="74"/>
  <c r="M94" i="74"/>
  <c r="M32" i="74"/>
  <c r="L62" i="74"/>
  <c r="M124" i="74"/>
  <c r="M11" i="74"/>
  <c r="T64" i="74"/>
  <c r="X64" i="74"/>
  <c r="J136" i="74"/>
  <c r="M61" i="74"/>
  <c r="M101" i="74"/>
  <c r="Q101" i="74" s="1"/>
  <c r="W101" i="74" s="1"/>
  <c r="L115" i="74"/>
  <c r="K27" i="74"/>
  <c r="X52" i="74"/>
  <c r="T52" i="74"/>
  <c r="H100" i="74"/>
  <c r="M8" i="74"/>
  <c r="J128" i="74"/>
  <c r="N141" i="74"/>
  <c r="N109" i="74"/>
  <c r="T19" i="74"/>
  <c r="X19" i="74"/>
  <c r="X83" i="74"/>
  <c r="T83" i="74"/>
  <c r="J105" i="74"/>
  <c r="M90" i="74"/>
  <c r="X86" i="74"/>
  <c r="T86" i="74"/>
  <c r="X100" i="74"/>
  <c r="T100" i="74"/>
  <c r="J8" i="74"/>
  <c r="H95" i="74"/>
  <c r="J103" i="74"/>
  <c r="L92" i="74"/>
  <c r="J27" i="74"/>
  <c r="M47" i="74"/>
  <c r="S47" i="74" s="1"/>
  <c r="M135" i="74"/>
  <c r="Q135" i="74" s="1"/>
  <c r="W135" i="74" s="1"/>
  <c r="Y135" i="74" s="1"/>
  <c r="M120" i="74"/>
  <c r="T47" i="74"/>
  <c r="M18" i="74"/>
  <c r="L23" i="74"/>
  <c r="M46" i="74"/>
  <c r="L139" i="74"/>
  <c r="K50" i="74"/>
  <c r="M40" i="74"/>
  <c r="L128" i="74"/>
  <c r="N31" i="74"/>
  <c r="N76" i="74"/>
  <c r="Q73" i="74"/>
  <c r="W73" i="74" s="1"/>
  <c r="X16" i="74"/>
  <c r="T16" i="74"/>
  <c r="M121" i="74"/>
  <c r="S121" i="74" s="1"/>
  <c r="J51" i="74"/>
  <c r="J95" i="74"/>
  <c r="H62" i="74"/>
  <c r="M16" i="74"/>
  <c r="M44" i="74"/>
  <c r="K136" i="74"/>
  <c r="K7" i="74"/>
  <c r="H47" i="74"/>
  <c r="X101" i="74"/>
  <c r="T101" i="74"/>
  <c r="J43" i="74"/>
  <c r="M136" i="74"/>
  <c r="J9" i="74"/>
  <c r="J61" i="74"/>
  <c r="J107" i="74"/>
  <c r="H133" i="74"/>
  <c r="K147" i="74"/>
  <c r="L96" i="74"/>
  <c r="T121" i="74"/>
  <c r="X121" i="74"/>
  <c r="L6" i="74"/>
  <c r="L136" i="74"/>
  <c r="Q72" i="74"/>
  <c r="W72" i="74" s="1"/>
  <c r="T72" i="74"/>
  <c r="X72" i="74"/>
  <c r="L73" i="74"/>
  <c r="K91" i="74"/>
  <c r="K66" i="74"/>
  <c r="K8" i="74"/>
  <c r="L47" i="74"/>
  <c r="H91" i="74"/>
  <c r="L135" i="74"/>
  <c r="L127" i="74"/>
  <c r="L78" i="74"/>
  <c r="K62" i="74"/>
  <c r="T139" i="74"/>
  <c r="X139" i="74"/>
  <c r="Q139" i="74"/>
  <c r="W139" i="74" s="1"/>
  <c r="S139" i="74"/>
  <c r="L66" i="74"/>
  <c r="L111" i="74"/>
  <c r="J32" i="74"/>
  <c r="M22" i="74"/>
  <c r="L80" i="74"/>
  <c r="H146" i="74"/>
  <c r="X89" i="74"/>
  <c r="T89" i="74"/>
  <c r="M30" i="74"/>
  <c r="H137" i="74"/>
  <c r="J112" i="74"/>
  <c r="L63" i="74"/>
  <c r="L130" i="74"/>
  <c r="L129" i="74"/>
  <c r="K137" i="74"/>
  <c r="K115" i="74"/>
  <c r="J70" i="74"/>
  <c r="L145" i="74"/>
  <c r="K120" i="74"/>
  <c r="M64" i="74"/>
  <c r="Q64" i="74" s="1"/>
  <c r="K70" i="74"/>
  <c r="L113" i="74"/>
  <c r="L14" i="74"/>
  <c r="H89" i="74"/>
  <c r="J124" i="74"/>
  <c r="J121" i="74"/>
  <c r="J53" i="74"/>
  <c r="K95" i="74"/>
  <c r="J122" i="74"/>
  <c r="J143" i="74"/>
  <c r="J4" i="74"/>
  <c r="J74" i="74"/>
  <c r="J67" i="74"/>
  <c r="H132" i="74"/>
  <c r="N123" i="74"/>
  <c r="N104" i="74"/>
  <c r="N105" i="74"/>
  <c r="N103" i="74"/>
  <c r="N86" i="74"/>
  <c r="N94" i="74"/>
  <c r="AB289" i="66"/>
  <c r="AC289" i="66" s="1"/>
  <c r="AB97" i="66"/>
  <c r="AC97" i="66" s="1"/>
  <c r="AB145" i="66"/>
  <c r="AC145" i="66" s="1"/>
  <c r="AB256" i="66"/>
  <c r="AC256" i="66" s="1"/>
  <c r="AB241" i="66"/>
  <c r="AC241" i="66" s="1"/>
  <c r="AB16" i="66"/>
  <c r="AC16" i="66" s="1"/>
  <c r="AB49" i="66"/>
  <c r="AC49" i="66" s="1"/>
  <c r="AB193" i="66"/>
  <c r="AC193" i="66" s="1"/>
  <c r="AB112" i="66"/>
  <c r="AC112" i="66" s="1"/>
  <c r="AB208" i="66"/>
  <c r="AC208" i="66" s="1"/>
  <c r="AB160" i="66"/>
  <c r="AC160" i="66" s="1"/>
  <c r="AB64" i="66"/>
  <c r="AC64" i="66" s="1"/>
  <c r="D44" i="72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196" i="72" a="1"/>
  <c r="D196" i="72" s="1"/>
  <c r="G26" i="39"/>
  <c r="F26" i="39"/>
  <c r="X276" i="66"/>
  <c r="T276" i="66"/>
  <c r="T36" i="66"/>
  <c r="X36" i="66"/>
  <c r="X85" i="66"/>
  <c r="T85" i="66"/>
  <c r="X228" i="66"/>
  <c r="T228" i="66"/>
  <c r="T84" i="66"/>
  <c r="X84" i="66"/>
  <c r="T181" i="66"/>
  <c r="X181" i="66"/>
  <c r="T277" i="66"/>
  <c r="X277" i="66"/>
  <c r="T180" i="66"/>
  <c r="X180" i="66"/>
  <c r="X229" i="66"/>
  <c r="T229" i="66"/>
  <c r="T133" i="66"/>
  <c r="X133" i="66"/>
  <c r="X37" i="66"/>
  <c r="T37" i="66"/>
  <c r="T132" i="66"/>
  <c r="X132" i="66"/>
  <c r="O145" i="66"/>
  <c r="O97" i="66"/>
  <c r="Q280" i="66"/>
  <c r="Q134" i="66"/>
  <c r="W134" i="66" s="1"/>
  <c r="X134" i="66"/>
  <c r="Q39" i="66"/>
  <c r="X177" i="66"/>
  <c r="Q177" i="66"/>
  <c r="W177" i="66" s="1"/>
  <c r="X236" i="66"/>
  <c r="Q236" i="66"/>
  <c r="W236" i="66" s="1"/>
  <c r="X66" i="66"/>
  <c r="Q66" i="66"/>
  <c r="W66" i="66" s="1"/>
  <c r="Q169" i="66"/>
  <c r="Q100" i="66"/>
  <c r="W100" i="66" s="1"/>
  <c r="X100" i="66"/>
  <c r="Q206" i="66"/>
  <c r="W206" i="66" s="1"/>
  <c r="X206" i="66"/>
  <c r="X14" i="66"/>
  <c r="Q14" i="66"/>
  <c r="W14" i="66" s="1"/>
  <c r="O16" i="66"/>
  <c r="Q219" i="66"/>
  <c r="W219" i="66" s="1"/>
  <c r="X219" i="66"/>
  <c r="X262" i="66"/>
  <c r="Q262" i="66"/>
  <c r="W262" i="66" s="1"/>
  <c r="Q64" i="66"/>
  <c r="Q81" i="66"/>
  <c r="W81" i="66" s="1"/>
  <c r="X81" i="66"/>
  <c r="Q271" i="66"/>
  <c r="W271" i="66" s="1"/>
  <c r="X271" i="66"/>
  <c r="Q136" i="66"/>
  <c r="Q11" i="66"/>
  <c r="W11" i="66" s="1"/>
  <c r="X11" i="66"/>
  <c r="Q67" i="66"/>
  <c r="W67" i="66" s="1"/>
  <c r="X67" i="66"/>
  <c r="X103" i="66"/>
  <c r="X259" i="66"/>
  <c r="Q259" i="66"/>
  <c r="W259" i="66" s="1"/>
  <c r="X72" i="66"/>
  <c r="Q72" i="66"/>
  <c r="W72" i="66" s="1"/>
  <c r="Q239" i="66"/>
  <c r="W239" i="66" s="1"/>
  <c r="X239" i="66"/>
  <c r="X151" i="66"/>
  <c r="X171" i="66"/>
  <c r="Q171" i="66"/>
  <c r="W171" i="66" s="1"/>
  <c r="Q8" i="66"/>
  <c r="W8" i="66" s="1"/>
  <c r="X8" i="66"/>
  <c r="Q232" i="66"/>
  <c r="Q33" i="66"/>
  <c r="W33" i="66" s="1"/>
  <c r="X33" i="66"/>
  <c r="Q25" i="66"/>
  <c r="X18" i="66"/>
  <c r="Q18" i="66"/>
  <c r="W18" i="66" s="1"/>
  <c r="Q158" i="66"/>
  <c r="W158" i="66" s="1"/>
  <c r="X158" i="66"/>
  <c r="Q251" i="66"/>
  <c r="W251" i="66" s="1"/>
  <c r="X251" i="66"/>
  <c r="Q265" i="66"/>
  <c r="Q264" i="66"/>
  <c r="W264" i="66" s="1"/>
  <c r="X264" i="66"/>
  <c r="Q287" i="66"/>
  <c r="W287" i="66" s="1"/>
  <c r="X287" i="66"/>
  <c r="X95" i="66"/>
  <c r="Q95" i="66"/>
  <c r="W95" i="66" s="1"/>
  <c r="Q143" i="66"/>
  <c r="W143" i="66" s="1"/>
  <c r="X143" i="66"/>
  <c r="X247" i="66"/>
  <c r="Q15" i="66"/>
  <c r="W15" i="66" s="1"/>
  <c r="X15" i="66"/>
  <c r="Q4" i="66"/>
  <c r="W4" i="66" s="1"/>
  <c r="X4" i="66"/>
  <c r="X223" i="66"/>
  <c r="Q223" i="66"/>
  <c r="W223" i="66" s="1"/>
  <c r="X63" i="66"/>
  <c r="Q63" i="66"/>
  <c r="W63" i="66" s="1"/>
  <c r="X92" i="66"/>
  <c r="Q92" i="66"/>
  <c r="W92" i="66" s="1"/>
  <c r="X130" i="66"/>
  <c r="Q130" i="66"/>
  <c r="W130" i="66" s="1"/>
  <c r="X44" i="66"/>
  <c r="Q44" i="66"/>
  <c r="W44" i="66" s="1"/>
  <c r="X99" i="66"/>
  <c r="Q47" i="66"/>
  <c r="W47" i="66" s="1"/>
  <c r="X47" i="66"/>
  <c r="Q53" i="66"/>
  <c r="X199" i="66"/>
  <c r="X38" i="66"/>
  <c r="Q38" i="66"/>
  <c r="W38" i="66" s="1"/>
  <c r="X284" i="66"/>
  <c r="Q284" i="66"/>
  <c r="W284" i="66" s="1"/>
  <c r="Q79" i="66"/>
  <c r="W79" i="66" s="1"/>
  <c r="X79" i="66"/>
  <c r="Q152" i="66"/>
  <c r="W152" i="66" s="1"/>
  <c r="X152" i="66"/>
  <c r="Q140" i="66"/>
  <c r="W140" i="66" s="1"/>
  <c r="X140" i="66"/>
  <c r="Q188" i="66"/>
  <c r="W188" i="66" s="1"/>
  <c r="X188" i="66"/>
  <c r="Q118" i="66"/>
  <c r="W118" i="66" s="1"/>
  <c r="X118" i="66"/>
  <c r="X243" i="66"/>
  <c r="Q210" i="66"/>
  <c r="W210" i="66" s="1"/>
  <c r="X210" i="66"/>
  <c r="Q139" i="66"/>
  <c r="W139" i="66" s="1"/>
  <c r="X139" i="66"/>
  <c r="Q87" i="66"/>
  <c r="Q24" i="66"/>
  <c r="W24" i="66" s="1"/>
  <c r="X24" i="66"/>
  <c r="Q217" i="66"/>
  <c r="Q269" i="66"/>
  <c r="W269" i="66" s="1"/>
  <c r="X269" i="66"/>
  <c r="Q61" i="66"/>
  <c r="W61" i="66" s="1"/>
  <c r="X61" i="66"/>
  <c r="X205" i="66"/>
  <c r="Q205" i="66"/>
  <c r="W205" i="66" s="1"/>
  <c r="Q160" i="66"/>
  <c r="Q125" i="66"/>
  <c r="W125" i="66" s="1"/>
  <c r="X125" i="66"/>
  <c r="X27" i="66"/>
  <c r="Q27" i="66"/>
  <c r="W27" i="66" s="1"/>
  <c r="Q208" i="66"/>
  <c r="X7" i="66"/>
  <c r="Q88" i="66"/>
  <c r="Q193" i="66"/>
  <c r="W193" i="66" s="1"/>
  <c r="X193" i="66"/>
  <c r="X203" i="66"/>
  <c r="Q203" i="66"/>
  <c r="W203" i="66" s="1"/>
  <c r="Q29" i="66"/>
  <c r="W29" i="66" s="1"/>
  <c r="X29" i="66"/>
  <c r="X77" i="66"/>
  <c r="Q77" i="66"/>
  <c r="W77" i="66" s="1"/>
  <c r="Q216" i="66"/>
  <c r="W216" i="66" s="1"/>
  <c r="X216" i="66"/>
  <c r="Q253" i="66"/>
  <c r="W253" i="66" s="1"/>
  <c r="X253" i="66"/>
  <c r="Q148" i="66"/>
  <c r="W148" i="66" s="1"/>
  <c r="X148" i="66"/>
  <c r="Q34" i="66"/>
  <c r="W34" i="66" s="1"/>
  <c r="X34" i="66"/>
  <c r="Q226" i="66"/>
  <c r="W226" i="66" s="1"/>
  <c r="X226" i="66"/>
  <c r="X291" i="66"/>
  <c r="Q135" i="66"/>
  <c r="X157" i="66"/>
  <c r="Q157" i="66"/>
  <c r="W157" i="66" s="1"/>
  <c r="X111" i="66"/>
  <c r="Q111" i="66"/>
  <c r="W111" i="66" s="1"/>
  <c r="Q56" i="66"/>
  <c r="W56" i="66" s="1"/>
  <c r="X56" i="66"/>
  <c r="Q187" i="66"/>
  <c r="W187" i="66" s="1"/>
  <c r="X187" i="66"/>
  <c r="Q162" i="66"/>
  <c r="W162" i="66" s="1"/>
  <c r="X162" i="66"/>
  <c r="Q191" i="66"/>
  <c r="W191" i="66" s="1"/>
  <c r="X191" i="66"/>
  <c r="Q279" i="66"/>
  <c r="Q256" i="66"/>
  <c r="Q197" i="66"/>
  <c r="Q254" i="66"/>
  <c r="W254" i="66" s="1"/>
  <c r="X254" i="66"/>
  <c r="Q173" i="66"/>
  <c r="W173" i="66" s="1"/>
  <c r="X173" i="66"/>
  <c r="X43" i="66"/>
  <c r="Q43" i="66"/>
  <c r="W43" i="66" s="1"/>
  <c r="Q214" i="66"/>
  <c r="W214" i="66" s="1"/>
  <c r="X214" i="66"/>
  <c r="Q104" i="66"/>
  <c r="W104" i="66" s="1"/>
  <c r="X104" i="66"/>
  <c r="Q163" i="66"/>
  <c r="W163" i="66" s="1"/>
  <c r="X163" i="66"/>
  <c r="Q178" i="66"/>
  <c r="W178" i="66" s="1"/>
  <c r="X178" i="66"/>
  <c r="X75" i="66"/>
  <c r="Q75" i="66"/>
  <c r="W75" i="66" s="1"/>
  <c r="Q121" i="66"/>
  <c r="X200" i="66"/>
  <c r="Q200" i="66"/>
  <c r="W200" i="66" s="1"/>
  <c r="X109" i="66"/>
  <c r="Q109" i="66"/>
  <c r="W109" i="66" s="1"/>
  <c r="Q196" i="66"/>
  <c r="W196" i="66" s="1"/>
  <c r="X196" i="66"/>
  <c r="Q129" i="66"/>
  <c r="W129" i="66" s="1"/>
  <c r="X129" i="66"/>
  <c r="O193" i="66"/>
  <c r="Q159" i="66"/>
  <c r="W159" i="66" s="1"/>
  <c r="X159" i="66"/>
  <c r="X147" i="66"/>
  <c r="X207" i="66"/>
  <c r="Q207" i="66"/>
  <c r="W207" i="66" s="1"/>
  <c r="X31" i="66"/>
  <c r="Q31" i="66"/>
  <c r="W31" i="66" s="1"/>
  <c r="Q86" i="66"/>
  <c r="W86" i="66" s="1"/>
  <c r="X86" i="66"/>
  <c r="X267" i="66"/>
  <c r="Q267" i="66"/>
  <c r="W267" i="66" s="1"/>
  <c r="Q231" i="66"/>
  <c r="X97" i="66"/>
  <c r="Q97" i="66"/>
  <c r="Q283" i="66"/>
  <c r="W283" i="66" s="1"/>
  <c r="X283" i="66"/>
  <c r="O208" i="66"/>
  <c r="Q51" i="66"/>
  <c r="W51" i="66" s="1"/>
  <c r="X51" i="66"/>
  <c r="Q184" i="66"/>
  <c r="Q110" i="66"/>
  <c r="W110" i="66" s="1"/>
  <c r="X110" i="66"/>
  <c r="Q40" i="66"/>
  <c r="X274" i="66"/>
  <c r="Q274" i="66"/>
  <c r="W274" i="66" s="1"/>
  <c r="O256" i="66"/>
  <c r="Q101" i="66"/>
  <c r="O49" i="66"/>
  <c r="O241" i="66"/>
  <c r="X166" i="66"/>
  <c r="Q166" i="66"/>
  <c r="W166" i="66" s="1"/>
  <c r="Q5" i="66"/>
  <c r="O160" i="66"/>
  <c r="Q183" i="66"/>
  <c r="Q273" i="66"/>
  <c r="W273" i="66" s="1"/>
  <c r="X273" i="66"/>
  <c r="O64" i="66"/>
  <c r="Q22" i="66"/>
  <c r="W22" i="66" s="1"/>
  <c r="X22" i="66"/>
  <c r="X13" i="66"/>
  <c r="Q13" i="66"/>
  <c r="W13" i="66" s="1"/>
  <c r="Q91" i="66"/>
  <c r="W91" i="66" s="1"/>
  <c r="X91" i="66"/>
  <c r="Q73" i="66"/>
  <c r="X114" i="66"/>
  <c r="Q114" i="66"/>
  <c r="W114" i="66" s="1"/>
  <c r="Q123" i="66"/>
  <c r="W123" i="66" s="1"/>
  <c r="X123" i="66"/>
  <c r="Q235" i="66"/>
  <c r="W235" i="66" s="1"/>
  <c r="X235" i="66"/>
  <c r="Q168" i="66"/>
  <c r="W168" i="66" s="1"/>
  <c r="X168" i="66"/>
  <c r="Q149" i="66"/>
  <c r="Q112" i="66"/>
  <c r="Q255" i="66"/>
  <c r="W255" i="66" s="1"/>
  <c r="X255" i="66"/>
  <c r="Q59" i="66"/>
  <c r="W59" i="66" s="1"/>
  <c r="X59" i="66"/>
  <c r="X258" i="66"/>
  <c r="Q258" i="66"/>
  <c r="W258" i="66" s="1"/>
  <c r="Q244" i="66"/>
  <c r="W244" i="66" s="1"/>
  <c r="X244" i="66"/>
  <c r="X225" i="66"/>
  <c r="Q225" i="66"/>
  <c r="W225" i="66" s="1"/>
  <c r="X107" i="66"/>
  <c r="Q107" i="66"/>
  <c r="W107" i="66" s="1"/>
  <c r="X211" i="66"/>
  <c r="Q211" i="66"/>
  <c r="W211" i="66" s="1"/>
  <c r="Q221" i="66"/>
  <c r="W221" i="66" s="1"/>
  <c r="X221" i="66"/>
  <c r="X195" i="66"/>
  <c r="Q155" i="66"/>
  <c r="W155" i="66" s="1"/>
  <c r="X155" i="66"/>
  <c r="Q16" i="66"/>
  <c r="O112" i="66"/>
  <c r="X289" i="66"/>
  <c r="Q289" i="66"/>
  <c r="Q278" i="66"/>
  <c r="W278" i="66" s="1"/>
  <c r="X278" i="66"/>
  <c r="Q241" i="66"/>
  <c r="X241" i="66"/>
  <c r="X120" i="66"/>
  <c r="Q120" i="66"/>
  <c r="W120" i="66" s="1"/>
  <c r="Q70" i="66"/>
  <c r="W70" i="66" s="1"/>
  <c r="X70" i="66"/>
  <c r="Q245" i="66"/>
  <c r="Q52" i="66"/>
  <c r="W52" i="66" s="1"/>
  <c r="X52" i="66"/>
  <c r="X49" i="66"/>
  <c r="Q49" i="66"/>
  <c r="W49" i="66" s="1"/>
  <c r="Q248" i="66"/>
  <c r="W248" i="66" s="1"/>
  <c r="X248" i="66"/>
  <c r="Q175" i="66"/>
  <c r="W175" i="66" s="1"/>
  <c r="X175" i="66"/>
  <c r="X55" i="66"/>
  <c r="O289" i="66"/>
  <c r="X19" i="66"/>
  <c r="Q19" i="66"/>
  <c r="W19" i="66" s="1"/>
  <c r="Q127" i="66"/>
  <c r="W127" i="66" s="1"/>
  <c r="X127" i="66"/>
  <c r="X145" i="66"/>
  <c r="Q145" i="66"/>
  <c r="Q82" i="66"/>
  <c r="W82" i="66" s="1"/>
  <c r="X82" i="66"/>
  <c r="Q62" i="66"/>
  <c r="W62" i="66" s="1"/>
  <c r="X62" i="66"/>
  <c r="Q182" i="66"/>
  <c r="W182" i="66" s="1"/>
  <c r="X182" i="66"/>
  <c r="Q230" i="66"/>
  <c r="W230" i="66" s="1"/>
  <c r="X230" i="66"/>
  <c r="X115" i="66"/>
  <c r="Q115" i="66"/>
  <c r="W115" i="66" s="1"/>
  <c r="Q4" i="74" l="1"/>
  <c r="W4" i="74" s="1"/>
  <c r="Y4" i="74" s="1"/>
  <c r="X4" i="74"/>
  <c r="T4" i="74"/>
  <c r="U4" i="74" s="1"/>
  <c r="X92" i="74"/>
  <c r="X61" i="74"/>
  <c r="Q61" i="74"/>
  <c r="W61" i="74" s="1"/>
  <c r="Y61" i="74" s="1"/>
  <c r="S92" i="74"/>
  <c r="S14" i="74"/>
  <c r="Q88" i="74"/>
  <c r="W88" i="74" s="1"/>
  <c r="Y88" i="74" s="1"/>
  <c r="T88" i="74"/>
  <c r="Q14" i="74"/>
  <c r="W14" i="74" s="1"/>
  <c r="T14" i="74"/>
  <c r="X73" i="74"/>
  <c r="S73" i="74"/>
  <c r="U73" i="74" s="1"/>
  <c r="Q86" i="74"/>
  <c r="W86" i="74" s="1"/>
  <c r="Y86" i="74" s="1"/>
  <c r="T25" i="74"/>
  <c r="S43" i="74"/>
  <c r="T43" i="74"/>
  <c r="X43" i="74"/>
  <c r="Y43" i="74" s="1"/>
  <c r="S25" i="74"/>
  <c r="X97" i="74"/>
  <c r="Q97" i="74"/>
  <c r="X18" i="74"/>
  <c r="X133" i="74"/>
  <c r="X53" i="74"/>
  <c r="Q19" i="74"/>
  <c r="W19" i="74" s="1"/>
  <c r="Y19" i="74" s="1"/>
  <c r="S24" i="74"/>
  <c r="U24" i="74" s="1"/>
  <c r="X24" i="74"/>
  <c r="Q53" i="74"/>
  <c r="W53" i="74" s="1"/>
  <c r="S53" i="74"/>
  <c r="U53" i="74" s="1"/>
  <c r="S143" i="74"/>
  <c r="U143" i="74" s="1"/>
  <c r="T5" i="74"/>
  <c r="AC16" i="74"/>
  <c r="AD16" i="74" s="1"/>
  <c r="S5" i="74"/>
  <c r="Q5" i="74"/>
  <c r="W5" i="74" s="1"/>
  <c r="Y5" i="74" s="1"/>
  <c r="S18" i="74"/>
  <c r="U18" i="74" s="1"/>
  <c r="X35" i="74"/>
  <c r="Q107" i="74"/>
  <c r="W107" i="74" s="1"/>
  <c r="Y107" i="74" s="1"/>
  <c r="Q52" i="74"/>
  <c r="W52" i="74" s="1"/>
  <c r="Y52" i="74" s="1"/>
  <c r="T129" i="74"/>
  <c r="Q24" i="74"/>
  <c r="W24" i="74" s="1"/>
  <c r="T39" i="74"/>
  <c r="S129" i="74"/>
  <c r="Q39" i="74"/>
  <c r="W39" i="74" s="1"/>
  <c r="Y39" i="74" s="1"/>
  <c r="X129" i="74"/>
  <c r="Y129" i="74" s="1"/>
  <c r="S39" i="74"/>
  <c r="X145" i="74"/>
  <c r="Q145" i="74"/>
  <c r="T107" i="74"/>
  <c r="S107" i="74"/>
  <c r="S134" i="74"/>
  <c r="U134" i="74" s="1"/>
  <c r="Q134" i="74"/>
  <c r="W134" i="74" s="1"/>
  <c r="T40" i="74"/>
  <c r="X134" i="74"/>
  <c r="Q100" i="74"/>
  <c r="W100" i="74" s="1"/>
  <c r="Y100" i="74" s="1"/>
  <c r="S125" i="74"/>
  <c r="U125" i="74" s="1"/>
  <c r="S87" i="74"/>
  <c r="U87" i="74" s="1"/>
  <c r="X125" i="74"/>
  <c r="S34" i="74"/>
  <c r="T34" i="74"/>
  <c r="X87" i="74"/>
  <c r="Q87" i="74"/>
  <c r="W87" i="74" s="1"/>
  <c r="Q34" i="74"/>
  <c r="W34" i="74" s="1"/>
  <c r="Y34" i="74" s="1"/>
  <c r="T37" i="74"/>
  <c r="Q125" i="74"/>
  <c r="W125" i="74" s="1"/>
  <c r="T132" i="74"/>
  <c r="X110" i="74"/>
  <c r="T22" i="74"/>
  <c r="S22" i="74"/>
  <c r="Q110" i="74"/>
  <c r="W110" i="74" s="1"/>
  <c r="S61" i="74"/>
  <c r="U61" i="74" s="1"/>
  <c r="S114" i="74"/>
  <c r="T114" i="74"/>
  <c r="X114" i="74"/>
  <c r="Y114" i="74" s="1"/>
  <c r="U100" i="74"/>
  <c r="T36" i="74"/>
  <c r="Y111" i="74"/>
  <c r="T84" i="74"/>
  <c r="Q121" i="74"/>
  <c r="W121" i="74" s="1"/>
  <c r="Y121" i="74" s="1"/>
  <c r="Q16" i="74"/>
  <c r="W16" i="74" s="1"/>
  <c r="Y16" i="74" s="1"/>
  <c r="S40" i="74"/>
  <c r="Y73" i="74"/>
  <c r="U79" i="74"/>
  <c r="Q33" i="74"/>
  <c r="W33" i="74" s="1"/>
  <c r="Y33" i="74" s="1"/>
  <c r="Y143" i="74"/>
  <c r="Q92" i="74"/>
  <c r="W92" i="74" s="1"/>
  <c r="Y92" i="74" s="1"/>
  <c r="AC97" i="74"/>
  <c r="AD97" i="74" s="1"/>
  <c r="Q25" i="74"/>
  <c r="W25" i="74" s="1"/>
  <c r="Y25" i="74" s="1"/>
  <c r="U121" i="74"/>
  <c r="Q40" i="74"/>
  <c r="W40" i="74" s="1"/>
  <c r="Y40" i="74" s="1"/>
  <c r="O97" i="74"/>
  <c r="P97" i="74" s="1"/>
  <c r="U139" i="74"/>
  <c r="Y14" i="74"/>
  <c r="U111" i="74"/>
  <c r="U47" i="74"/>
  <c r="S135" i="74"/>
  <c r="U135" i="74" s="1"/>
  <c r="U33" i="74"/>
  <c r="Y72" i="74"/>
  <c r="S110" i="74"/>
  <c r="U110" i="74" s="1"/>
  <c r="U127" i="74"/>
  <c r="Y101" i="74"/>
  <c r="U92" i="74"/>
  <c r="Y127" i="74"/>
  <c r="X49" i="74"/>
  <c r="Q49" i="74"/>
  <c r="W49" i="74" s="1"/>
  <c r="T49" i="74"/>
  <c r="S49" i="74"/>
  <c r="Q95" i="74"/>
  <c r="W95" i="74" s="1"/>
  <c r="X95" i="74"/>
  <c r="S95" i="74"/>
  <c r="T95" i="74"/>
  <c r="T115" i="74"/>
  <c r="Q115" i="74"/>
  <c r="W115" i="74" s="1"/>
  <c r="X115" i="74"/>
  <c r="S115" i="74"/>
  <c r="S16" i="74"/>
  <c r="U16" i="74" s="1"/>
  <c r="Q118" i="74"/>
  <c r="W118" i="74" s="1"/>
  <c r="X118" i="74"/>
  <c r="S118" i="74"/>
  <c r="T118" i="74"/>
  <c r="S77" i="74"/>
  <c r="Q77" i="74"/>
  <c r="W77" i="74" s="1"/>
  <c r="T77" i="74"/>
  <c r="X77" i="74"/>
  <c r="U14" i="74"/>
  <c r="S31" i="74"/>
  <c r="X31" i="74"/>
  <c r="T31" i="74"/>
  <c r="Q31" i="74"/>
  <c r="W31" i="74" s="1"/>
  <c r="X137" i="74"/>
  <c r="T137" i="74"/>
  <c r="Q22" i="74"/>
  <c r="W22" i="74" s="1"/>
  <c r="Y22" i="74" s="1"/>
  <c r="X82" i="74"/>
  <c r="T82" i="74"/>
  <c r="S82" i="74"/>
  <c r="Q82" i="74"/>
  <c r="W82" i="74" s="1"/>
  <c r="X38" i="74"/>
  <c r="Q38" i="74"/>
  <c r="W38" i="74" s="1"/>
  <c r="T38" i="74"/>
  <c r="S38" i="74"/>
  <c r="U86" i="74"/>
  <c r="X41" i="74"/>
  <c r="T41" i="74"/>
  <c r="O16" i="74"/>
  <c r="Q13" i="74"/>
  <c r="W13" i="74" s="1"/>
  <c r="T13" i="74"/>
  <c r="S13" i="74"/>
  <c r="X13" i="74"/>
  <c r="X66" i="74"/>
  <c r="Q66" i="74"/>
  <c r="W66" i="74" s="1"/>
  <c r="T66" i="74"/>
  <c r="S66" i="74"/>
  <c r="U52" i="74"/>
  <c r="O49" i="74"/>
  <c r="AC49" i="74"/>
  <c r="AD49" i="74" s="1"/>
  <c r="Q140" i="74"/>
  <c r="W140" i="74" s="1"/>
  <c r="X140" i="74"/>
  <c r="T140" i="74"/>
  <c r="S140" i="74"/>
  <c r="X91" i="74"/>
  <c r="T91" i="74"/>
  <c r="Q91" i="74"/>
  <c r="W91" i="74" s="1"/>
  <c r="S91" i="74"/>
  <c r="Q27" i="74"/>
  <c r="W27" i="74" s="1"/>
  <c r="X27" i="74"/>
  <c r="T27" i="74"/>
  <c r="S27" i="74"/>
  <c r="X15" i="74"/>
  <c r="T15" i="74"/>
  <c r="S15" i="74"/>
  <c r="Q15" i="74"/>
  <c r="W15" i="74" s="1"/>
  <c r="X130" i="74"/>
  <c r="T130" i="74"/>
  <c r="S130" i="74"/>
  <c r="Q18" i="74"/>
  <c r="W18" i="74" s="1"/>
  <c r="O145" i="74"/>
  <c r="AC145" i="74"/>
  <c r="AD145" i="74" s="1"/>
  <c r="Y139" i="74"/>
  <c r="Q136" i="74"/>
  <c r="W136" i="74" s="1"/>
  <c r="S136" i="74"/>
  <c r="T136" i="74"/>
  <c r="X136" i="74"/>
  <c r="X75" i="74"/>
  <c r="Q75" i="74"/>
  <c r="W75" i="74" s="1"/>
  <c r="T75" i="74"/>
  <c r="S75" i="74"/>
  <c r="X44" i="74"/>
  <c r="T44" i="74"/>
  <c r="S44" i="74"/>
  <c r="Q44" i="74"/>
  <c r="W44" i="74" s="1"/>
  <c r="T70" i="74"/>
  <c r="X70" i="74"/>
  <c r="S70" i="74"/>
  <c r="Q70" i="74"/>
  <c r="W70" i="74" s="1"/>
  <c r="Q47" i="74"/>
  <c r="W47" i="74" s="1"/>
  <c r="Y47" i="74" s="1"/>
  <c r="Q112" i="74"/>
  <c r="X112" i="74"/>
  <c r="T112" i="74"/>
  <c r="S59" i="74"/>
  <c r="Q59" i="74"/>
  <c r="W59" i="74" s="1"/>
  <c r="X59" i="74"/>
  <c r="T59" i="74"/>
  <c r="O112" i="74"/>
  <c r="AC112" i="74"/>
  <c r="AD112" i="74" s="1"/>
  <c r="X109" i="74"/>
  <c r="Q109" i="74"/>
  <c r="W109" i="74" s="1"/>
  <c r="T109" i="74"/>
  <c r="S109" i="74"/>
  <c r="T62" i="74"/>
  <c r="Q62" i="74"/>
  <c r="W62" i="74" s="1"/>
  <c r="X62" i="74"/>
  <c r="S62" i="74"/>
  <c r="U72" i="74"/>
  <c r="S101" i="74"/>
  <c r="U101" i="74" s="1"/>
  <c r="S29" i="74"/>
  <c r="X29" i="74"/>
  <c r="T29" i="74"/>
  <c r="Q29" i="74"/>
  <c r="W29" i="74" s="1"/>
  <c r="X85" i="74"/>
  <c r="T85" i="74"/>
  <c r="S88" i="74"/>
  <c r="U88" i="74" s="1"/>
  <c r="T120" i="74"/>
  <c r="X120" i="74"/>
  <c r="Q120" i="74"/>
  <c r="W120" i="74" s="1"/>
  <c r="S120" i="74"/>
  <c r="X67" i="74"/>
  <c r="Q67" i="74"/>
  <c r="W67" i="74" s="1"/>
  <c r="S67" i="74"/>
  <c r="T67" i="74"/>
  <c r="Y79" i="74"/>
  <c r="T63" i="74"/>
  <c r="X63" i="74"/>
  <c r="Q63" i="74"/>
  <c r="W63" i="74" s="1"/>
  <c r="S63" i="74"/>
  <c r="Q123" i="74"/>
  <c r="W123" i="74" s="1"/>
  <c r="X123" i="74"/>
  <c r="T123" i="74"/>
  <c r="S123" i="74"/>
  <c r="U19" i="74"/>
  <c r="O64" i="74"/>
  <c r="AC64" i="74"/>
  <c r="AD64" i="74" s="1"/>
  <c r="X11" i="74"/>
  <c r="T11" i="74"/>
  <c r="Q11" i="74"/>
  <c r="W11" i="74" s="1"/>
  <c r="S11" i="74"/>
  <c r="Q130" i="74"/>
  <c r="W130" i="74" s="1"/>
  <c r="Q81" i="74"/>
  <c r="W81" i="74" s="1"/>
  <c r="X81" i="74"/>
  <c r="S81" i="74"/>
  <c r="T81" i="74"/>
  <c r="D197" i="72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P289" i="66"/>
  <c r="W289" i="66" s="1"/>
  <c r="Y289" i="66" s="1"/>
  <c r="AA49" i="66"/>
  <c r="AA193" i="66"/>
  <c r="AA256" i="66"/>
  <c r="AA112" i="66"/>
  <c r="AA64" i="66"/>
  <c r="AA208" i="66"/>
  <c r="AA160" i="66"/>
  <c r="AA16" i="66"/>
  <c r="AA241" i="66"/>
  <c r="AA97" i="66"/>
  <c r="AA145" i="66"/>
  <c r="AA289" i="66"/>
  <c r="Z64" i="66"/>
  <c r="Z208" i="66"/>
  <c r="Z289" i="66"/>
  <c r="Z145" i="66"/>
  <c r="Z49" i="66"/>
  <c r="Z193" i="66"/>
  <c r="P160" i="66"/>
  <c r="Z112" i="66"/>
  <c r="Z256" i="66"/>
  <c r="Z97" i="66"/>
  <c r="Z241" i="66"/>
  <c r="Z160" i="66"/>
  <c r="Z16" i="66"/>
  <c r="Y130" i="66"/>
  <c r="Y31" i="66"/>
  <c r="Y24" i="66"/>
  <c r="Y62" i="66"/>
  <c r="P112" i="66"/>
  <c r="Y109" i="66"/>
  <c r="Y4" i="66"/>
  <c r="Y254" i="66"/>
  <c r="Y34" i="66"/>
  <c r="Y158" i="66"/>
  <c r="Y168" i="66"/>
  <c r="Y11" i="66"/>
  <c r="Y206" i="66"/>
  <c r="Y219" i="66"/>
  <c r="P241" i="66"/>
  <c r="W241" i="66" s="1"/>
  <c r="Y241" i="66" s="1"/>
  <c r="Y171" i="66"/>
  <c r="Y111" i="66"/>
  <c r="Y70" i="66"/>
  <c r="Y118" i="66"/>
  <c r="Y120" i="66"/>
  <c r="Y49" i="66"/>
  <c r="Y81" i="66"/>
  <c r="Y134" i="66"/>
  <c r="Y248" i="66"/>
  <c r="P193" i="66"/>
  <c r="Y196" i="66"/>
  <c r="Y258" i="66"/>
  <c r="Y207" i="66"/>
  <c r="Y205" i="66"/>
  <c r="Y77" i="66"/>
  <c r="Y47" i="66"/>
  <c r="Y259" i="66"/>
  <c r="Y66" i="66"/>
  <c r="Y221" i="66"/>
  <c r="Y107" i="66"/>
  <c r="Y13" i="66"/>
  <c r="Y110" i="66"/>
  <c r="Y214" i="66"/>
  <c r="Y216" i="66"/>
  <c r="Y152" i="66"/>
  <c r="Y193" i="66"/>
  <c r="P64" i="66"/>
  <c r="Y226" i="66"/>
  <c r="Y100" i="66"/>
  <c r="Y125" i="66"/>
  <c r="Y8" i="66"/>
  <c r="Y239" i="66"/>
  <c r="Y43" i="66"/>
  <c r="Y56" i="66"/>
  <c r="Y143" i="66"/>
  <c r="Y95" i="66"/>
  <c r="Y203" i="66"/>
  <c r="Y51" i="66"/>
  <c r="Y157" i="66"/>
  <c r="Y82" i="66"/>
  <c r="Y225" i="66"/>
  <c r="Y92" i="66"/>
  <c r="Y264" i="66"/>
  <c r="Y211" i="66"/>
  <c r="Y255" i="66"/>
  <c r="Y173" i="66"/>
  <c r="Y230" i="66"/>
  <c r="Y19" i="66"/>
  <c r="Y52" i="66"/>
  <c r="Y244" i="66"/>
  <c r="Y59" i="66"/>
  <c r="Y166" i="66"/>
  <c r="Y283" i="66"/>
  <c r="Y267" i="66"/>
  <c r="Y86" i="66"/>
  <c r="Y129" i="66"/>
  <c r="Y61" i="66"/>
  <c r="Y251" i="66"/>
  <c r="Y33" i="66"/>
  <c r="Y67" i="66"/>
  <c r="Y175" i="66"/>
  <c r="Y163" i="66"/>
  <c r="Y188" i="66"/>
  <c r="Y38" i="66"/>
  <c r="Y44" i="66"/>
  <c r="Y123" i="66"/>
  <c r="Y278" i="66"/>
  <c r="Y115" i="66"/>
  <c r="Y114" i="66"/>
  <c r="Y200" i="66"/>
  <c r="P145" i="66"/>
  <c r="Y75" i="66"/>
  <c r="Y148" i="66"/>
  <c r="Y27" i="66"/>
  <c r="Y139" i="66"/>
  <c r="Y140" i="66"/>
  <c r="Y79" i="66"/>
  <c r="Y271" i="66"/>
  <c r="Y262" i="66"/>
  <c r="Y177" i="66"/>
  <c r="Y162" i="66"/>
  <c r="Y72" i="66"/>
  <c r="P97" i="66"/>
  <c r="Y63" i="66"/>
  <c r="Y15" i="66"/>
  <c r="Y287" i="66"/>
  <c r="Y182" i="66"/>
  <c r="Y155" i="66"/>
  <c r="Y235" i="66"/>
  <c r="Y22" i="66"/>
  <c r="P49" i="66"/>
  <c r="P256" i="66"/>
  <c r="Y274" i="66"/>
  <c r="P208" i="66"/>
  <c r="Y159" i="66"/>
  <c r="Y104" i="66"/>
  <c r="Y191" i="66"/>
  <c r="Y253" i="66"/>
  <c r="Y127" i="66"/>
  <c r="Y284" i="66"/>
  <c r="Y18" i="66"/>
  <c r="P16" i="66"/>
  <c r="Y223" i="66"/>
  <c r="Y91" i="66"/>
  <c r="Y273" i="66"/>
  <c r="Y178" i="66"/>
  <c r="Y187" i="66"/>
  <c r="Y29" i="66"/>
  <c r="Y269" i="66"/>
  <c r="Y210" i="66"/>
  <c r="Y14" i="66"/>
  <c r="Y236" i="66"/>
  <c r="U43" i="74" l="1"/>
  <c r="U5" i="74"/>
  <c r="U25" i="74"/>
  <c r="Y18" i="74"/>
  <c r="Y53" i="74"/>
  <c r="AA97" i="74"/>
  <c r="Y24" i="74"/>
  <c r="Y87" i="74"/>
  <c r="Y134" i="74"/>
  <c r="U107" i="74"/>
  <c r="U39" i="74"/>
  <c r="U129" i="74"/>
  <c r="U34" i="74"/>
  <c r="Z97" i="74"/>
  <c r="Y125" i="74"/>
  <c r="U40" i="74"/>
  <c r="U114" i="74"/>
  <c r="Y63" i="74"/>
  <c r="U22" i="74"/>
  <c r="Y110" i="74"/>
  <c r="U130" i="74"/>
  <c r="U66" i="74"/>
  <c r="Y123" i="74"/>
  <c r="Y59" i="74"/>
  <c r="Y118" i="74"/>
  <c r="Y115" i="74"/>
  <c r="Y109" i="74"/>
  <c r="U82" i="74"/>
  <c r="U120" i="74"/>
  <c r="Y91" i="74"/>
  <c r="Y95" i="74"/>
  <c r="U62" i="74"/>
  <c r="U115" i="74"/>
  <c r="Y27" i="74"/>
  <c r="Y29" i="74"/>
  <c r="U81" i="74"/>
  <c r="Y62" i="74"/>
  <c r="U136" i="74"/>
  <c r="Y38" i="74"/>
  <c r="U31" i="74"/>
  <c r="Y81" i="74"/>
  <c r="Y67" i="74"/>
  <c r="U109" i="74"/>
  <c r="U77" i="74"/>
  <c r="Y44" i="74"/>
  <c r="U118" i="74"/>
  <c r="U15" i="74"/>
  <c r="U140" i="74"/>
  <c r="Y66" i="74"/>
  <c r="U38" i="74"/>
  <c r="Y49" i="74"/>
  <c r="U67" i="74"/>
  <c r="Y136" i="74"/>
  <c r="U27" i="74"/>
  <c r="Y140" i="74"/>
  <c r="U13" i="74"/>
  <c r="V97" i="74"/>
  <c r="R97" i="74"/>
  <c r="S97" i="74" s="1"/>
  <c r="U97" i="74" s="1"/>
  <c r="W97" i="74"/>
  <c r="Y97" i="74" s="1"/>
  <c r="Y130" i="74"/>
  <c r="U123" i="74"/>
  <c r="U75" i="74"/>
  <c r="Y13" i="74"/>
  <c r="Y82" i="74"/>
  <c r="U11" i="74"/>
  <c r="U29" i="74"/>
  <c r="Y70" i="74"/>
  <c r="P145" i="74"/>
  <c r="AA145" i="74"/>
  <c r="Z145" i="74"/>
  <c r="P49" i="74"/>
  <c r="AA49" i="74"/>
  <c r="Z49" i="74"/>
  <c r="P16" i="74"/>
  <c r="Z16" i="74"/>
  <c r="AA16" i="74"/>
  <c r="Y11" i="74"/>
  <c r="U70" i="74"/>
  <c r="Y75" i="74"/>
  <c r="Y77" i="74"/>
  <c r="U95" i="74"/>
  <c r="U91" i="74"/>
  <c r="U63" i="74"/>
  <c r="Y120" i="74"/>
  <c r="P112" i="74"/>
  <c r="AA112" i="74"/>
  <c r="Z112" i="74"/>
  <c r="U49" i="74"/>
  <c r="P64" i="74"/>
  <c r="AA64" i="74"/>
  <c r="Z64" i="74"/>
  <c r="U44" i="74"/>
  <c r="Y15" i="74"/>
  <c r="Y31" i="74"/>
  <c r="U59" i="74"/>
  <c r="V289" i="66"/>
  <c r="V193" i="66"/>
  <c r="V241" i="66"/>
  <c r="W145" i="66"/>
  <c r="Y145" i="66" s="1"/>
  <c r="V145" i="66"/>
  <c r="W97" i="66"/>
  <c r="Y97" i="66" s="1"/>
  <c r="V97" i="66"/>
  <c r="V49" i="66"/>
  <c r="W64" i="74" l="1"/>
  <c r="Y64" i="74" s="1"/>
  <c r="V64" i="74"/>
  <c r="R64" i="74"/>
  <c r="S64" i="74" s="1"/>
  <c r="U64" i="74" s="1"/>
  <c r="R145" i="74"/>
  <c r="S145" i="74" s="1"/>
  <c r="U145" i="74" s="1"/>
  <c r="V145" i="74"/>
  <c r="W145" i="74"/>
  <c r="Y145" i="74" s="1"/>
  <c r="V16" i="74"/>
  <c r="R16" i="74"/>
  <c r="V112" i="74"/>
  <c r="R112" i="74"/>
  <c r="S112" i="74" s="1"/>
  <c r="U112" i="74" s="1"/>
  <c r="W112" i="74"/>
  <c r="Y112" i="74" s="1"/>
  <c r="V49" i="74"/>
  <c r="R49" i="74"/>
  <c r="E18" i="34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4" i="37" l="1"/>
  <c r="H133" i="37"/>
  <c r="H135" i="37"/>
  <c r="H139" i="37"/>
  <c r="H137" i="37"/>
  <c r="H140" i="37"/>
  <c r="H138" i="37"/>
  <c r="H136" i="37"/>
  <c r="H124" i="37"/>
  <c r="H120" i="37"/>
  <c r="H119" i="37"/>
  <c r="H122" i="37"/>
  <c r="H117" i="37"/>
  <c r="H121" i="37"/>
  <c r="H118" i="37"/>
  <c r="H123" i="37"/>
  <c r="H103" i="58"/>
  <c r="H107" i="58"/>
  <c r="H103" i="37"/>
  <c r="H102" i="37"/>
  <c r="H107" i="37"/>
  <c r="H108" i="37"/>
  <c r="X89" i="66"/>
  <c r="X41" i="66"/>
  <c r="X281" i="66"/>
  <c r="X137" i="66"/>
  <c r="X185" i="66"/>
  <c r="X233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01" i="37" l="1"/>
  <c r="H100" i="37"/>
  <c r="H96" i="37"/>
  <c r="H98" i="37"/>
  <c r="H99" i="37"/>
  <c r="H116" i="37"/>
  <c r="H112" i="37"/>
  <c r="H115" i="37"/>
  <c r="H111" i="37"/>
  <c r="H109" i="37"/>
  <c r="H114" i="37"/>
  <c r="H110" i="37"/>
  <c r="H113" i="37"/>
  <c r="H132" i="37"/>
  <c r="H128" i="37"/>
  <c r="H129" i="37"/>
  <c r="H125" i="37"/>
  <c r="H131" i="37"/>
  <c r="H126" i="37"/>
  <c r="H127" i="37"/>
  <c r="H130" i="37"/>
  <c r="I181" i="35"/>
  <c r="H181" i="35"/>
  <c r="I179" i="35"/>
  <c r="H179" i="35"/>
  <c r="I180" i="35"/>
  <c r="I182" i="35"/>
  <c r="H182" i="35"/>
  <c r="H180" i="35"/>
  <c r="I178" i="35"/>
  <c r="H178" i="35"/>
  <c r="H176" i="35"/>
  <c r="I176" i="35"/>
  <c r="H171" i="35"/>
  <c r="I173" i="35"/>
  <c r="H173" i="35"/>
  <c r="I171" i="35"/>
  <c r="I175" i="35"/>
  <c r="H175" i="35"/>
  <c r="I177" i="35"/>
  <c r="H177" i="35"/>
  <c r="I172" i="35"/>
  <c r="H172" i="35"/>
  <c r="H174" i="35"/>
  <c r="I174" i="35"/>
  <c r="R177" i="66"/>
  <c r="R239" i="66"/>
  <c r="S239" i="66" s="1"/>
  <c r="R158" i="66"/>
  <c r="R271" i="66"/>
  <c r="S271" i="66" s="1"/>
  <c r="R75" i="66"/>
  <c r="S75" i="66" s="1"/>
  <c r="R81" i="66"/>
  <c r="S81" i="66" s="1"/>
  <c r="R155" i="66"/>
  <c r="R43" i="66"/>
  <c r="R147" i="66"/>
  <c r="R197" i="66"/>
  <c r="S197" i="66" s="1"/>
  <c r="R183" i="66"/>
  <c r="R262" i="66"/>
  <c r="S262" i="66" s="1"/>
  <c r="R44" i="66"/>
  <c r="R87" i="66"/>
  <c r="S87" i="66" s="1"/>
  <c r="R129" i="66"/>
  <c r="S129" i="66" s="1"/>
  <c r="R259" i="66"/>
  <c r="S259" i="66" s="1"/>
  <c r="R143" i="66"/>
  <c r="S143" i="66" s="1"/>
  <c r="R34" i="66"/>
  <c r="R168" i="66"/>
  <c r="R111" i="66"/>
  <c r="S111" i="66" s="1"/>
  <c r="R62" i="66"/>
  <c r="S62" i="66" s="1"/>
  <c r="R235" i="66"/>
  <c r="S235" i="66" s="1"/>
  <c r="R38" i="66"/>
  <c r="R223" i="66"/>
  <c r="S223" i="66" s="1"/>
  <c r="R251" i="66"/>
  <c r="S251" i="66" s="1"/>
  <c r="R178" i="66"/>
  <c r="R216" i="66"/>
  <c r="S216" i="66" s="1"/>
  <c r="R136" i="66"/>
  <c r="S136" i="66" s="1"/>
  <c r="R273" i="66"/>
  <c r="S273" i="66" s="1"/>
  <c r="R114" i="66"/>
  <c r="S114" i="66" s="1"/>
  <c r="R207" i="66"/>
  <c r="S207" i="66" s="1"/>
  <c r="R214" i="66"/>
  <c r="S214" i="66" s="1"/>
  <c r="R184" i="66"/>
  <c r="R287" i="66"/>
  <c r="S287" i="66" s="1"/>
  <c r="R171" i="66"/>
  <c r="R91" i="66"/>
  <c r="S91" i="66" s="1"/>
  <c r="R280" i="66"/>
  <c r="S280" i="66" s="1"/>
  <c r="R245" i="66"/>
  <c r="S245" i="66" s="1"/>
  <c r="R15" i="66"/>
  <c r="R274" i="66"/>
  <c r="S274" i="66" s="1"/>
  <c r="R175" i="66"/>
  <c r="R265" i="66"/>
  <c r="S265" i="66" s="1"/>
  <c r="R88" i="66"/>
  <c r="S88" i="66" s="1"/>
  <c r="R109" i="66"/>
  <c r="S109" i="66" s="1"/>
  <c r="R118" i="66"/>
  <c r="S118" i="66" s="1"/>
  <c r="R258" i="66"/>
  <c r="S258" i="66" s="1"/>
  <c r="R166" i="66"/>
  <c r="R73" i="66"/>
  <c r="S73" i="66" s="1"/>
  <c r="R33" i="66"/>
  <c r="R70" i="66"/>
  <c r="S70" i="66" s="1"/>
  <c r="R120" i="66"/>
  <c r="S120" i="66" s="1"/>
  <c r="R139" i="66"/>
  <c r="S139" i="66" s="1"/>
  <c r="R225" i="66"/>
  <c r="S225" i="66" s="1"/>
  <c r="R107" i="66"/>
  <c r="S107" i="66" s="1"/>
  <c r="R140" i="66"/>
  <c r="S140" i="66" s="1"/>
  <c r="R79" i="66"/>
  <c r="S79" i="66" s="1"/>
  <c r="R67" i="66"/>
  <c r="S67" i="66" s="1"/>
  <c r="R13" i="66"/>
  <c r="R195" i="66"/>
  <c r="R11" i="66"/>
  <c r="R31" i="66"/>
  <c r="R231" i="66"/>
  <c r="S231" i="66" s="1"/>
  <c r="R149" i="66"/>
  <c r="R221" i="66"/>
  <c r="S221" i="66" s="1"/>
  <c r="R104" i="66"/>
  <c r="S104" i="66" s="1"/>
  <c r="R188" i="66"/>
  <c r="R278" i="66"/>
  <c r="S278" i="66" s="1"/>
  <c r="R157" i="66"/>
  <c r="R123" i="66"/>
  <c r="S123" i="66" s="1"/>
  <c r="R100" i="66"/>
  <c r="S100" i="66" s="1"/>
  <c r="R63" i="66"/>
  <c r="S63" i="66" s="1"/>
  <c r="R101" i="66"/>
  <c r="S101" i="66" s="1"/>
  <c r="R56" i="66"/>
  <c r="S56" i="66" s="1"/>
  <c r="R86" i="66"/>
  <c r="S86" i="66" s="1"/>
  <c r="R196" i="66"/>
  <c r="S196" i="66" s="1"/>
  <c r="R134" i="66"/>
  <c r="S134" i="66" s="1"/>
  <c r="R148" i="66"/>
  <c r="R77" i="66"/>
  <c r="S77" i="66" s="1"/>
  <c r="R284" i="66"/>
  <c r="S284" i="66" s="1"/>
  <c r="R219" i="66"/>
  <c r="S219" i="66" s="1"/>
  <c r="R19" i="66"/>
  <c r="R72" i="66"/>
  <c r="S72" i="66" s="1"/>
  <c r="R210" i="66"/>
  <c r="S210" i="66" s="1"/>
  <c r="R191" i="66"/>
  <c r="R182" i="66"/>
  <c r="R230" i="66"/>
  <c r="S230" i="66" s="1"/>
  <c r="R110" i="66"/>
  <c r="S110" i="66" s="1"/>
  <c r="R39" i="66"/>
  <c r="R254" i="66"/>
  <c r="S254" i="66" s="1"/>
  <c r="R18" i="66"/>
  <c r="R232" i="66"/>
  <c r="S232" i="66" s="1"/>
  <c r="R200" i="66"/>
  <c r="S200" i="66" s="1"/>
  <c r="R187" i="66"/>
  <c r="R205" i="66"/>
  <c r="S205" i="66" s="1"/>
  <c r="R92" i="66"/>
  <c r="S92" i="66" s="1"/>
  <c r="R173" i="66"/>
  <c r="R248" i="66"/>
  <c r="S248" i="66" s="1"/>
  <c r="R163" i="66"/>
  <c r="R66" i="66"/>
  <c r="S66" i="66" s="1"/>
  <c r="R53" i="66"/>
  <c r="S53" i="66" s="1"/>
  <c r="R22" i="66"/>
  <c r="R264" i="66"/>
  <c r="S264" i="66" s="1"/>
  <c r="R14" i="66"/>
  <c r="R269" i="66"/>
  <c r="S269" i="66" s="1"/>
  <c r="R152" i="66"/>
  <c r="R279" i="66"/>
  <c r="S279" i="66" s="1"/>
  <c r="R236" i="66"/>
  <c r="S236" i="66" s="1"/>
  <c r="R61" i="66"/>
  <c r="S61" i="66" s="1"/>
  <c r="R244" i="66"/>
  <c r="S244" i="66" s="1"/>
  <c r="R203" i="66"/>
  <c r="S203" i="66" s="1"/>
  <c r="R267" i="66"/>
  <c r="S267" i="66" s="1"/>
  <c r="R135" i="66"/>
  <c r="S135" i="66" s="1"/>
  <c r="R159" i="66"/>
  <c r="R47" i="66"/>
  <c r="R125" i="66"/>
  <c r="S125" i="66" s="1"/>
  <c r="R291" i="66"/>
  <c r="R130" i="66"/>
  <c r="S130" i="66" s="1"/>
  <c r="R127" i="66"/>
  <c r="S127" i="66" s="1"/>
  <c r="R217" i="66"/>
  <c r="S217" i="66" s="1"/>
  <c r="R243" i="66"/>
  <c r="R211" i="66"/>
  <c r="S211" i="66" s="1"/>
  <c r="R226" i="66"/>
  <c r="S226" i="66" s="1"/>
  <c r="R29" i="66"/>
  <c r="R27" i="66"/>
  <c r="R25" i="66"/>
  <c r="R5" i="66"/>
  <c r="R169" i="66"/>
  <c r="R4" i="66"/>
  <c r="R24" i="66"/>
  <c r="R162" i="66"/>
  <c r="R115" i="66"/>
  <c r="S115" i="66" s="1"/>
  <c r="R99" i="66"/>
  <c r="R52" i="66"/>
  <c r="S52" i="66" s="1"/>
  <c r="R283" i="66"/>
  <c r="S283" i="66" s="1"/>
  <c r="R40" i="66"/>
  <c r="R8" i="66"/>
  <c r="R82" i="66"/>
  <c r="S82" i="66" s="1"/>
  <c r="R255" i="66"/>
  <c r="S255" i="66" s="1"/>
  <c r="R51" i="66"/>
  <c r="R121" i="66"/>
  <c r="S121" i="66" s="1"/>
  <c r="R95" i="66"/>
  <c r="S95" i="66" s="1"/>
  <c r="R253" i="66"/>
  <c r="S253" i="66" s="1"/>
  <c r="R206" i="66"/>
  <c r="S206" i="66" s="1"/>
  <c r="R59" i="66"/>
  <c r="S59" i="66" s="1"/>
  <c r="S177" i="66"/>
  <c r="T169" i="66"/>
  <c r="T264" i="66"/>
  <c r="S4" i="66"/>
  <c r="S27" i="66"/>
  <c r="S148" i="66"/>
  <c r="T274" i="66"/>
  <c r="T14" i="66"/>
  <c r="T64" i="66"/>
  <c r="T259" i="66"/>
  <c r="T4" i="66"/>
  <c r="T92" i="66"/>
  <c r="T99" i="66"/>
  <c r="T38" i="66"/>
  <c r="T217" i="66"/>
  <c r="T205" i="66"/>
  <c r="T27" i="66"/>
  <c r="T148" i="66"/>
  <c r="T111" i="66"/>
  <c r="S173" i="66"/>
  <c r="T104" i="66"/>
  <c r="T159" i="66"/>
  <c r="T31" i="66"/>
  <c r="T51" i="66"/>
  <c r="T273" i="66"/>
  <c r="S13" i="66"/>
  <c r="S168" i="66"/>
  <c r="S16" i="66"/>
  <c r="T241" i="66"/>
  <c r="T19" i="66"/>
  <c r="S159" i="66"/>
  <c r="S31" i="66"/>
  <c r="T184" i="66"/>
  <c r="T166" i="66"/>
  <c r="T50" i="66"/>
  <c r="T149" i="66"/>
  <c r="T225" i="66"/>
  <c r="T16" i="66"/>
  <c r="T248" i="66"/>
  <c r="T127" i="66"/>
  <c r="T115" i="66"/>
  <c r="T280" i="66"/>
  <c r="S169" i="66"/>
  <c r="S14" i="66"/>
  <c r="T171" i="66"/>
  <c r="T33" i="66"/>
  <c r="T158" i="66"/>
  <c r="S38" i="66"/>
  <c r="T152" i="66"/>
  <c r="T139" i="66"/>
  <c r="T203" i="66"/>
  <c r="S162" i="66"/>
  <c r="T41" i="66"/>
  <c r="T173" i="66"/>
  <c r="T75" i="66"/>
  <c r="T123" i="66"/>
  <c r="T59" i="66"/>
  <c r="S19" i="66"/>
  <c r="T91" i="66"/>
  <c r="S149" i="66"/>
  <c r="T177" i="66"/>
  <c r="T11" i="66"/>
  <c r="S171" i="66"/>
  <c r="S33" i="66"/>
  <c r="S158" i="66"/>
  <c r="T287" i="66"/>
  <c r="T143" i="66"/>
  <c r="T223" i="66"/>
  <c r="S152" i="66"/>
  <c r="T118" i="66"/>
  <c r="T160" i="66"/>
  <c r="T208" i="66"/>
  <c r="T275" i="66"/>
  <c r="T281" i="66"/>
  <c r="T163" i="66"/>
  <c r="T196" i="66"/>
  <c r="T81" i="66"/>
  <c r="S11" i="66"/>
  <c r="T72" i="66"/>
  <c r="T130" i="66"/>
  <c r="S47" i="66"/>
  <c r="T269" i="66"/>
  <c r="S160" i="66"/>
  <c r="T7" i="66"/>
  <c r="U7" i="66" s="1"/>
  <c r="T216" i="66"/>
  <c r="T34" i="66"/>
  <c r="T135" i="66"/>
  <c r="T97" i="66"/>
  <c r="S184" i="66"/>
  <c r="T194" i="66"/>
  <c r="T5" i="66"/>
  <c r="T100" i="66"/>
  <c r="S25" i="66"/>
  <c r="T247" i="66"/>
  <c r="U247" i="66" s="1"/>
  <c r="T47" i="66"/>
  <c r="T284" i="66"/>
  <c r="S34" i="66"/>
  <c r="T191" i="66"/>
  <c r="T43" i="66"/>
  <c r="T121" i="66"/>
  <c r="T86" i="66"/>
  <c r="S5" i="66"/>
  <c r="T107" i="66"/>
  <c r="T175" i="66"/>
  <c r="T77" i="66"/>
  <c r="T233" i="66"/>
  <c r="S40" i="66"/>
  <c r="S49" i="66"/>
  <c r="T109" i="66"/>
  <c r="T98" i="66"/>
  <c r="T62" i="66"/>
  <c r="T134" i="66"/>
  <c r="T236" i="66"/>
  <c r="T25" i="66"/>
  <c r="T87" i="66"/>
  <c r="T137" i="66"/>
  <c r="T185" i="66"/>
  <c r="T56" i="66"/>
  <c r="T197" i="66"/>
  <c r="S43" i="66"/>
  <c r="S163" i="66"/>
  <c r="T147" i="66"/>
  <c r="T73" i="66"/>
  <c r="T112" i="66"/>
  <c r="T258" i="66"/>
  <c r="T195" i="66"/>
  <c r="T289" i="66"/>
  <c r="T120" i="66"/>
  <c r="T52" i="66"/>
  <c r="T265" i="66"/>
  <c r="T199" i="66"/>
  <c r="U199" i="66" s="1"/>
  <c r="T61" i="66"/>
  <c r="T70" i="66"/>
  <c r="T230" i="66"/>
  <c r="T66" i="66"/>
  <c r="T151" i="66"/>
  <c r="U151" i="66" s="1"/>
  <c r="T188" i="66"/>
  <c r="T162" i="66"/>
  <c r="T278" i="66"/>
  <c r="T168" i="66"/>
  <c r="T245" i="66"/>
  <c r="T219" i="66"/>
  <c r="S8" i="66"/>
  <c r="T242" i="66"/>
  <c r="T251" i="66"/>
  <c r="T53" i="66"/>
  <c r="T140" i="66"/>
  <c r="T243" i="66"/>
  <c r="T125" i="66"/>
  <c r="S157" i="66"/>
  <c r="S191" i="66"/>
  <c r="T267" i="66"/>
  <c r="T110" i="66"/>
  <c r="S22" i="66"/>
  <c r="T235" i="66"/>
  <c r="T227" i="66"/>
  <c r="T179" i="66"/>
  <c r="S175" i="66"/>
  <c r="T145" i="66"/>
  <c r="T182" i="66"/>
  <c r="T193" i="66"/>
  <c r="T83" i="66"/>
  <c r="T279" i="66"/>
  <c r="S178" i="66"/>
  <c r="T256" i="66"/>
  <c r="T13" i="66"/>
  <c r="T221" i="66"/>
  <c r="T271" i="66"/>
  <c r="T67" i="66"/>
  <c r="T8" i="66"/>
  <c r="S15" i="66"/>
  <c r="T63" i="66"/>
  <c r="T44" i="66"/>
  <c r="T79" i="66"/>
  <c r="S29" i="66"/>
  <c r="T253" i="66"/>
  <c r="S187" i="66"/>
  <c r="T200" i="66"/>
  <c r="T129" i="66"/>
  <c r="T207" i="66"/>
  <c r="T283" i="66"/>
  <c r="T101" i="66"/>
  <c r="T183" i="66"/>
  <c r="T22" i="66"/>
  <c r="T255" i="66"/>
  <c r="T211" i="66"/>
  <c r="T290" i="66"/>
  <c r="T49" i="66"/>
  <c r="T39" i="66"/>
  <c r="T136" i="66"/>
  <c r="S18" i="66"/>
  <c r="T131" i="66"/>
  <c r="S193" i="66"/>
  <c r="T231" i="66"/>
  <c r="T114" i="66"/>
  <c r="T206" i="66"/>
  <c r="T239" i="66"/>
  <c r="T95" i="66"/>
  <c r="T15" i="66"/>
  <c r="S44" i="66"/>
  <c r="S188" i="66"/>
  <c r="S24" i="66"/>
  <c r="T88" i="66"/>
  <c r="T29" i="66"/>
  <c r="T226" i="66"/>
  <c r="T157" i="66"/>
  <c r="T254" i="66"/>
  <c r="T214" i="66"/>
  <c r="T178" i="66"/>
  <c r="S183" i="66"/>
  <c r="T146" i="66"/>
  <c r="T89" i="66"/>
  <c r="T244" i="66"/>
  <c r="T155" i="66"/>
  <c r="T55" i="66"/>
  <c r="U55" i="66" s="1"/>
  <c r="S182" i="66"/>
  <c r="S39" i="66"/>
  <c r="T262" i="66"/>
  <c r="T103" i="66"/>
  <c r="U103" i="66" s="1"/>
  <c r="T232" i="66"/>
  <c r="T18" i="66"/>
  <c r="T24" i="66"/>
  <c r="T187" i="66"/>
  <c r="T40" i="66"/>
  <c r="T291" i="66"/>
  <c r="S155" i="66"/>
  <c r="T82" i="66"/>
  <c r="S166" i="66"/>
  <c r="T35" i="66"/>
  <c r="T210" i="66"/>
  <c r="S51" i="66"/>
  <c r="R289" i="66"/>
  <c r="S289" i="66" s="1"/>
  <c r="R160" i="66"/>
  <c r="R16" i="66"/>
  <c r="R64" i="66"/>
  <c r="S64" i="66" s="1"/>
  <c r="R193" i="66"/>
  <c r="R49" i="66"/>
  <c r="R112" i="66"/>
  <c r="S112" i="66" s="1"/>
  <c r="R208" i="66"/>
  <c r="S208" i="66" s="1"/>
  <c r="R241" i="66"/>
  <c r="S241" i="66" s="1"/>
  <c r="R97" i="66"/>
  <c r="S97" i="66" s="1"/>
  <c r="R145" i="66"/>
  <c r="S145" i="66" s="1"/>
  <c r="R256" i="66"/>
  <c r="S256" i="66" s="1"/>
  <c r="H7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C342" i="58"/>
  <c r="C342" i="37"/>
  <c r="C232" i="58"/>
  <c r="C232" i="37"/>
  <c r="H9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03" i="37" l="1"/>
  <c r="J102" i="37"/>
  <c r="J107" i="37"/>
  <c r="J108" i="37"/>
  <c r="I134" i="37"/>
  <c r="I133" i="37"/>
  <c r="I135" i="37"/>
  <c r="I139" i="37"/>
  <c r="I137" i="37"/>
  <c r="I138" i="37"/>
  <c r="I140" i="37"/>
  <c r="I136" i="37"/>
  <c r="J95" i="58"/>
  <c r="H95" i="58"/>
  <c r="I95" i="58"/>
  <c r="I103" i="37"/>
  <c r="I102" i="37"/>
  <c r="I107" i="37"/>
  <c r="I108" i="37"/>
  <c r="I101" i="37"/>
  <c r="I99" i="37"/>
  <c r="I100" i="37"/>
  <c r="I96" i="37"/>
  <c r="I98" i="37"/>
  <c r="J134" i="37"/>
  <c r="J133" i="37"/>
  <c r="J135" i="37"/>
  <c r="J139" i="37"/>
  <c r="J137" i="37"/>
  <c r="J140" i="37"/>
  <c r="J138" i="37"/>
  <c r="J136" i="37"/>
  <c r="J132" i="37"/>
  <c r="J128" i="37"/>
  <c r="J125" i="37"/>
  <c r="J129" i="37"/>
  <c r="J131" i="37"/>
  <c r="J126" i="37"/>
  <c r="J127" i="37"/>
  <c r="J130" i="37"/>
  <c r="J103" i="58"/>
  <c r="J107" i="58"/>
  <c r="I103" i="58"/>
  <c r="I107" i="58"/>
  <c r="I124" i="37"/>
  <c r="I120" i="37"/>
  <c r="I119" i="37"/>
  <c r="I122" i="37"/>
  <c r="I117" i="37"/>
  <c r="I118" i="37"/>
  <c r="I123" i="37"/>
  <c r="I121" i="37"/>
  <c r="J124" i="37"/>
  <c r="J120" i="37"/>
  <c r="J119" i="37"/>
  <c r="J117" i="37"/>
  <c r="J122" i="37"/>
  <c r="J121" i="37"/>
  <c r="J118" i="37"/>
  <c r="J123" i="37"/>
  <c r="H95" i="37"/>
  <c r="I95" i="37"/>
  <c r="J95" i="37"/>
  <c r="I116" i="37"/>
  <c r="I112" i="37"/>
  <c r="I115" i="37"/>
  <c r="I111" i="37"/>
  <c r="I109" i="37"/>
  <c r="I114" i="37"/>
  <c r="I110" i="37"/>
  <c r="I113" i="37"/>
  <c r="J116" i="37"/>
  <c r="J112" i="37"/>
  <c r="J115" i="37"/>
  <c r="J111" i="37"/>
  <c r="J109" i="37"/>
  <c r="J114" i="37"/>
  <c r="J113" i="37"/>
  <c r="J110" i="37"/>
  <c r="J101" i="37"/>
  <c r="J100" i="37"/>
  <c r="J96" i="37"/>
  <c r="J99" i="37"/>
  <c r="J98" i="37"/>
  <c r="I132" i="37"/>
  <c r="I128" i="37"/>
  <c r="I129" i="37"/>
  <c r="I125" i="37"/>
  <c r="I131" i="37"/>
  <c r="I126" i="37"/>
  <c r="I127" i="37"/>
  <c r="I130" i="37"/>
  <c r="H100" i="58"/>
  <c r="I100" i="58"/>
  <c r="J100" i="58"/>
  <c r="H102" i="58"/>
  <c r="H102" i="41" s="1"/>
  <c r="I102" i="58"/>
  <c r="J102" i="58"/>
  <c r="G272" i="66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02" i="41"/>
  <c r="J107" i="41"/>
  <c r="H438" i="37"/>
  <c r="H439" i="37"/>
  <c r="U64" i="66"/>
  <c r="U241" i="66"/>
  <c r="U111" i="66"/>
  <c r="U51" i="66"/>
  <c r="U206" i="66"/>
  <c r="U217" i="66"/>
  <c r="U166" i="66"/>
  <c r="U31" i="66"/>
  <c r="U139" i="66"/>
  <c r="U203" i="66"/>
  <c r="U182" i="66"/>
  <c r="U145" i="66"/>
  <c r="U184" i="66"/>
  <c r="U183" i="66"/>
  <c r="U216" i="66"/>
  <c r="U100" i="66"/>
  <c r="U273" i="66"/>
  <c r="U223" i="66"/>
  <c r="U289" i="66"/>
  <c r="U244" i="66"/>
  <c r="U264" i="66"/>
  <c r="U280" i="66"/>
  <c r="U73" i="66"/>
  <c r="U208" i="66"/>
  <c r="U44" i="66"/>
  <c r="U265" i="66"/>
  <c r="U11" i="66"/>
  <c r="U38" i="66"/>
  <c r="U82" i="66"/>
  <c r="U188" i="66"/>
  <c r="U175" i="66"/>
  <c r="U4" i="66"/>
  <c r="U160" i="66"/>
  <c r="U15" i="66"/>
  <c r="U115" i="66"/>
  <c r="U236" i="66"/>
  <c r="U92" i="66"/>
  <c r="U95" i="66"/>
  <c r="U101" i="66"/>
  <c r="U253" i="66"/>
  <c r="U279" i="66"/>
  <c r="U205" i="66"/>
  <c r="U72" i="66"/>
  <c r="U197" i="66"/>
  <c r="U214" i="66"/>
  <c r="U24" i="66"/>
  <c r="U29" i="66"/>
  <c r="U200" i="66"/>
  <c r="U123" i="66"/>
  <c r="U230" i="66"/>
  <c r="U191" i="66"/>
  <c r="U40" i="66"/>
  <c r="U127" i="66"/>
  <c r="U258" i="66"/>
  <c r="U287" i="66"/>
  <c r="U235" i="66"/>
  <c r="U63" i="66"/>
  <c r="U61" i="66"/>
  <c r="U114" i="66"/>
  <c r="U219" i="66"/>
  <c r="U19" i="66"/>
  <c r="U130" i="66"/>
  <c r="U67" i="66"/>
  <c r="U118" i="66"/>
  <c r="U62" i="66"/>
  <c r="U120" i="66"/>
  <c r="U135" i="66"/>
  <c r="U221" i="66"/>
  <c r="U152" i="66"/>
  <c r="U16" i="66"/>
  <c r="U110" i="66"/>
  <c r="U59" i="66"/>
  <c r="U168" i="66"/>
  <c r="U134" i="66"/>
  <c r="U104" i="66"/>
  <c r="U271" i="66"/>
  <c r="U22" i="66"/>
  <c r="U284" i="66"/>
  <c r="U259" i="66"/>
  <c r="U47" i="66"/>
  <c r="U267" i="66"/>
  <c r="U66" i="66"/>
  <c r="U129" i="66"/>
  <c r="U187" i="66"/>
  <c r="U283" i="66"/>
  <c r="U226" i="66"/>
  <c r="U86" i="66"/>
  <c r="U231" i="66"/>
  <c r="U70" i="66"/>
  <c r="U245" i="66"/>
  <c r="U87" i="66"/>
  <c r="U239" i="66"/>
  <c r="U207" i="66"/>
  <c r="U196" i="66"/>
  <c r="U159" i="66"/>
  <c r="U109" i="66"/>
  <c r="U158" i="66"/>
  <c r="U193" i="66"/>
  <c r="U210" i="66"/>
  <c r="U25" i="66"/>
  <c r="U121" i="66"/>
  <c r="U33" i="66"/>
  <c r="U13" i="66"/>
  <c r="U77" i="66"/>
  <c r="U148" i="66"/>
  <c r="U155" i="66"/>
  <c r="U8" i="66"/>
  <c r="U251" i="66"/>
  <c r="U171" i="66"/>
  <c r="U27" i="66"/>
  <c r="U88" i="66"/>
  <c r="U56" i="66"/>
  <c r="U81" i="66"/>
  <c r="U162" i="66"/>
  <c r="U14" i="66"/>
  <c r="U39" i="66"/>
  <c r="U125" i="66"/>
  <c r="U278" i="66"/>
  <c r="U163" i="66"/>
  <c r="U269" i="66"/>
  <c r="U169" i="66"/>
  <c r="U256" i="66"/>
  <c r="U232" i="66"/>
  <c r="U18" i="66"/>
  <c r="U43" i="66"/>
  <c r="U34" i="66"/>
  <c r="U149" i="66"/>
  <c r="U157" i="66"/>
  <c r="U52" i="66"/>
  <c r="U136" i="66"/>
  <c r="U97" i="66"/>
  <c r="U53" i="66"/>
  <c r="U262" i="66"/>
  <c r="U211" i="66"/>
  <c r="U91" i="66"/>
  <c r="U75" i="66"/>
  <c r="U177" i="66"/>
  <c r="U225" i="66"/>
  <c r="U255" i="66"/>
  <c r="U254" i="66"/>
  <c r="U178" i="66"/>
  <c r="U5" i="66"/>
  <c r="U274" i="66"/>
  <c r="U143" i="66"/>
  <c r="U248" i="66"/>
  <c r="U112" i="66"/>
  <c r="U79" i="66"/>
  <c r="U107" i="66"/>
  <c r="U49" i="66"/>
  <c r="U140" i="66"/>
  <c r="U173" i="66"/>
  <c r="H107" i="41"/>
  <c r="H103" i="41"/>
  <c r="C232" i="41"/>
  <c r="C342" i="41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C199" i="41"/>
  <c r="C233" i="41"/>
  <c r="C298" i="41"/>
  <c r="C343" i="41"/>
  <c r="G96" i="66"/>
  <c r="I9" i="41"/>
  <c r="D55" i="39" s="1"/>
  <c r="E119" i="38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G240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9" i="41"/>
  <c r="C55" i="39" s="1"/>
  <c r="E102" i="38" s="1"/>
  <c r="G48" i="66"/>
  <c r="C164" i="41"/>
  <c r="C175" i="41"/>
  <c r="C247" i="41"/>
  <c r="C269" i="41"/>
  <c r="C289" i="41"/>
  <c r="C333" i="41"/>
  <c r="C390" i="41"/>
  <c r="C412" i="41"/>
  <c r="G192" i="66"/>
  <c r="C153" i="41"/>
  <c r="C165" i="41"/>
  <c r="C176" i="41"/>
  <c r="C191" i="41"/>
  <c r="C312" i="41"/>
  <c r="C323" i="41"/>
  <c r="C334" i="41"/>
  <c r="C346" i="41"/>
  <c r="C357" i="41"/>
  <c r="C391" i="41"/>
  <c r="C142" i="41"/>
  <c r="C157" i="41"/>
  <c r="C180" i="41"/>
  <c r="C194" i="41"/>
  <c r="C206" i="41"/>
  <c r="C217" i="41"/>
  <c r="C293" i="41"/>
  <c r="C316" i="41"/>
  <c r="C417" i="41"/>
  <c r="G176" i="66"/>
  <c r="H7" i="41"/>
  <c r="C54" i="39" s="1"/>
  <c r="E101" i="38" s="1"/>
  <c r="G32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G80" i="66"/>
  <c r="C221" i="41"/>
  <c r="C330" i="41"/>
  <c r="C421" i="41"/>
  <c r="J9" i="41"/>
  <c r="E55" i="39" s="1"/>
  <c r="E136" i="38" s="1"/>
  <c r="G144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G224" i="66"/>
  <c r="G288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G128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G128" i="74" l="1"/>
  <c r="G144" i="74"/>
  <c r="G96" i="74"/>
  <c r="G80" i="74"/>
  <c r="G32" i="74"/>
  <c r="G48" i="74"/>
  <c r="K96" i="66"/>
  <c r="K144" i="66"/>
  <c r="T144" i="66" s="1"/>
  <c r="K80" i="66"/>
  <c r="J100" i="41"/>
  <c r="I103" i="41"/>
  <c r="J102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L54" i="39"/>
  <c r="E169" i="38" s="1"/>
  <c r="M55" i="39"/>
  <c r="E187" i="38" s="1"/>
  <c r="L55" i="39"/>
  <c r="E170" i="38" s="1"/>
  <c r="E54" i="39"/>
  <c r="E135" i="38" s="1"/>
  <c r="K55" i="39"/>
  <c r="E153" i="38" s="1"/>
  <c r="H477" i="37"/>
  <c r="J475" i="37"/>
  <c r="I477" i="37"/>
  <c r="I475" i="37"/>
  <c r="J477" i="37"/>
  <c r="Q80" i="66"/>
  <c r="T80" i="66"/>
  <c r="K54" i="39"/>
  <c r="E152" i="38" s="1"/>
  <c r="K272" i="66" s="1"/>
  <c r="K32" i="66"/>
  <c r="K48" i="66"/>
  <c r="I107" i="41"/>
  <c r="H100" i="41"/>
  <c r="J432" i="58"/>
  <c r="J430" i="58"/>
  <c r="J433" i="58"/>
  <c r="J431" i="58"/>
  <c r="I95" i="41"/>
  <c r="I100" i="41"/>
  <c r="I432" i="58"/>
  <c r="I433" i="58"/>
  <c r="I431" i="58"/>
  <c r="I430" i="58"/>
  <c r="H95" i="41"/>
  <c r="J103" i="41"/>
  <c r="H432" i="58"/>
  <c r="H430" i="58"/>
  <c r="H433" i="58"/>
  <c r="Q96" i="66"/>
  <c r="T96" i="66"/>
  <c r="J95" i="41"/>
  <c r="Q144" i="66" l="1"/>
  <c r="K128" i="66"/>
  <c r="K128" i="74" s="1"/>
  <c r="K288" i="66"/>
  <c r="K144" i="74" s="1"/>
  <c r="K224" i="66"/>
  <c r="Q224" i="66" s="1"/>
  <c r="G191" i="66"/>
  <c r="O191" i="66" s="1"/>
  <c r="G287" i="66"/>
  <c r="AB287" i="66" s="1"/>
  <c r="AC287" i="66" s="1"/>
  <c r="K192" i="66"/>
  <c r="K48" i="74" s="1"/>
  <c r="G239" i="66"/>
  <c r="O239" i="66" s="1"/>
  <c r="K240" i="66"/>
  <c r="K96" i="74" s="1"/>
  <c r="I431" i="41"/>
  <c r="H432" i="41"/>
  <c r="H433" i="41"/>
  <c r="I476" i="37"/>
  <c r="I432" i="41"/>
  <c r="I430" i="41"/>
  <c r="G95" i="66"/>
  <c r="J476" i="37"/>
  <c r="J431" i="41"/>
  <c r="I433" i="41"/>
  <c r="G143" i="66"/>
  <c r="J430" i="41"/>
  <c r="T48" i="66"/>
  <c r="Q48" i="66"/>
  <c r="S48" i="66"/>
  <c r="G46" i="66"/>
  <c r="J433" i="41"/>
  <c r="J432" i="41"/>
  <c r="K176" i="66"/>
  <c r="K32" i="74" s="1"/>
  <c r="G94" i="66"/>
  <c r="D39" i="39"/>
  <c r="E103" i="38" s="1"/>
  <c r="S192" i="66"/>
  <c r="G47" i="66"/>
  <c r="H430" i="41"/>
  <c r="S32" i="66"/>
  <c r="Q32" i="66"/>
  <c r="T32" i="66"/>
  <c r="C23" i="63"/>
  <c r="T272" i="66"/>
  <c r="Q272" i="66"/>
  <c r="E41" i="39"/>
  <c r="E122" i="38" s="1"/>
  <c r="G108" i="66"/>
  <c r="G4" i="66"/>
  <c r="D41" i="39"/>
  <c r="E105" i="38" s="1"/>
  <c r="G60" i="66"/>
  <c r="G52" i="66"/>
  <c r="G100" i="66"/>
  <c r="C13" i="63"/>
  <c r="C3" i="63"/>
  <c r="E39" i="39"/>
  <c r="E120" i="38" s="1"/>
  <c r="G142" i="66"/>
  <c r="C41" i="39"/>
  <c r="E88" i="38" s="1"/>
  <c r="G12" i="66"/>
  <c r="Q288" i="66" l="1"/>
  <c r="G95" i="74"/>
  <c r="AC95" i="74" s="1"/>
  <c r="AD95" i="74" s="1"/>
  <c r="T128" i="66"/>
  <c r="T288" i="66"/>
  <c r="T224" i="66"/>
  <c r="T192" i="66"/>
  <c r="U192" i="66" s="1"/>
  <c r="Q192" i="66"/>
  <c r="G143" i="74"/>
  <c r="AC143" i="74" s="1"/>
  <c r="AD143" i="74" s="1"/>
  <c r="Q128" i="66"/>
  <c r="Q144" i="74"/>
  <c r="X144" i="74"/>
  <c r="T144" i="74"/>
  <c r="S48" i="74"/>
  <c r="T48" i="74"/>
  <c r="Q48" i="74"/>
  <c r="W48" i="74" s="1"/>
  <c r="X48" i="74"/>
  <c r="Q96" i="74"/>
  <c r="X96" i="74"/>
  <c r="T96" i="74"/>
  <c r="Q32" i="74"/>
  <c r="W32" i="74" s="1"/>
  <c r="X32" i="74"/>
  <c r="T32" i="74"/>
  <c r="S32" i="74"/>
  <c r="AB191" i="66"/>
  <c r="AC191" i="66" s="1"/>
  <c r="G47" i="74"/>
  <c r="K80" i="74"/>
  <c r="O287" i="66"/>
  <c r="AB239" i="66"/>
  <c r="AC239" i="66" s="1"/>
  <c r="X128" i="74"/>
  <c r="Q128" i="74"/>
  <c r="T128" i="74"/>
  <c r="AB4" i="66"/>
  <c r="AC4" i="66" s="1"/>
  <c r="AB95" i="66"/>
  <c r="AC95" i="66" s="1"/>
  <c r="AB47" i="66"/>
  <c r="AC47" i="66" s="1"/>
  <c r="AB100" i="66"/>
  <c r="AC100" i="66" s="1"/>
  <c r="AB143" i="66"/>
  <c r="AC143" i="66" s="1"/>
  <c r="AB52" i="66"/>
  <c r="AC52" i="66" s="1"/>
  <c r="O100" i="66"/>
  <c r="O47" i="66"/>
  <c r="AA191" i="66" s="1"/>
  <c r="O52" i="66"/>
  <c r="O4" i="66"/>
  <c r="O95" i="66"/>
  <c r="AA239" i="66" s="1"/>
  <c r="O143" i="66"/>
  <c r="Q240" i="66"/>
  <c r="T240" i="66"/>
  <c r="U32" i="66"/>
  <c r="K12" i="66"/>
  <c r="G38" i="66"/>
  <c r="D40" i="39"/>
  <c r="E104" i="38" s="1"/>
  <c r="G76" i="66"/>
  <c r="J459" i="37"/>
  <c r="U48" i="66"/>
  <c r="G134" i="66"/>
  <c r="K108" i="66"/>
  <c r="I459" i="37"/>
  <c r="G86" i="66"/>
  <c r="G28" i="66"/>
  <c r="E40" i="39"/>
  <c r="E121" i="38" s="1"/>
  <c r="G124" i="66"/>
  <c r="E352" i="38"/>
  <c r="K60" i="66"/>
  <c r="S176" i="66"/>
  <c r="T176" i="66"/>
  <c r="Q176" i="66"/>
  <c r="O95" i="74" l="1"/>
  <c r="AA95" i="74"/>
  <c r="AA47" i="66"/>
  <c r="U32" i="74"/>
  <c r="AA143" i="66"/>
  <c r="O143" i="74"/>
  <c r="Z143" i="74" s="1"/>
  <c r="Y48" i="74"/>
  <c r="U48" i="74"/>
  <c r="Y32" i="74"/>
  <c r="AA287" i="66"/>
  <c r="Q80" i="74"/>
  <c r="X80" i="74"/>
  <c r="T80" i="74"/>
  <c r="O47" i="74"/>
  <c r="Z47" i="74" s="1"/>
  <c r="AC47" i="74"/>
  <c r="AD47" i="74" s="1"/>
  <c r="L12" i="66"/>
  <c r="AA95" i="66"/>
  <c r="Z239" i="66"/>
  <c r="Z95" i="66"/>
  <c r="AB86" i="66"/>
  <c r="AC86" i="66" s="1"/>
  <c r="AB38" i="66"/>
  <c r="AC38" i="66" s="1"/>
  <c r="AB134" i="66"/>
  <c r="AC134" i="66" s="1"/>
  <c r="O134" i="66"/>
  <c r="Z191" i="66"/>
  <c r="Z47" i="66"/>
  <c r="O38" i="66"/>
  <c r="O86" i="66"/>
  <c r="Z287" i="66"/>
  <c r="Z143" i="66"/>
  <c r="U176" i="66"/>
  <c r="G140" i="66"/>
  <c r="I461" i="37"/>
  <c r="C20" i="63" s="1"/>
  <c r="Q60" i="66"/>
  <c r="T60" i="66"/>
  <c r="J461" i="37"/>
  <c r="C30" i="63" s="1"/>
  <c r="G33" i="66"/>
  <c r="G92" i="66"/>
  <c r="D42" i="39"/>
  <c r="E106" i="38" s="1"/>
  <c r="G93" i="66"/>
  <c r="G91" i="66"/>
  <c r="G44" i="66"/>
  <c r="G109" i="66"/>
  <c r="G13" i="66"/>
  <c r="G81" i="66"/>
  <c r="G77" i="66"/>
  <c r="G29" i="66"/>
  <c r="G139" i="66"/>
  <c r="Q12" i="66"/>
  <c r="S12" i="66"/>
  <c r="T12" i="66"/>
  <c r="G125" i="66"/>
  <c r="G129" i="66"/>
  <c r="G61" i="66"/>
  <c r="G43" i="66"/>
  <c r="T108" i="66"/>
  <c r="Q108" i="66"/>
  <c r="G141" i="66"/>
  <c r="E42" i="39"/>
  <c r="E123" i="38" s="1"/>
  <c r="Z95" i="74" l="1"/>
  <c r="AA143" i="74"/>
  <c r="AA47" i="74"/>
  <c r="AB129" i="66"/>
  <c r="AC129" i="66" s="1"/>
  <c r="AB139" i="66"/>
  <c r="AC139" i="66" s="1"/>
  <c r="AB33" i="66"/>
  <c r="AC33" i="66" s="1"/>
  <c r="AB43" i="66"/>
  <c r="AC43" i="66" s="1"/>
  <c r="AB91" i="66"/>
  <c r="AC91" i="66" s="1"/>
  <c r="AB61" i="66"/>
  <c r="AC61" i="66" s="1"/>
  <c r="AB13" i="66"/>
  <c r="AC13" i="66" s="1"/>
  <c r="AB109" i="66"/>
  <c r="AC109" i="66" s="1"/>
  <c r="AB81" i="66"/>
  <c r="AC81" i="66" s="1"/>
  <c r="O91" i="66"/>
  <c r="O43" i="66"/>
  <c r="O61" i="66"/>
  <c r="O13" i="66"/>
  <c r="O139" i="66"/>
  <c r="O33" i="66"/>
  <c r="O109" i="66"/>
  <c r="O81" i="66"/>
  <c r="O129" i="66"/>
  <c r="U12" i="66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H96" i="58" l="1"/>
  <c r="I96" i="58"/>
  <c r="J96" i="58"/>
  <c r="F2" i="72"/>
  <c r="F64" i="72"/>
  <c r="F188" i="72"/>
  <c r="F250" i="72"/>
  <c r="F126" i="72"/>
  <c r="F33" i="72"/>
  <c r="F281" i="72"/>
  <c r="F157" i="72"/>
  <c r="F219" i="72"/>
  <c r="F95" i="72"/>
  <c r="H3" i="41"/>
  <c r="G45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J36" i="9"/>
  <c r="M38" i="20"/>
  <c r="M43" i="20"/>
  <c r="D44" i="20"/>
  <c r="M9" i="9"/>
  <c r="E21" i="22"/>
  <c r="E37" i="22"/>
  <c r="Q5" i="9"/>
  <c r="L30" i="9"/>
  <c r="E13" i="22"/>
  <c r="L6" i="9"/>
  <c r="D3" i="9" s="1"/>
  <c r="E10" i="20"/>
  <c r="N8" i="20"/>
  <c r="N19" i="20"/>
  <c r="E7" i="20"/>
  <c r="N17" i="20"/>
  <c r="N16" i="20"/>
  <c r="N9" i="20"/>
  <c r="N13" i="20"/>
  <c r="N10" i="20"/>
  <c r="E16" i="20"/>
  <c r="E11" i="20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E67" i="22"/>
  <c r="E82" i="22"/>
  <c r="N9" i="9"/>
  <c r="E26" i="22"/>
  <c r="E41" i="22"/>
  <c r="Q9" i="9"/>
  <c r="E31" i="22"/>
  <c r="O9" i="9"/>
  <c r="E24" i="22"/>
  <c r="N7" i="9"/>
  <c r="K8" i="9"/>
  <c r="E10" i="22"/>
  <c r="J28" i="9"/>
  <c r="E22" i="22"/>
  <c r="N5" i="9"/>
  <c r="E42" i="22"/>
  <c r="R5" i="9"/>
  <c r="E77" i="22"/>
  <c r="E60" i="22"/>
  <c r="L8" i="9"/>
  <c r="E15" i="22"/>
  <c r="M5" i="9"/>
  <c r="E62" i="22"/>
  <c r="E55" i="22"/>
  <c r="J38" i="9"/>
  <c r="E29" i="22"/>
  <c r="O7" i="9"/>
  <c r="E19" i="22"/>
  <c r="M7" i="9"/>
  <c r="E79" i="22"/>
  <c r="E64" i="22"/>
  <c r="E58" i="22"/>
  <c r="L40" i="9"/>
  <c r="N37" i="20"/>
  <c r="E44" i="20"/>
  <c r="E36" i="20"/>
  <c r="E43" i="20"/>
  <c r="N45" i="20"/>
  <c r="N42" i="20"/>
  <c r="E34" i="20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H96" i="41" l="1"/>
  <c r="B3" i="39" s="1"/>
  <c r="C12" i="39" s="1"/>
  <c r="G190" i="66"/>
  <c r="G46" i="74" s="1"/>
  <c r="L39" i="39"/>
  <c r="E154" i="38" s="1"/>
  <c r="I475" i="58"/>
  <c r="I96" i="41"/>
  <c r="D12" i="39" s="1"/>
  <c r="G238" i="66"/>
  <c r="G94" i="74" s="1"/>
  <c r="J475" i="58"/>
  <c r="M39" i="39"/>
  <c r="E171" i="38" s="1"/>
  <c r="J96" i="41"/>
  <c r="E12" i="39" s="1"/>
  <c r="G286" i="66"/>
  <c r="G142" i="74" s="1"/>
  <c r="C3" i="9"/>
  <c r="D4" i="9"/>
  <c r="C4" i="9" s="1"/>
  <c r="U5" i="9"/>
  <c r="U7" i="9"/>
  <c r="V5" i="9"/>
  <c r="U9" i="9"/>
  <c r="R7" i="9"/>
  <c r="E32" i="22"/>
  <c r="E39" i="22"/>
  <c r="P9" i="9"/>
  <c r="V9" i="9" s="1"/>
  <c r="Q7" i="9"/>
  <c r="K10" i="9"/>
  <c r="L10" i="9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J30" i="9"/>
  <c r="C19" i="20"/>
  <c r="C6" i="20"/>
  <c r="L10" i="20"/>
  <c r="L19" i="20"/>
  <c r="C16" i="20"/>
  <c r="C11" i="20"/>
  <c r="L6" i="20"/>
  <c r="L16" i="20"/>
  <c r="C12" i="20"/>
  <c r="L11" i="20"/>
  <c r="J6" i="9"/>
  <c r="T6" i="9" s="1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J8" i="9"/>
  <c r="T8" i="9" s="1"/>
  <c r="P28" i="9" a="1"/>
  <c r="P28" i="9" s="1"/>
  <c r="E5" i="22"/>
  <c r="M28" i="9" a="1"/>
  <c r="M28" i="9" s="1"/>
  <c r="J459" i="58" l="1"/>
  <c r="J459" i="41" s="1"/>
  <c r="I459" i="58"/>
  <c r="H475" i="58"/>
  <c r="E368" i="38" s="1"/>
  <c r="L190" i="66" s="1"/>
  <c r="H475" i="37"/>
  <c r="C39" i="39"/>
  <c r="E86" i="38" s="1"/>
  <c r="K39" i="39"/>
  <c r="E137" i="38" s="1"/>
  <c r="K286" i="66" s="1"/>
  <c r="P12" i="39"/>
  <c r="Q12" i="39" s="1"/>
  <c r="O12" i="39"/>
  <c r="V7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H467" i="18"/>
  <c r="I467" i="18"/>
  <c r="H468" i="18"/>
  <c r="I468" i="18"/>
  <c r="H472" i="18"/>
  <c r="I472" i="18"/>
  <c r="E63" i="22"/>
  <c r="M40" i="9"/>
  <c r="I213" i="18"/>
  <c r="H213" i="18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I129" i="18"/>
  <c r="H129" i="18"/>
  <c r="H140" i="18"/>
  <c r="I140" i="18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I182" i="18"/>
  <c r="H182" i="18"/>
  <c r="I132" i="18"/>
  <c r="H132" i="18"/>
  <c r="H141" i="18"/>
  <c r="I141" i="18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E20" i="22"/>
  <c r="M8" i="9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433" i="18"/>
  <c r="I433" i="18"/>
  <c r="I183" i="18"/>
  <c r="H183" i="18"/>
  <c r="H135" i="18"/>
  <c r="I135" i="18"/>
  <c r="H137" i="18"/>
  <c r="I137" i="18"/>
  <c r="H88" i="18"/>
  <c r="I88" i="18"/>
  <c r="I342" i="18"/>
  <c r="H342" i="18"/>
  <c r="I218" i="18"/>
  <c r="H218" i="18"/>
  <c r="I219" i="18"/>
  <c r="H219" i="18"/>
  <c r="J10" i="9"/>
  <c r="H434" i="18"/>
  <c r="I434" i="18"/>
  <c r="H138" i="18"/>
  <c r="I138" i="18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K142" i="66" l="1"/>
  <c r="K94" i="66"/>
  <c r="K238" i="66"/>
  <c r="Q238" i="66" s="1"/>
  <c r="I459" i="41"/>
  <c r="T286" i="66"/>
  <c r="Q286" i="66"/>
  <c r="K190" i="66"/>
  <c r="H459" i="58"/>
  <c r="K46" i="66"/>
  <c r="K142" i="74" s="1"/>
  <c r="H459" i="37"/>
  <c r="E350" i="38"/>
  <c r="L46" i="66" s="1"/>
  <c r="L46" i="74" s="1"/>
  <c r="H475" i="41"/>
  <c r="D47" i="17" a="1"/>
  <c r="D47" i="17" s="1"/>
  <c r="F35" i="20" s="1"/>
  <c r="H334" i="37"/>
  <c r="H226" i="37"/>
  <c r="H238" i="37"/>
  <c r="H322" i="37"/>
  <c r="H184" i="37"/>
  <c r="H185" i="37"/>
  <c r="H183" i="37"/>
  <c r="H188" i="37"/>
  <c r="H187" i="37"/>
  <c r="H186" i="37"/>
  <c r="H358" i="37"/>
  <c r="H346" i="37"/>
  <c r="H142" i="37"/>
  <c r="H154" i="37"/>
  <c r="E48" i="17"/>
  <c r="E47" i="17" a="1"/>
  <c r="E47" i="17" s="1"/>
  <c r="D48" i="17"/>
  <c r="P10" i="9"/>
  <c r="F464" i="18"/>
  <c r="J464" i="18"/>
  <c r="I7" i="18"/>
  <c r="H7" i="18"/>
  <c r="I306" i="18"/>
  <c r="H306" i="18"/>
  <c r="F95" i="18"/>
  <c r="J95" i="18"/>
  <c r="F342" i="18"/>
  <c r="J342" i="18"/>
  <c r="H264" i="18"/>
  <c r="I264" i="18"/>
  <c r="J383" i="18"/>
  <c r="F383" i="18"/>
  <c r="F212" i="18"/>
  <c r="J212" i="18"/>
  <c r="F343" i="18"/>
  <c r="J343" i="18"/>
  <c r="J390" i="18"/>
  <c r="F390" i="18"/>
  <c r="F98" i="18"/>
  <c r="J98" i="18"/>
  <c r="J430" i="18"/>
  <c r="F430" i="18"/>
  <c r="I44" i="18"/>
  <c r="H44" i="18"/>
  <c r="H56" i="18"/>
  <c r="I56" i="18"/>
  <c r="F223" i="18"/>
  <c r="J223" i="18"/>
  <c r="J339" i="18"/>
  <c r="F339" i="18"/>
  <c r="J468" i="18"/>
  <c r="F468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J135" i="18"/>
  <c r="F135" i="18"/>
  <c r="F183" i="18"/>
  <c r="J183" i="18"/>
  <c r="F224" i="18"/>
  <c r="J224" i="18"/>
  <c r="F475" i="18"/>
  <c r="J475" i="18"/>
  <c r="F348" i="18"/>
  <c r="J348" i="18"/>
  <c r="F92" i="18"/>
  <c r="J92" i="18"/>
  <c r="F380" i="18"/>
  <c r="J380" i="18"/>
  <c r="F93" i="18"/>
  <c r="J93" i="18"/>
  <c r="F141" i="18"/>
  <c r="J141" i="18"/>
  <c r="F182" i="18"/>
  <c r="J182" i="18"/>
  <c r="F136" i="18"/>
  <c r="J136" i="18"/>
  <c r="H54" i="18"/>
  <c r="I54" i="18"/>
  <c r="H47" i="18"/>
  <c r="I47" i="18"/>
  <c r="I48" i="18"/>
  <c r="H48" i="18"/>
  <c r="F393" i="18"/>
  <c r="J393" i="18"/>
  <c r="F133" i="18"/>
  <c r="J133" i="18"/>
  <c r="F435" i="18"/>
  <c r="J435" i="18"/>
  <c r="J476" i="18"/>
  <c r="F476" i="18"/>
  <c r="H8" i="18"/>
  <c r="I8" i="18"/>
  <c r="I2" i="18"/>
  <c r="H2" i="18"/>
  <c r="I309" i="18"/>
  <c r="H309" i="18"/>
  <c r="F392" i="18"/>
  <c r="J392" i="18"/>
  <c r="F219" i="18"/>
  <c r="J219" i="18"/>
  <c r="H262" i="18"/>
  <c r="I262" i="18"/>
  <c r="I259" i="18"/>
  <c r="H259" i="18"/>
  <c r="H254" i="18"/>
  <c r="I254" i="18"/>
  <c r="F345" i="18"/>
  <c r="J345" i="18"/>
  <c r="F171" i="18"/>
  <c r="J171" i="18"/>
  <c r="J470" i="18"/>
  <c r="F470" i="18"/>
  <c r="F347" i="18"/>
  <c r="J347" i="18"/>
  <c r="F170" i="18"/>
  <c r="J170" i="18"/>
  <c r="H52" i="18"/>
  <c r="I52" i="18"/>
  <c r="H45" i="18"/>
  <c r="I45" i="18"/>
  <c r="J214" i="18"/>
  <c r="F214" i="18"/>
  <c r="J179" i="18"/>
  <c r="F179" i="18"/>
  <c r="J425" i="18"/>
  <c r="F425" i="18"/>
  <c r="F467" i="18"/>
  <c r="J467" i="18"/>
  <c r="J338" i="18"/>
  <c r="F338" i="18"/>
  <c r="F385" i="18"/>
  <c r="J385" i="18"/>
  <c r="J340" i="18"/>
  <c r="F340" i="18"/>
  <c r="J99" i="18"/>
  <c r="F99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F218" i="18"/>
  <c r="J218" i="18"/>
  <c r="H260" i="18"/>
  <c r="I260" i="18"/>
  <c r="J87" i="18"/>
  <c r="F87" i="18"/>
  <c r="J428" i="18"/>
  <c r="F428" i="18"/>
  <c r="J384" i="18"/>
  <c r="F384" i="18"/>
  <c r="H53" i="18"/>
  <c r="I53" i="18"/>
  <c r="H50" i="18"/>
  <c r="I50" i="18"/>
  <c r="J129" i="18"/>
  <c r="F129" i="18"/>
  <c r="J178" i="18"/>
  <c r="F178" i="18"/>
  <c r="F97" i="18"/>
  <c r="J97" i="18"/>
  <c r="I10" i="18"/>
  <c r="H10" i="18"/>
  <c r="I9" i="18"/>
  <c r="H9" i="18"/>
  <c r="J217" i="18"/>
  <c r="F217" i="18"/>
  <c r="F220" i="18"/>
  <c r="J220" i="18"/>
  <c r="J138" i="18"/>
  <c r="F138" i="18"/>
  <c r="F88" i="18"/>
  <c r="J88" i="18"/>
  <c r="F216" i="18"/>
  <c r="J216" i="18"/>
  <c r="I263" i="18"/>
  <c r="H263" i="18"/>
  <c r="I257" i="18"/>
  <c r="H257" i="18"/>
  <c r="F477" i="18"/>
  <c r="J477" i="18"/>
  <c r="M10" i="9"/>
  <c r="F351" i="18"/>
  <c r="J351" i="18"/>
  <c r="F91" i="18"/>
  <c r="J91" i="18"/>
  <c r="I46" i="18"/>
  <c r="H46" i="18"/>
  <c r="J474" i="18"/>
  <c r="F474" i="18"/>
  <c r="F389" i="18"/>
  <c r="J389" i="18"/>
  <c r="F140" i="18"/>
  <c r="J140" i="18"/>
  <c r="J432" i="18"/>
  <c r="F432" i="18"/>
  <c r="J346" i="18"/>
  <c r="F346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266" i="18"/>
  <c r="H266" i="18"/>
  <c r="J134" i="18"/>
  <c r="F134" i="18"/>
  <c r="F422" i="18"/>
  <c r="J422" i="18"/>
  <c r="F431" i="18"/>
  <c r="J431" i="18"/>
  <c r="F177" i="18"/>
  <c r="J177" i="18"/>
  <c r="F344" i="18"/>
  <c r="J344" i="18"/>
  <c r="F180" i="18"/>
  <c r="J180" i="18"/>
  <c r="J427" i="18"/>
  <c r="F427" i="18"/>
  <c r="F131" i="18"/>
  <c r="J131" i="18"/>
  <c r="F175" i="18"/>
  <c r="J175" i="18"/>
  <c r="J215" i="18"/>
  <c r="F215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F434" i="18"/>
  <c r="J434" i="18"/>
  <c r="F433" i="18"/>
  <c r="J433" i="18"/>
  <c r="H255" i="18"/>
  <c r="I255" i="18"/>
  <c r="H267" i="18"/>
  <c r="I267" i="18"/>
  <c r="H261" i="18"/>
  <c r="I261" i="18"/>
  <c r="I258" i="18"/>
  <c r="H258" i="18"/>
  <c r="H55" i="18"/>
  <c r="I55" i="18"/>
  <c r="I57" i="18"/>
  <c r="H57" i="18"/>
  <c r="F469" i="18"/>
  <c r="J469" i="18"/>
  <c r="F423" i="18"/>
  <c r="J423" i="18"/>
  <c r="F213" i="18"/>
  <c r="J213" i="18"/>
  <c r="F472" i="18"/>
  <c r="J472" i="18"/>
  <c r="F386" i="18"/>
  <c r="J386" i="18"/>
  <c r="F388" i="18"/>
  <c r="J388" i="18"/>
  <c r="F181" i="18"/>
  <c r="J181" i="18"/>
  <c r="F466" i="18"/>
  <c r="J466" i="18"/>
  <c r="F94" i="18"/>
  <c r="J94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J137" i="18"/>
  <c r="F137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F130" i="18"/>
  <c r="J130" i="18"/>
  <c r="F172" i="18"/>
  <c r="J172" i="18"/>
  <c r="F222" i="18"/>
  <c r="J222" i="18"/>
  <c r="J381" i="18"/>
  <c r="F381" i="18"/>
  <c r="J132" i="18"/>
  <c r="F132" i="18"/>
  <c r="F221" i="18"/>
  <c r="J221" i="18"/>
  <c r="F350" i="18"/>
  <c r="J350" i="18"/>
  <c r="F90" i="18"/>
  <c r="J90" i="18"/>
  <c r="I49" i="18"/>
  <c r="H49" i="18"/>
  <c r="I51" i="18"/>
  <c r="H51" i="18"/>
  <c r="F429" i="18"/>
  <c r="J429" i="18"/>
  <c r="T238" i="66" l="1"/>
  <c r="K94" i="74"/>
  <c r="X94" i="74" s="1"/>
  <c r="T94" i="66"/>
  <c r="Q94" i="66"/>
  <c r="T142" i="66"/>
  <c r="Q142" i="66"/>
  <c r="X142" i="74"/>
  <c r="T142" i="74"/>
  <c r="Q142" i="74"/>
  <c r="H459" i="41"/>
  <c r="K46" i="74"/>
  <c r="T46" i="66"/>
  <c r="Q46" i="66"/>
  <c r="S46" i="66"/>
  <c r="T190" i="66"/>
  <c r="Q190" i="66"/>
  <c r="S190" i="66"/>
  <c r="O45" i="20"/>
  <c r="O11" i="20"/>
  <c r="F39" i="20"/>
  <c r="F45" i="20"/>
  <c r="F14" i="20"/>
  <c r="F33" i="20"/>
  <c r="F16" i="20"/>
  <c r="F10" i="20"/>
  <c r="O16" i="20"/>
  <c r="F6" i="20"/>
  <c r="O35" i="20"/>
  <c r="F44" i="20"/>
  <c r="O7" i="20"/>
  <c r="O17" i="20"/>
  <c r="O18" i="20"/>
  <c r="O36" i="20"/>
  <c r="F18" i="20"/>
  <c r="O13" i="20"/>
  <c r="O44" i="20"/>
  <c r="F41" i="20"/>
  <c r="F7" i="20"/>
  <c r="O10" i="20"/>
  <c r="O37" i="20"/>
  <c r="O14" i="20"/>
  <c r="O9" i="20"/>
  <c r="O8" i="20"/>
  <c r="F8" i="20"/>
  <c r="F40" i="20"/>
  <c r="F43" i="20"/>
  <c r="O43" i="20"/>
  <c r="F13" i="20"/>
  <c r="F34" i="20"/>
  <c r="F17" i="20"/>
  <c r="O12" i="20"/>
  <c r="F11" i="20"/>
  <c r="F36" i="20"/>
  <c r="F42" i="20"/>
  <c r="O6" i="20"/>
  <c r="O42" i="20"/>
  <c r="F38" i="20"/>
  <c r="O15" i="20"/>
  <c r="F19" i="20"/>
  <c r="O39" i="20"/>
  <c r="O38" i="20"/>
  <c r="F9" i="20"/>
  <c r="F12" i="20"/>
  <c r="F46" i="20"/>
  <c r="O19" i="20"/>
  <c r="O33" i="20"/>
  <c r="O34" i="20"/>
  <c r="O46" i="20"/>
  <c r="F37" i="20"/>
  <c r="O40" i="20"/>
  <c r="O41" i="20"/>
  <c r="F15" i="20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F301" i="18"/>
  <c r="J301" i="18"/>
  <c r="J258" i="18"/>
  <c r="F258" i="18"/>
  <c r="J304" i="18"/>
  <c r="F304" i="18"/>
  <c r="J46" i="18"/>
  <c r="F46" i="18"/>
  <c r="F6" i="18"/>
  <c r="J6" i="18"/>
  <c r="J5" i="18"/>
  <c r="F5" i="18"/>
  <c r="F51" i="18"/>
  <c r="J51" i="18"/>
  <c r="J261" i="18"/>
  <c r="F261" i="18"/>
  <c r="F260" i="18"/>
  <c r="J260" i="18"/>
  <c r="J52" i="18"/>
  <c r="F52" i="18"/>
  <c r="F259" i="18"/>
  <c r="J259" i="18"/>
  <c r="J309" i="18"/>
  <c r="F309" i="18"/>
  <c r="J300" i="18"/>
  <c r="F300" i="18"/>
  <c r="F56" i="18"/>
  <c r="J56" i="18"/>
  <c r="F307" i="18"/>
  <c r="J307" i="18"/>
  <c r="F308" i="18"/>
  <c r="J308" i="18"/>
  <c r="F262" i="18"/>
  <c r="J262" i="18"/>
  <c r="J44" i="18"/>
  <c r="F44" i="18"/>
  <c r="J14" i="18"/>
  <c r="F14" i="18"/>
  <c r="F297" i="18"/>
  <c r="J297" i="18"/>
  <c r="J305" i="18"/>
  <c r="F305" i="18"/>
  <c r="F45" i="18"/>
  <c r="J45" i="18"/>
  <c r="J2" i="18"/>
  <c r="F2" i="18"/>
  <c r="F48" i="18"/>
  <c r="J48" i="18"/>
  <c r="F298" i="18"/>
  <c r="J298" i="18"/>
  <c r="F264" i="18"/>
  <c r="J264" i="18"/>
  <c r="J15" i="18"/>
  <c r="F15" i="18"/>
  <c r="F256" i="18"/>
  <c r="J256" i="18"/>
  <c r="J12" i="18"/>
  <c r="F12" i="18"/>
  <c r="J57" i="18"/>
  <c r="F57" i="18"/>
  <c r="J255" i="18"/>
  <c r="F255" i="18"/>
  <c r="J4" i="18"/>
  <c r="F4" i="18"/>
  <c r="F266" i="18"/>
  <c r="J266" i="18"/>
  <c r="J303" i="18"/>
  <c r="F303" i="18"/>
  <c r="J263" i="18"/>
  <c r="F263" i="18"/>
  <c r="J10" i="18"/>
  <c r="F10" i="18"/>
  <c r="F8" i="18"/>
  <c r="J8" i="18"/>
  <c r="F47" i="18"/>
  <c r="J47" i="18"/>
  <c r="J302" i="18"/>
  <c r="F302" i="18"/>
  <c r="F306" i="18"/>
  <c r="J306" i="18"/>
  <c r="J257" i="18"/>
  <c r="F257" i="18"/>
  <c r="F265" i="18"/>
  <c r="J265" i="18"/>
  <c r="J55" i="18"/>
  <c r="F55" i="18"/>
  <c r="J3" i="18"/>
  <c r="F3" i="18"/>
  <c r="F254" i="18"/>
  <c r="J254" i="18"/>
  <c r="J267" i="18"/>
  <c r="F267" i="18"/>
  <c r="F9" i="18"/>
  <c r="J9" i="18"/>
  <c r="J53" i="18"/>
  <c r="F53" i="18"/>
  <c r="F49" i="18"/>
  <c r="J49" i="18"/>
  <c r="J13" i="18"/>
  <c r="F13" i="18"/>
  <c r="J299" i="18"/>
  <c r="F299" i="18"/>
  <c r="J50" i="18"/>
  <c r="F50" i="18"/>
  <c r="J54" i="18"/>
  <c r="F54" i="18"/>
  <c r="J296" i="18"/>
  <c r="F296" i="18"/>
  <c r="J11" i="18"/>
  <c r="F11" i="18"/>
  <c r="F7" i="18"/>
  <c r="J7" i="18"/>
  <c r="T94" i="74" l="1"/>
  <c r="Q94" i="74"/>
  <c r="U190" i="66"/>
  <c r="U46" i="66"/>
  <c r="T46" i="74"/>
  <c r="X46" i="74"/>
  <c r="Q46" i="74"/>
  <c r="W46" i="74" s="1"/>
  <c r="S46" i="74"/>
  <c r="Y46" i="74" l="1"/>
  <c r="U46" i="74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G6" i="58"/>
  <c r="G6" i="37"/>
  <c r="G6" i="41" s="1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332" i="18"/>
  <c r="H332" i="18"/>
  <c r="F268" i="18"/>
  <c r="J268" i="18"/>
  <c r="H281" i="18"/>
  <c r="I281" i="18"/>
  <c r="I331" i="18"/>
  <c r="H331" i="18"/>
  <c r="J314" i="18"/>
  <c r="F314" i="18"/>
  <c r="H431" i="41"/>
  <c r="I70" i="18" l="1"/>
  <c r="H16" i="18"/>
  <c r="I69" i="18"/>
  <c r="J69" i="18" s="1"/>
  <c r="H61" i="18"/>
  <c r="J61" i="18" s="1"/>
  <c r="I68" i="18"/>
  <c r="F68" i="18" s="1"/>
  <c r="I28" i="18"/>
  <c r="F28" i="18" s="1"/>
  <c r="I59" i="18"/>
  <c r="F59" i="18" s="1"/>
  <c r="I238" i="37"/>
  <c r="I142" i="37"/>
  <c r="I226" i="37"/>
  <c r="I334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68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F69" i="18" l="1"/>
  <c r="J28" i="18"/>
  <c r="J27" i="18"/>
  <c r="J59" i="18"/>
  <c r="F25" i="18"/>
  <c r="F18" i="18"/>
  <c r="F71" i="18"/>
  <c r="J334" i="37"/>
  <c r="J346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J473" i="37"/>
  <c r="I462" i="37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H469" i="37"/>
  <c r="H469" i="58"/>
  <c r="H458" i="37"/>
  <c r="H458" i="58"/>
  <c r="I460" i="37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H468" i="37"/>
  <c r="H468" i="58"/>
  <c r="H10" i="66"/>
  <c r="I458" i="37"/>
  <c r="I458" i="58"/>
  <c r="I452" i="41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37"/>
  <c r="H12" i="66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H28" i="66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H23" i="66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H462" i="37"/>
  <c r="H6" i="66"/>
  <c r="H46" i="66"/>
  <c r="H101" i="58" l="1"/>
  <c r="I101" i="58"/>
  <c r="J101" i="58"/>
  <c r="H190" i="66"/>
  <c r="H167" i="66"/>
  <c r="H172" i="66"/>
  <c r="H156" i="66"/>
  <c r="H204" i="66"/>
  <c r="H252" i="66"/>
  <c r="H108" i="66"/>
  <c r="H286" i="66"/>
  <c r="L238" i="66"/>
  <c r="H142" i="66"/>
  <c r="H124" i="66"/>
  <c r="H102" i="66"/>
  <c r="H268" i="66"/>
  <c r="H202" i="66"/>
  <c r="H150" i="66"/>
  <c r="H246" i="66"/>
  <c r="H238" i="66"/>
  <c r="H198" i="66"/>
  <c r="H220" i="66"/>
  <c r="H250" i="66"/>
  <c r="H106" i="66"/>
  <c r="H154" i="66"/>
  <c r="AB12" i="66"/>
  <c r="AC12" i="66" s="1"/>
  <c r="AB46" i="66"/>
  <c r="AC46" i="66" s="1"/>
  <c r="AB190" i="66"/>
  <c r="AC190" i="66" s="1"/>
  <c r="O46" i="66"/>
  <c r="O12" i="66"/>
  <c r="O190" i="66"/>
  <c r="G171" i="41"/>
  <c r="H171" i="37"/>
  <c r="G225" i="41"/>
  <c r="H225" i="37"/>
  <c r="I225" i="37"/>
  <c r="G329" i="41"/>
  <c r="H329" i="37"/>
  <c r="G387" i="41"/>
  <c r="H387" i="37"/>
  <c r="I387" i="37"/>
  <c r="G324" i="41"/>
  <c r="H324" i="37"/>
  <c r="I324" i="37"/>
  <c r="G194" i="41"/>
  <c r="H194" i="37"/>
  <c r="G248" i="41"/>
  <c r="H248" i="37"/>
  <c r="G352" i="41"/>
  <c r="H352" i="37"/>
  <c r="G404" i="41"/>
  <c r="H404" i="37"/>
  <c r="G265" i="41"/>
  <c r="H265" i="37"/>
  <c r="G421" i="41"/>
  <c r="H421" i="37"/>
  <c r="G182" i="41"/>
  <c r="H182" i="37"/>
  <c r="G290" i="41"/>
  <c r="H290" i="37"/>
  <c r="G175" i="41"/>
  <c r="H175" i="37"/>
  <c r="I175" i="37"/>
  <c r="G252" i="41"/>
  <c r="H252" i="37"/>
  <c r="G300" i="41"/>
  <c r="H300" i="37"/>
  <c r="G357" i="41"/>
  <c r="H357" i="37"/>
  <c r="I357" i="37"/>
  <c r="G302" i="41"/>
  <c r="H302" i="37"/>
  <c r="G221" i="41"/>
  <c r="H221" i="37"/>
  <c r="G244" i="41"/>
  <c r="H244" i="37"/>
  <c r="G401" i="41"/>
  <c r="H401" i="37"/>
  <c r="G151" i="41"/>
  <c r="H151" i="37"/>
  <c r="G370" i="41"/>
  <c r="H370" i="37"/>
  <c r="I370" i="37"/>
  <c r="G192" i="41"/>
  <c r="H192" i="37"/>
  <c r="G339" i="41"/>
  <c r="H339" i="37"/>
  <c r="J357" i="37"/>
  <c r="G416" i="41"/>
  <c r="H416" i="37"/>
  <c r="I416" i="37"/>
  <c r="G170" i="41"/>
  <c r="H170" i="37"/>
  <c r="G283" i="41"/>
  <c r="H283" i="37"/>
  <c r="J387" i="37"/>
  <c r="G179" i="41"/>
  <c r="H179" i="37"/>
  <c r="G236" i="41"/>
  <c r="H236" i="37"/>
  <c r="G340" i="41"/>
  <c r="H340" i="37"/>
  <c r="G367" i="41"/>
  <c r="H367" i="37"/>
  <c r="G143" i="41"/>
  <c r="H143" i="37"/>
  <c r="I143" i="37"/>
  <c r="G202" i="41"/>
  <c r="H202" i="37"/>
  <c r="G256" i="41"/>
  <c r="H256" i="37"/>
  <c r="G414" i="41"/>
  <c r="H414" i="37"/>
  <c r="I414" i="37"/>
  <c r="G196" i="41"/>
  <c r="H196" i="37"/>
  <c r="G250" i="41"/>
  <c r="H250" i="37"/>
  <c r="I250" i="37"/>
  <c r="G298" i="41"/>
  <c r="H298" i="37"/>
  <c r="G355" i="41"/>
  <c r="H355" i="37"/>
  <c r="G251" i="41"/>
  <c r="H251" i="37"/>
  <c r="I251" i="37"/>
  <c r="G206" i="41"/>
  <c r="H206" i="37"/>
  <c r="G368" i="41"/>
  <c r="H368" i="37"/>
  <c r="G310" i="41"/>
  <c r="H310" i="37"/>
  <c r="G253" i="41"/>
  <c r="H253" i="37"/>
  <c r="G301" i="41"/>
  <c r="H301" i="37"/>
  <c r="G359" i="41"/>
  <c r="H359" i="37"/>
  <c r="I359" i="37"/>
  <c r="G409" i="41"/>
  <c r="H409" i="37"/>
  <c r="G383" i="41"/>
  <c r="H383" i="37"/>
  <c r="G199" i="41"/>
  <c r="H199" i="37"/>
  <c r="I199" i="37"/>
  <c r="G178" i="41"/>
  <c r="H178" i="37"/>
  <c r="G304" i="41"/>
  <c r="H304" i="37"/>
  <c r="I304" i="37"/>
  <c r="G363" i="41"/>
  <c r="H363" i="37"/>
  <c r="G412" i="41"/>
  <c r="H412" i="37"/>
  <c r="G399" i="41"/>
  <c r="H399" i="37"/>
  <c r="G281" i="41"/>
  <c r="H281" i="37"/>
  <c r="G335" i="41"/>
  <c r="H335" i="37"/>
  <c r="I335" i="37"/>
  <c r="G145" i="41"/>
  <c r="H145" i="37"/>
  <c r="G204" i="41"/>
  <c r="H204" i="37"/>
  <c r="G306" i="41"/>
  <c r="H306" i="37"/>
  <c r="G365" i="41"/>
  <c r="H365" i="37"/>
  <c r="G214" i="41"/>
  <c r="H214" i="37"/>
  <c r="G268" i="41"/>
  <c r="H268" i="37"/>
  <c r="I268" i="37"/>
  <c r="G376" i="41"/>
  <c r="H376" i="37"/>
  <c r="G200" i="41"/>
  <c r="H200" i="37"/>
  <c r="I200" i="37"/>
  <c r="G328" i="41"/>
  <c r="H328" i="37"/>
  <c r="G345" i="41"/>
  <c r="H345" i="37"/>
  <c r="I345" i="37"/>
  <c r="G149" i="41"/>
  <c r="H149" i="37"/>
  <c r="G309" i="41"/>
  <c r="H309" i="37"/>
  <c r="G208" i="41"/>
  <c r="H208" i="37"/>
  <c r="I208" i="37"/>
  <c r="G224" i="41"/>
  <c r="H224" i="37"/>
  <c r="G360" i="41"/>
  <c r="H360" i="37"/>
  <c r="I360" i="37"/>
  <c r="J359" i="37"/>
  <c r="G193" i="41"/>
  <c r="H193" i="37"/>
  <c r="G295" i="41"/>
  <c r="H295" i="37"/>
  <c r="I295" i="37"/>
  <c r="G351" i="41"/>
  <c r="H351" i="37"/>
  <c r="G415" i="41"/>
  <c r="H415" i="37"/>
  <c r="I415" i="37"/>
  <c r="G153" i="41"/>
  <c r="H153" i="37"/>
  <c r="I153" i="37"/>
  <c r="G210" i="41"/>
  <c r="H210" i="37"/>
  <c r="G312" i="41"/>
  <c r="H312" i="37"/>
  <c r="I312" i="37"/>
  <c r="G173" i="41"/>
  <c r="H173" i="37"/>
  <c r="G228" i="41"/>
  <c r="H228" i="37"/>
  <c r="I228" i="37"/>
  <c r="G332" i="41"/>
  <c r="H332" i="37"/>
  <c r="G389" i="41"/>
  <c r="H389" i="37"/>
  <c r="I389" i="37"/>
  <c r="G258" i="41"/>
  <c r="H258" i="37"/>
  <c r="I258" i="37"/>
  <c r="G307" i="41"/>
  <c r="H307" i="37"/>
  <c r="G159" i="41"/>
  <c r="H159" i="37"/>
  <c r="G316" i="41"/>
  <c r="H316" i="37"/>
  <c r="G207" i="41"/>
  <c r="H207" i="37"/>
  <c r="I207" i="37"/>
  <c r="G261" i="41"/>
  <c r="H261" i="37"/>
  <c r="G369" i="41"/>
  <c r="H369" i="37"/>
  <c r="I369" i="37"/>
  <c r="G417" i="41"/>
  <c r="H417" i="37"/>
  <c r="G418" i="41"/>
  <c r="H418" i="37"/>
  <c r="G254" i="41"/>
  <c r="H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G403" i="41"/>
  <c r="H403" i="37"/>
  <c r="G390" i="41"/>
  <c r="H390" i="37"/>
  <c r="G264" i="41"/>
  <c r="H264" i="37"/>
  <c r="G372" i="41"/>
  <c r="H372" i="37"/>
  <c r="G420" i="41"/>
  <c r="H420" i="37"/>
  <c r="G239" i="41"/>
  <c r="H239" i="37"/>
  <c r="I239" i="37"/>
  <c r="G289" i="41"/>
  <c r="H289" i="37"/>
  <c r="G343" i="41"/>
  <c r="H343" i="37"/>
  <c r="G391" i="41"/>
  <c r="H391" i="37"/>
  <c r="G266" i="41"/>
  <c r="H266" i="37"/>
  <c r="G374" i="41"/>
  <c r="H374" i="37"/>
  <c r="G222" i="41"/>
  <c r="H222" i="37"/>
  <c r="G276" i="41"/>
  <c r="H276" i="37"/>
  <c r="I276" i="37"/>
  <c r="G384" i="41"/>
  <c r="H384" i="37"/>
  <c r="G216" i="41"/>
  <c r="H216" i="37"/>
  <c r="I216" i="37"/>
  <c r="G349" i="41"/>
  <c r="H349" i="37"/>
  <c r="G407" i="41"/>
  <c r="H407" i="37"/>
  <c r="I407" i="37"/>
  <c r="G215" i="41"/>
  <c r="H215" i="37"/>
  <c r="G269" i="41"/>
  <c r="H269" i="37"/>
  <c r="I269" i="37"/>
  <c r="G377" i="41"/>
  <c r="H377" i="37"/>
  <c r="G235" i="41"/>
  <c r="H235" i="37"/>
  <c r="G386" i="41"/>
  <c r="H386" i="37"/>
  <c r="J153" i="37"/>
  <c r="J199" i="37"/>
  <c r="J258" i="37"/>
  <c r="J414" i="37"/>
  <c r="G287" i="41"/>
  <c r="H287" i="37"/>
  <c r="I287" i="37"/>
  <c r="G395" i="41"/>
  <c r="H395" i="37"/>
  <c r="G141" i="41"/>
  <c r="H141" i="37"/>
  <c r="I141" i="37"/>
  <c r="G255" i="41"/>
  <c r="H255" i="37"/>
  <c r="G303" i="41"/>
  <c r="H303" i="37"/>
  <c r="I303" i="37"/>
  <c r="G411" i="41"/>
  <c r="H411" i="37"/>
  <c r="G422" i="41"/>
  <c r="H422" i="37"/>
  <c r="G147" i="41"/>
  <c r="H147" i="37"/>
  <c r="G218" i="41"/>
  <c r="H218" i="37"/>
  <c r="I218" i="37"/>
  <c r="G380" i="41"/>
  <c r="H380" i="37"/>
  <c r="I380" i="37"/>
  <c r="G181" i="41"/>
  <c r="H181" i="37"/>
  <c r="G397" i="41"/>
  <c r="H397" i="37"/>
  <c r="I397" i="37"/>
  <c r="G156" i="41"/>
  <c r="H156" i="37"/>
  <c r="I156" i="37"/>
  <c r="G212" i="41"/>
  <c r="H212" i="37"/>
  <c r="G314" i="41"/>
  <c r="H314" i="37"/>
  <c r="I314" i="37"/>
  <c r="G375" i="41"/>
  <c r="H375" i="37"/>
  <c r="G168" i="41"/>
  <c r="H168" i="37"/>
  <c r="G325" i="41"/>
  <c r="H325" i="37"/>
  <c r="H11" i="37"/>
  <c r="I11" i="37"/>
  <c r="J11" i="37"/>
  <c r="G160" i="41"/>
  <c r="H160" i="37"/>
  <c r="G317" i="41"/>
  <c r="H317" i="37"/>
  <c r="G410" i="41"/>
  <c r="H410" i="37"/>
  <c r="G197" i="41"/>
  <c r="H197" i="37"/>
  <c r="J269" i="37"/>
  <c r="J303" i="37"/>
  <c r="J321" i="37"/>
  <c r="J260" i="37"/>
  <c r="J416" i="37"/>
  <c r="H13" i="37"/>
  <c r="I13" i="37"/>
  <c r="J13" i="37"/>
  <c r="G273" i="41"/>
  <c r="H273" i="37"/>
  <c r="G381" i="41"/>
  <c r="H381" i="37"/>
  <c r="G164" i="41"/>
  <c r="H164" i="37"/>
  <c r="G272" i="41"/>
  <c r="H272" i="37"/>
  <c r="G320" i="41"/>
  <c r="H320" i="37"/>
  <c r="G157" i="41"/>
  <c r="H157" i="37"/>
  <c r="G195" i="41"/>
  <c r="H195" i="37"/>
  <c r="G249" i="41"/>
  <c r="H249" i="37"/>
  <c r="I249" i="37"/>
  <c r="G297" i="41"/>
  <c r="H297" i="37"/>
  <c r="G353" i="41"/>
  <c r="H353" i="37"/>
  <c r="G166" i="41"/>
  <c r="H166" i="37"/>
  <c r="I166" i="37"/>
  <c r="J166" i="37"/>
  <c r="G220" i="41"/>
  <c r="H220" i="37"/>
  <c r="G274" i="41"/>
  <c r="H274" i="37"/>
  <c r="G382" i="41"/>
  <c r="H382" i="37"/>
  <c r="G176" i="41"/>
  <c r="H176" i="37"/>
  <c r="I176" i="37"/>
  <c r="G232" i="41"/>
  <c r="H232" i="37"/>
  <c r="G336" i="41"/>
  <c r="H336" i="37"/>
  <c r="I336" i="37"/>
  <c r="G392" i="41"/>
  <c r="H392" i="37"/>
  <c r="G245" i="41"/>
  <c r="H245" i="37"/>
  <c r="G169" i="41"/>
  <c r="H169" i="37"/>
  <c r="G223" i="41"/>
  <c r="H223" i="37"/>
  <c r="G327" i="41"/>
  <c r="H327" i="37"/>
  <c r="G385" i="41"/>
  <c r="H385" i="37"/>
  <c r="G205" i="41"/>
  <c r="H205" i="37"/>
  <c r="G278" i="41"/>
  <c r="H278" i="37"/>
  <c r="I278" i="37"/>
  <c r="J216" i="37"/>
  <c r="J208" i="37"/>
  <c r="J324" i="37"/>
  <c r="J176" i="37"/>
  <c r="J415" i="37"/>
  <c r="G394" i="41"/>
  <c r="H394" i="37"/>
  <c r="G213" i="41"/>
  <c r="H213" i="37"/>
  <c r="G227" i="41"/>
  <c r="H227" i="37"/>
  <c r="I227" i="37"/>
  <c r="G331" i="41"/>
  <c r="H331" i="37"/>
  <c r="G405" i="41"/>
  <c r="H405" i="37"/>
  <c r="I405" i="37"/>
  <c r="G323" i="41"/>
  <c r="H323" i="37"/>
  <c r="I323" i="37"/>
  <c r="G284" i="41"/>
  <c r="H284" i="37"/>
  <c r="G378" i="41"/>
  <c r="H378" i="37"/>
  <c r="I378" i="37"/>
  <c r="G277" i="41"/>
  <c r="H277" i="37"/>
  <c r="I277" i="37"/>
  <c r="G270" i="41"/>
  <c r="H270" i="37"/>
  <c r="G286" i="41"/>
  <c r="H286" i="37"/>
  <c r="I286" i="37"/>
  <c r="G241" i="41"/>
  <c r="H241" i="37"/>
  <c r="J218" i="37"/>
  <c r="J304" i="37"/>
  <c r="J207" i="37"/>
  <c r="J239" i="37"/>
  <c r="J175" i="37"/>
  <c r="J336" i="37"/>
  <c r="G279" i="41"/>
  <c r="H279" i="37"/>
  <c r="G296" i="41"/>
  <c r="H296" i="37"/>
  <c r="I296" i="37"/>
  <c r="G356" i="41"/>
  <c r="H356" i="37"/>
  <c r="G219" i="41"/>
  <c r="H219" i="37"/>
  <c r="G267" i="41"/>
  <c r="H267" i="37"/>
  <c r="I267" i="37"/>
  <c r="G201" i="41"/>
  <c r="H201" i="37"/>
  <c r="G361" i="41"/>
  <c r="H361" i="37"/>
  <c r="G209" i="41"/>
  <c r="H209" i="37"/>
  <c r="I209" i="37"/>
  <c r="G311" i="41"/>
  <c r="H311" i="37"/>
  <c r="G371" i="41"/>
  <c r="H371" i="37"/>
  <c r="I371" i="37"/>
  <c r="G419" i="41"/>
  <c r="H419" i="37"/>
  <c r="G172" i="41"/>
  <c r="H172" i="37"/>
  <c r="G280" i="41"/>
  <c r="H280" i="37"/>
  <c r="G388" i="41"/>
  <c r="H388" i="37"/>
  <c r="I388" i="37"/>
  <c r="G231" i="41"/>
  <c r="H231" i="37"/>
  <c r="G144" i="41"/>
  <c r="H144" i="37"/>
  <c r="I144" i="37"/>
  <c r="G257" i="41"/>
  <c r="H257" i="37"/>
  <c r="G305" i="41"/>
  <c r="H305" i="37"/>
  <c r="I305" i="37"/>
  <c r="G413" i="41"/>
  <c r="H413" i="37"/>
  <c r="G398" i="41"/>
  <c r="H398" i="37"/>
  <c r="I398" i="37"/>
  <c r="G229" i="41"/>
  <c r="H229" i="37"/>
  <c r="G282" i="41"/>
  <c r="H282" i="37"/>
  <c r="G190" i="41"/>
  <c r="H190" i="37"/>
  <c r="I190" i="37"/>
  <c r="G292" i="41"/>
  <c r="H292" i="37"/>
  <c r="G262" i="41"/>
  <c r="H262" i="37"/>
  <c r="G402" i="41"/>
  <c r="H402" i="37"/>
  <c r="G177" i="41"/>
  <c r="H177" i="37"/>
  <c r="G285" i="41"/>
  <c r="H285" i="37"/>
  <c r="I285" i="37"/>
  <c r="G337" i="41"/>
  <c r="H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G263" i="41"/>
  <c r="H263" i="37"/>
  <c r="G180" i="41"/>
  <c r="H180" i="37"/>
  <c r="G237" i="41"/>
  <c r="H237" i="37"/>
  <c r="I237" i="37"/>
  <c r="G288" i="41"/>
  <c r="H288" i="37"/>
  <c r="G396" i="41"/>
  <c r="H396" i="37"/>
  <c r="I396" i="37"/>
  <c r="G203" i="41"/>
  <c r="H203" i="37"/>
  <c r="G364" i="41"/>
  <c r="H364" i="37"/>
  <c r="G174" i="41"/>
  <c r="H174" i="37"/>
  <c r="I174" i="37"/>
  <c r="G333" i="41"/>
  <c r="H333" i="37"/>
  <c r="I333" i="37"/>
  <c r="G406" i="41"/>
  <c r="H406" i="37"/>
  <c r="I406" i="37"/>
  <c r="G243" i="41"/>
  <c r="H243" i="37"/>
  <c r="G347" i="41"/>
  <c r="H347" i="37"/>
  <c r="I347" i="37"/>
  <c r="G400" i="41"/>
  <c r="H400" i="37"/>
  <c r="G167" i="41"/>
  <c r="H167" i="37"/>
  <c r="I167" i="37"/>
  <c r="J167" i="37"/>
  <c r="G233" i="41"/>
  <c r="H233" i="37"/>
  <c r="G393" i="41"/>
  <c r="H393" i="37"/>
  <c r="G291" i="41"/>
  <c r="H291" i="37"/>
  <c r="J144" i="37"/>
  <c r="J371" i="37"/>
  <c r="J398" i="37"/>
  <c r="J287" i="37"/>
  <c r="J276" i="37"/>
  <c r="G148" i="41"/>
  <c r="H148" i="37"/>
  <c r="G308" i="41"/>
  <c r="H308" i="37"/>
  <c r="H12" i="37"/>
  <c r="I12" i="37"/>
  <c r="J12" i="37"/>
  <c r="G163" i="41"/>
  <c r="H163" i="37"/>
  <c r="G319" i="41"/>
  <c r="H319" i="37"/>
  <c r="G217" i="41"/>
  <c r="H217" i="37"/>
  <c r="I217" i="37"/>
  <c r="G271" i="41"/>
  <c r="H271" i="37"/>
  <c r="G379" i="41"/>
  <c r="H379" i="37"/>
  <c r="I379" i="37"/>
  <c r="G275" i="41"/>
  <c r="H275" i="37"/>
  <c r="G341" i="41"/>
  <c r="H341" i="37"/>
  <c r="G299" i="41"/>
  <c r="H299" i="37"/>
  <c r="G155" i="41"/>
  <c r="H155" i="37"/>
  <c r="I155" i="37"/>
  <c r="G211" i="41"/>
  <c r="H211" i="37"/>
  <c r="G313" i="41"/>
  <c r="H313" i="37"/>
  <c r="I313" i="37"/>
  <c r="G373" i="41"/>
  <c r="H373" i="37"/>
  <c r="G189" i="41"/>
  <c r="H189" i="37"/>
  <c r="I189" i="37"/>
  <c r="G240" i="41"/>
  <c r="H240" i="37"/>
  <c r="I240" i="37"/>
  <c r="G344" i="41"/>
  <c r="H344" i="37"/>
  <c r="G198" i="41"/>
  <c r="H198" i="37"/>
  <c r="I198" i="37"/>
  <c r="G408" i="41"/>
  <c r="H408" i="37"/>
  <c r="G191" i="41"/>
  <c r="H191" i="37"/>
  <c r="I191" i="37"/>
  <c r="G293" i="41"/>
  <c r="H293" i="37"/>
  <c r="G348" i="41"/>
  <c r="H348" i="37"/>
  <c r="I348" i="37"/>
  <c r="G315" i="41"/>
  <c r="H315" i="37"/>
  <c r="G161" i="41"/>
  <c r="H161" i="37"/>
  <c r="G318" i="41"/>
  <c r="H318" i="37"/>
  <c r="J369" i="37"/>
  <c r="J396" i="37"/>
  <c r="J294" i="37"/>
  <c r="J277" i="37"/>
  <c r="J250" i="37"/>
  <c r="J333" i="37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H94" i="66"/>
  <c r="H94" i="74" s="1"/>
  <c r="H60" i="66"/>
  <c r="H60" i="74" s="1"/>
  <c r="H58" i="66"/>
  <c r="H58" i="74" s="1"/>
  <c r="H54" i="66"/>
  <c r="H76" i="66"/>
  <c r="H76" i="74" s="1"/>
  <c r="H468" i="41"/>
  <c r="H183" i="41"/>
  <c r="I468" i="41"/>
  <c r="I458" i="41"/>
  <c r="H472" i="41"/>
  <c r="J458" i="41"/>
  <c r="J469" i="41"/>
  <c r="J472" i="41"/>
  <c r="I334" i="58"/>
  <c r="I416" i="58"/>
  <c r="I251" i="58"/>
  <c r="C37" i="63"/>
  <c r="E358" i="38"/>
  <c r="H272" i="58"/>
  <c r="H8" i="41"/>
  <c r="C7" i="63"/>
  <c r="H184" i="41"/>
  <c r="I469" i="41"/>
  <c r="J313" i="58"/>
  <c r="I304" i="58"/>
  <c r="H196" i="58"/>
  <c r="H173" i="58"/>
  <c r="J11" i="58"/>
  <c r="I11" i="58"/>
  <c r="H11" i="58"/>
  <c r="I378" i="58"/>
  <c r="E380" i="38"/>
  <c r="G11" i="41"/>
  <c r="E357" i="38"/>
  <c r="G13" i="41"/>
  <c r="C17" i="63"/>
  <c r="I8" i="41"/>
  <c r="I475" i="41"/>
  <c r="E356" i="38"/>
  <c r="H311" i="58"/>
  <c r="J8" i="58"/>
  <c r="G12" i="41"/>
  <c r="I13" i="58"/>
  <c r="J13" i="58"/>
  <c r="H13" i="58"/>
  <c r="C47" i="63"/>
  <c r="H458" i="41"/>
  <c r="J251" i="58"/>
  <c r="J287" i="58"/>
  <c r="I277" i="58"/>
  <c r="J12" i="58"/>
  <c r="H12" i="58"/>
  <c r="I12" i="58"/>
  <c r="J468" i="41"/>
  <c r="H469" i="41"/>
  <c r="I472" i="41"/>
  <c r="H12" i="74" l="1"/>
  <c r="H46" i="74"/>
  <c r="H6" i="74"/>
  <c r="H108" i="74"/>
  <c r="H106" i="58"/>
  <c r="I106" i="58"/>
  <c r="J106" i="58"/>
  <c r="O238" i="66"/>
  <c r="H104" i="58"/>
  <c r="I104" i="58"/>
  <c r="J104" i="58"/>
  <c r="H105" i="37"/>
  <c r="I105" i="37"/>
  <c r="J105" i="37"/>
  <c r="H105" i="58"/>
  <c r="I105" i="58"/>
  <c r="J105" i="58"/>
  <c r="H106" i="37"/>
  <c r="I106" i="37"/>
  <c r="J106" i="37"/>
  <c r="H104" i="37"/>
  <c r="I104" i="37"/>
  <c r="J104" i="37"/>
  <c r="H102" i="74"/>
  <c r="I101" i="41"/>
  <c r="H101" i="41"/>
  <c r="G12" i="39"/>
  <c r="AB238" i="66"/>
  <c r="AC238" i="66" s="1"/>
  <c r="H142" i="74"/>
  <c r="H124" i="74"/>
  <c r="H106" i="74"/>
  <c r="H10" i="74"/>
  <c r="AA190" i="66"/>
  <c r="AC46" i="74"/>
  <c r="AD46" i="74" s="1"/>
  <c r="O46" i="74"/>
  <c r="H54" i="74"/>
  <c r="H28" i="74"/>
  <c r="L286" i="66"/>
  <c r="O286" i="66" s="1"/>
  <c r="L94" i="66"/>
  <c r="L94" i="74" s="1"/>
  <c r="H215" i="66"/>
  <c r="L60" i="66"/>
  <c r="O60" i="66" s="1"/>
  <c r="P190" i="66"/>
  <c r="R190" i="66" s="1"/>
  <c r="P46" i="66"/>
  <c r="R46" i="66" s="1"/>
  <c r="AA46" i="66"/>
  <c r="Z46" i="66"/>
  <c r="Z190" i="66"/>
  <c r="F12" i="39"/>
  <c r="H424" i="37"/>
  <c r="H423" i="37"/>
  <c r="N66" i="66"/>
  <c r="N210" i="66"/>
  <c r="N170" i="66"/>
  <c r="N26" i="66"/>
  <c r="H71" i="66"/>
  <c r="H196" i="41"/>
  <c r="H311" i="41"/>
  <c r="I334" i="41"/>
  <c r="H173" i="41"/>
  <c r="J313" i="41"/>
  <c r="J251" i="41"/>
  <c r="I304" i="41"/>
  <c r="H272" i="41"/>
  <c r="H306" i="58"/>
  <c r="H386" i="58"/>
  <c r="J348" i="58"/>
  <c r="H408" i="58"/>
  <c r="H340" i="58"/>
  <c r="H257" i="58"/>
  <c r="H396" i="58"/>
  <c r="I228" i="58"/>
  <c r="H253" i="58"/>
  <c r="H274" i="58"/>
  <c r="H301" i="58"/>
  <c r="H367" i="58"/>
  <c r="H392" i="58"/>
  <c r="I249" i="58"/>
  <c r="H229" i="58"/>
  <c r="I165" i="58"/>
  <c r="I358" i="58"/>
  <c r="H369" i="58"/>
  <c r="H390" i="58"/>
  <c r="H144" i="58"/>
  <c r="H283" i="58"/>
  <c r="H170" i="58"/>
  <c r="H285" i="58"/>
  <c r="H218" i="58"/>
  <c r="H374" i="58"/>
  <c r="J176" i="58"/>
  <c r="I166" i="58"/>
  <c r="J227" i="58"/>
  <c r="H335" i="58"/>
  <c r="J287" i="41"/>
  <c r="I416" i="41"/>
  <c r="H260" i="58"/>
  <c r="H191" i="58"/>
  <c r="H388" i="58"/>
  <c r="I176" i="58"/>
  <c r="I347" i="58"/>
  <c r="J165" i="58"/>
  <c r="J405" i="58"/>
  <c r="J249" i="58"/>
  <c r="H150" i="58"/>
  <c r="J167" i="58"/>
  <c r="H336" i="58"/>
  <c r="H230" i="58"/>
  <c r="H275" i="58"/>
  <c r="H182" i="58"/>
  <c r="J303" i="58"/>
  <c r="H159" i="58"/>
  <c r="J143" i="58"/>
  <c r="H154" i="58"/>
  <c r="J175" i="58"/>
  <c r="H197" i="58"/>
  <c r="H219" i="58"/>
  <c r="I405" i="58"/>
  <c r="H312" i="58"/>
  <c r="H153" i="58"/>
  <c r="H245" i="58"/>
  <c r="J312" i="58"/>
  <c r="I174" i="58"/>
  <c r="I238" i="58"/>
  <c r="J207" i="58"/>
  <c r="J228" i="58"/>
  <c r="H279" i="58"/>
  <c r="J370" i="58"/>
  <c r="H321" i="58"/>
  <c r="J388" i="58"/>
  <c r="I191" i="58"/>
  <c r="H360" i="58"/>
  <c r="J296" i="58"/>
  <c r="H244" i="58"/>
  <c r="I250" i="58"/>
  <c r="H366" i="58"/>
  <c r="J389" i="58"/>
  <c r="J190" i="58"/>
  <c r="H141" i="58"/>
  <c r="I278" i="58"/>
  <c r="H416" i="58"/>
  <c r="J277" i="58"/>
  <c r="I407" i="58"/>
  <c r="J217" i="58"/>
  <c r="H405" i="58"/>
  <c r="H326" i="58"/>
  <c r="H188" i="58"/>
  <c r="H243" i="58"/>
  <c r="H223" i="58"/>
  <c r="H216" i="58"/>
  <c r="H158" i="58"/>
  <c r="J360" i="58"/>
  <c r="J144" i="58"/>
  <c r="H235" i="58"/>
  <c r="H155" i="58"/>
  <c r="H303" i="58"/>
  <c r="H166" i="58"/>
  <c r="H263" i="58"/>
  <c r="H413" i="58"/>
  <c r="H266" i="58"/>
  <c r="H418" i="58"/>
  <c r="I207" i="58"/>
  <c r="H210" i="58"/>
  <c r="J396" i="58"/>
  <c r="I345" i="58"/>
  <c r="H187" i="58"/>
  <c r="I312" i="58"/>
  <c r="H309" i="58"/>
  <c r="J154" i="58"/>
  <c r="I142" i="58"/>
  <c r="I237" i="58"/>
  <c r="H201" i="58"/>
  <c r="J239" i="58"/>
  <c r="I359" i="58"/>
  <c r="H292" i="58"/>
  <c r="I209" i="58"/>
  <c r="I259" i="58"/>
  <c r="H403" i="58"/>
  <c r="H316" i="58"/>
  <c r="H370" i="58"/>
  <c r="H247" i="58"/>
  <c r="H176" i="58"/>
  <c r="I200" i="58"/>
  <c r="H163" i="58"/>
  <c r="H349" i="58"/>
  <c r="H327" i="58"/>
  <c r="H225" i="58"/>
  <c r="H220" i="58"/>
  <c r="I380" i="58"/>
  <c r="H328" i="58"/>
  <c r="H296" i="58"/>
  <c r="H217" i="58"/>
  <c r="H143" i="58"/>
  <c r="H364" i="58"/>
  <c r="H411" i="58"/>
  <c r="J347" i="58"/>
  <c r="J406" i="58"/>
  <c r="I396" i="58"/>
  <c r="H308" i="58"/>
  <c r="I277" i="41"/>
  <c r="J13" i="41"/>
  <c r="H194" i="58"/>
  <c r="H151" i="58"/>
  <c r="H258" i="58"/>
  <c r="I294" i="58"/>
  <c r="H397" i="58"/>
  <c r="H313" i="58"/>
  <c r="H348" i="58"/>
  <c r="H161" i="58"/>
  <c r="H421" i="58"/>
  <c r="H391" i="58"/>
  <c r="H186" i="58"/>
  <c r="H355" i="58"/>
  <c r="H305" i="58"/>
  <c r="H209" i="58"/>
  <c r="H417" i="58"/>
  <c r="I397" i="58"/>
  <c r="H320" i="58"/>
  <c r="H221" i="58"/>
  <c r="H383" i="58"/>
  <c r="J407" i="58"/>
  <c r="H319" i="58"/>
  <c r="H307" i="58"/>
  <c r="I370" i="58"/>
  <c r="I360" i="58"/>
  <c r="H288" i="58"/>
  <c r="H213" i="58"/>
  <c r="H414" i="58"/>
  <c r="H180" i="58"/>
  <c r="H273" i="58"/>
  <c r="J369" i="58"/>
  <c r="I387" i="58"/>
  <c r="I258" i="58"/>
  <c r="I414" i="58"/>
  <c r="H361" i="58"/>
  <c r="H291" i="58"/>
  <c r="I225" i="58"/>
  <c r="J142" i="58"/>
  <c r="H342" i="58"/>
  <c r="J414" i="58"/>
  <c r="H377" i="58"/>
  <c r="H200" i="58"/>
  <c r="H353" i="58"/>
  <c r="J166" i="58"/>
  <c r="I199" i="58"/>
  <c r="J304" i="58"/>
  <c r="H255" i="58"/>
  <c r="H142" i="58"/>
  <c r="H304" i="58"/>
  <c r="H251" i="58"/>
  <c r="J415" i="58"/>
  <c r="J199" i="58"/>
  <c r="H199" i="58"/>
  <c r="H352" i="58"/>
  <c r="H398" i="58"/>
  <c r="H332" i="58"/>
  <c r="H224" i="58"/>
  <c r="J295" i="58"/>
  <c r="I371" i="58"/>
  <c r="H256" i="58"/>
  <c r="H212" i="58"/>
  <c r="H330" i="58"/>
  <c r="H249" i="58"/>
  <c r="I346" i="58"/>
  <c r="J378" i="58"/>
  <c r="I313" i="58"/>
  <c r="J218" i="58"/>
  <c r="H12" i="41"/>
  <c r="H13" i="41"/>
  <c r="I11" i="41"/>
  <c r="E363" i="38"/>
  <c r="H412" i="58"/>
  <c r="J260" i="58"/>
  <c r="I305" i="58"/>
  <c r="H264" i="58"/>
  <c r="H371" i="58"/>
  <c r="H375" i="58"/>
  <c r="J191" i="58"/>
  <c r="H202" i="58"/>
  <c r="J305" i="58"/>
  <c r="I323" i="58"/>
  <c r="H378" i="58"/>
  <c r="H401" i="58"/>
  <c r="J380" i="58"/>
  <c r="H372" i="58"/>
  <c r="J358" i="58"/>
  <c r="I369" i="58"/>
  <c r="I198" i="58"/>
  <c r="J321" i="58"/>
  <c r="H334" i="58"/>
  <c r="J335" i="58"/>
  <c r="H248" i="58"/>
  <c r="H259" i="58"/>
  <c r="I268" i="58"/>
  <c r="I389" i="58"/>
  <c r="H299" i="58"/>
  <c r="J200" i="58"/>
  <c r="H236" i="58"/>
  <c r="H179" i="58"/>
  <c r="H406" i="58"/>
  <c r="H363" i="58"/>
  <c r="H410" i="58"/>
  <c r="I208" i="58"/>
  <c r="J334" i="58"/>
  <c r="J208" i="58"/>
  <c r="I287" i="58"/>
  <c r="I13" i="41"/>
  <c r="H11" i="41"/>
  <c r="H252" i="58"/>
  <c r="H368" i="58"/>
  <c r="H337" i="58"/>
  <c r="I388" i="58"/>
  <c r="I217" i="58"/>
  <c r="I295" i="58"/>
  <c r="H261" i="58"/>
  <c r="H246" i="58"/>
  <c r="J250" i="58"/>
  <c r="J286" i="58"/>
  <c r="H395" i="58"/>
  <c r="H409" i="58"/>
  <c r="H333" i="58"/>
  <c r="J359" i="58"/>
  <c r="H149" i="58"/>
  <c r="H325" i="58"/>
  <c r="J276" i="58"/>
  <c r="H381" i="58"/>
  <c r="I276" i="58"/>
  <c r="J174" i="58"/>
  <c r="H318" i="58"/>
  <c r="J225" i="58"/>
  <c r="J153" i="58"/>
  <c r="J387" i="58"/>
  <c r="I322" i="58"/>
  <c r="H384" i="58"/>
  <c r="H373" i="58"/>
  <c r="H271" i="58"/>
  <c r="H178" i="58"/>
  <c r="H387" i="58"/>
  <c r="H168" i="58"/>
  <c r="H277" i="58"/>
  <c r="H250" i="58"/>
  <c r="J278" i="58"/>
  <c r="J398" i="58"/>
  <c r="H346" i="58"/>
  <c r="H240" i="58"/>
  <c r="H290" i="58"/>
  <c r="H347" i="58"/>
  <c r="H297" i="58"/>
  <c r="H198" i="58"/>
  <c r="H167" i="58"/>
  <c r="I314" i="58"/>
  <c r="H420" i="58"/>
  <c r="H165" i="58"/>
  <c r="H317" i="58"/>
  <c r="I155" i="58"/>
  <c r="H380" i="58"/>
  <c r="H238" i="58"/>
  <c r="H400" i="58"/>
  <c r="H189" i="58"/>
  <c r="H351" i="58"/>
  <c r="H365" i="58"/>
  <c r="J345" i="58"/>
  <c r="I333" i="58"/>
  <c r="J285" i="58"/>
  <c r="I285" i="58"/>
  <c r="H233" i="58"/>
  <c r="J198" i="58"/>
  <c r="I226" i="58"/>
  <c r="J238" i="58"/>
  <c r="J294" i="58"/>
  <c r="H192" i="58"/>
  <c r="J141" i="58"/>
  <c r="J333" i="58"/>
  <c r="H302" i="58"/>
  <c r="H265" i="58"/>
  <c r="H203" i="58"/>
  <c r="H385" i="58"/>
  <c r="H278" i="58"/>
  <c r="H226" i="58"/>
  <c r="H415" i="58"/>
  <c r="J336" i="58"/>
  <c r="H215" i="58"/>
  <c r="J397" i="58"/>
  <c r="H295" i="58"/>
  <c r="H241" i="58"/>
  <c r="I175" i="58"/>
  <c r="I218" i="58"/>
  <c r="H190" i="58"/>
  <c r="H343" i="58"/>
  <c r="J323" i="58"/>
  <c r="I260" i="58"/>
  <c r="H162" i="58"/>
  <c r="H358" i="58"/>
  <c r="H422" i="58"/>
  <c r="I286" i="58"/>
  <c r="H362" i="58"/>
  <c r="I324" i="58"/>
  <c r="H169" i="58"/>
  <c r="I406" i="58"/>
  <c r="J240" i="58"/>
  <c r="J8" i="41"/>
  <c r="C27" i="63"/>
  <c r="J11" i="41"/>
  <c r="E364" i="38"/>
  <c r="G31" i="66"/>
  <c r="I251" i="41"/>
  <c r="H404" i="58"/>
  <c r="H354" i="58"/>
  <c r="H276" i="58"/>
  <c r="I415" i="58"/>
  <c r="H234" i="58"/>
  <c r="H242" i="58"/>
  <c r="H402" i="58"/>
  <c r="H359" i="58"/>
  <c r="H356" i="58"/>
  <c r="H419" i="58"/>
  <c r="J155" i="58"/>
  <c r="I348" i="58"/>
  <c r="H157" i="58"/>
  <c r="H357" i="58"/>
  <c r="H393" i="58"/>
  <c r="H300" i="58"/>
  <c r="I398" i="58"/>
  <c r="H407" i="58"/>
  <c r="H344" i="58"/>
  <c r="I269" i="58"/>
  <c r="H389" i="58"/>
  <c r="H239" i="58"/>
  <c r="H379" i="58"/>
  <c r="H284" i="58"/>
  <c r="H228" i="58"/>
  <c r="H145" i="58"/>
  <c r="J209" i="58"/>
  <c r="I227" i="58"/>
  <c r="H206" i="58"/>
  <c r="H211" i="58"/>
  <c r="J324" i="58"/>
  <c r="J346" i="58"/>
  <c r="H185" i="58"/>
  <c r="I12" i="41"/>
  <c r="C57" i="63"/>
  <c r="H339" i="58"/>
  <c r="H174" i="58"/>
  <c r="I167" i="58"/>
  <c r="H214" i="58"/>
  <c r="J189" i="58"/>
  <c r="I267" i="58"/>
  <c r="H280" i="58"/>
  <c r="H193" i="58"/>
  <c r="J371" i="58"/>
  <c r="H262" i="58"/>
  <c r="J267" i="58"/>
  <c r="H350" i="58"/>
  <c r="H227" i="58"/>
  <c r="H231" i="58"/>
  <c r="J379" i="58"/>
  <c r="H267" i="58"/>
  <c r="H323" i="58"/>
  <c r="H289" i="58"/>
  <c r="H146" i="58"/>
  <c r="I144" i="58"/>
  <c r="H294" i="58"/>
  <c r="I321" i="58"/>
  <c r="J357" i="58"/>
  <c r="J258" i="58"/>
  <c r="I216" i="58"/>
  <c r="J226" i="58"/>
  <c r="H177" i="58"/>
  <c r="J322" i="58"/>
  <c r="I154" i="58"/>
  <c r="I153" i="58"/>
  <c r="I335" i="58"/>
  <c r="H329" i="58"/>
  <c r="H254" i="58"/>
  <c r="I296" i="58"/>
  <c r="J259" i="58"/>
  <c r="H195" i="58"/>
  <c r="H181" i="58"/>
  <c r="J416" i="58"/>
  <c r="H338" i="58"/>
  <c r="H341" i="58"/>
  <c r="I379" i="58"/>
  <c r="H331" i="58"/>
  <c r="H204" i="58"/>
  <c r="H269" i="58"/>
  <c r="I143" i="58"/>
  <c r="H322" i="58"/>
  <c r="H232" i="58"/>
  <c r="H394" i="58"/>
  <c r="I336" i="58"/>
  <c r="H293" i="58"/>
  <c r="H298" i="58"/>
  <c r="H282" i="58"/>
  <c r="I303" i="58"/>
  <c r="J216" i="58"/>
  <c r="I189" i="58"/>
  <c r="I357" i="58"/>
  <c r="H345" i="58"/>
  <c r="H399" i="58"/>
  <c r="J237" i="58"/>
  <c r="I141" i="58"/>
  <c r="I239" i="58"/>
  <c r="H147" i="58"/>
  <c r="H171" i="58"/>
  <c r="H324" i="58"/>
  <c r="H310" i="58"/>
  <c r="H237" i="58"/>
  <c r="H376" i="58"/>
  <c r="H268" i="58"/>
  <c r="J269" i="58"/>
  <c r="I190" i="58"/>
  <c r="H270" i="58"/>
  <c r="J268" i="58"/>
  <c r="J314" i="58"/>
  <c r="H207" i="58"/>
  <c r="H382" i="58"/>
  <c r="H286" i="58"/>
  <c r="H172" i="58"/>
  <c r="H287" i="58"/>
  <c r="H222" i="58"/>
  <c r="H175" i="58"/>
  <c r="H281" i="58"/>
  <c r="H314" i="58"/>
  <c r="H205" i="58"/>
  <c r="H208" i="58"/>
  <c r="I240" i="58"/>
  <c r="H315" i="58"/>
  <c r="J12" i="41"/>
  <c r="E362" i="38"/>
  <c r="J475" i="41"/>
  <c r="I378" i="41"/>
  <c r="N18" i="74" l="1"/>
  <c r="N114" i="74"/>
  <c r="I104" i="41"/>
  <c r="I105" i="41"/>
  <c r="J101" i="41"/>
  <c r="J105" i="41"/>
  <c r="H105" i="41"/>
  <c r="I106" i="41"/>
  <c r="E207" i="38"/>
  <c r="E213" i="38"/>
  <c r="E206" i="38"/>
  <c r="E209" i="38"/>
  <c r="E211" i="38"/>
  <c r="E216" i="38"/>
  <c r="E215" i="38"/>
  <c r="E210" i="38"/>
  <c r="E212" i="38"/>
  <c r="E203" i="38"/>
  <c r="E204" i="38"/>
  <c r="E205" i="38"/>
  <c r="E217" i="38"/>
  <c r="E208" i="38"/>
  <c r="E214" i="38"/>
  <c r="E202" i="38"/>
  <c r="E191" i="38"/>
  <c r="E192" i="38"/>
  <c r="E193" i="38"/>
  <c r="E199" i="38"/>
  <c r="E194" i="38"/>
  <c r="E195" i="38"/>
  <c r="E201" i="38"/>
  <c r="H106" i="41"/>
  <c r="E196" i="38"/>
  <c r="E188" i="38"/>
  <c r="E197" i="38"/>
  <c r="E200" i="38"/>
  <c r="E189" i="38"/>
  <c r="E198" i="38"/>
  <c r="E190" i="38"/>
  <c r="R189" i="38"/>
  <c r="J104" i="41"/>
  <c r="H104" i="41"/>
  <c r="O94" i="66"/>
  <c r="Z238" i="66" s="1"/>
  <c r="AB286" i="66"/>
  <c r="AC286" i="66" s="1"/>
  <c r="AB60" i="66"/>
  <c r="AC60" i="66" s="1"/>
  <c r="AB94" i="66"/>
  <c r="AC94" i="66" s="1"/>
  <c r="N66" i="74"/>
  <c r="P46" i="74"/>
  <c r="AA46" i="74"/>
  <c r="Z46" i="74"/>
  <c r="L108" i="66"/>
  <c r="L142" i="66"/>
  <c r="L142" i="74" s="1"/>
  <c r="AC94" i="74"/>
  <c r="AD94" i="74" s="1"/>
  <c r="O94" i="74"/>
  <c r="P94" i="74" s="1"/>
  <c r="AB31" i="66"/>
  <c r="AC31" i="66" s="1"/>
  <c r="O31" i="66"/>
  <c r="H425" i="37"/>
  <c r="C9" i="63" s="1"/>
  <c r="N217" i="66"/>
  <c r="N73" i="66"/>
  <c r="N88" i="66"/>
  <c r="N232" i="66"/>
  <c r="N92" i="66"/>
  <c r="N236" i="66"/>
  <c r="N197" i="66"/>
  <c r="N53" i="66"/>
  <c r="N80" i="66"/>
  <c r="N224" i="66"/>
  <c r="N214" i="66"/>
  <c r="N70" i="66"/>
  <c r="N218" i="66"/>
  <c r="N74" i="66"/>
  <c r="N122" i="74" s="1"/>
  <c r="N203" i="66"/>
  <c r="N59" i="66"/>
  <c r="N240" i="66"/>
  <c r="N96" i="66"/>
  <c r="N78" i="66"/>
  <c r="N222" i="66"/>
  <c r="N77" i="66"/>
  <c r="N221" i="66"/>
  <c r="N234" i="66"/>
  <c r="N90" i="66"/>
  <c r="H263" i="66"/>
  <c r="H119" i="66"/>
  <c r="H23" i="74" s="1"/>
  <c r="H179" i="41"/>
  <c r="H299" i="41"/>
  <c r="J335" i="41"/>
  <c r="I198" i="41"/>
  <c r="J260" i="41"/>
  <c r="J348" i="41"/>
  <c r="H388" i="41"/>
  <c r="J389" i="41"/>
  <c r="H244" i="41"/>
  <c r="J312" i="41"/>
  <c r="H364" i="41"/>
  <c r="H328" i="41"/>
  <c r="H327" i="41"/>
  <c r="H370" i="41"/>
  <c r="H292" i="41"/>
  <c r="H263" i="41"/>
  <c r="H155" i="41"/>
  <c r="H188" i="41"/>
  <c r="J228" i="41"/>
  <c r="I238" i="41"/>
  <c r="I174" i="41"/>
  <c r="H153" i="41"/>
  <c r="I405" i="41"/>
  <c r="J175" i="41"/>
  <c r="H275" i="41"/>
  <c r="H150" i="41"/>
  <c r="J405" i="41"/>
  <c r="H374" i="41"/>
  <c r="I406" i="41"/>
  <c r="I286" i="41"/>
  <c r="H343" i="41"/>
  <c r="H215" i="41"/>
  <c r="H302" i="41"/>
  <c r="H167" i="41"/>
  <c r="J398" i="41"/>
  <c r="I322" i="41"/>
  <c r="I276" i="41"/>
  <c r="H333" i="41"/>
  <c r="H204" i="41"/>
  <c r="I379" i="41"/>
  <c r="H329" i="41"/>
  <c r="I154" i="41"/>
  <c r="I216" i="41"/>
  <c r="H323" i="41"/>
  <c r="H358" i="41"/>
  <c r="I218" i="41"/>
  <c r="H415" i="41"/>
  <c r="H265" i="41"/>
  <c r="J238" i="41"/>
  <c r="H351" i="41"/>
  <c r="I314" i="41"/>
  <c r="H240" i="41"/>
  <c r="H168" i="41"/>
  <c r="H178" i="41"/>
  <c r="H384" i="41"/>
  <c r="J153" i="41"/>
  <c r="J276" i="41"/>
  <c r="J359" i="41"/>
  <c r="J250" i="41"/>
  <c r="H143" i="41"/>
  <c r="I259" i="41"/>
  <c r="H210" i="41"/>
  <c r="H235" i="41"/>
  <c r="H326" i="41"/>
  <c r="J218" i="41"/>
  <c r="I346" i="41"/>
  <c r="I371" i="41"/>
  <c r="H352" i="41"/>
  <c r="H361" i="41"/>
  <c r="H383" i="41"/>
  <c r="H258" i="41"/>
  <c r="J406" i="41"/>
  <c r="H296" i="41"/>
  <c r="I200" i="41"/>
  <c r="I209" i="41"/>
  <c r="J239" i="41"/>
  <c r="I237" i="41"/>
  <c r="J360" i="41"/>
  <c r="J217" i="41"/>
  <c r="I407" i="41"/>
  <c r="H416" i="41"/>
  <c r="H366" i="41"/>
  <c r="H245" i="41"/>
  <c r="J143" i="41"/>
  <c r="J200" i="41"/>
  <c r="J380" i="41"/>
  <c r="I323" i="41"/>
  <c r="H360" i="41"/>
  <c r="J370" i="41"/>
  <c r="H234" i="41"/>
  <c r="H276" i="41"/>
  <c r="H404" i="41"/>
  <c r="H393" i="41"/>
  <c r="J155" i="41"/>
  <c r="H362" i="41"/>
  <c r="J397" i="41"/>
  <c r="I333" i="41"/>
  <c r="H365" i="41"/>
  <c r="H347" i="41"/>
  <c r="H325" i="41"/>
  <c r="H409" i="41"/>
  <c r="H246" i="41"/>
  <c r="H262" i="41"/>
  <c r="H339" i="41"/>
  <c r="I227" i="41"/>
  <c r="J346" i="41"/>
  <c r="J209" i="41"/>
  <c r="H344" i="41"/>
  <c r="H357" i="41"/>
  <c r="J378" i="41"/>
  <c r="H224" i="41"/>
  <c r="H377" i="41"/>
  <c r="H305" i="41"/>
  <c r="H348" i="41"/>
  <c r="H397" i="41"/>
  <c r="H151" i="41"/>
  <c r="H286" i="41"/>
  <c r="J314" i="41"/>
  <c r="H376" i="41"/>
  <c r="H147" i="41"/>
  <c r="I336" i="41"/>
  <c r="H232" i="41"/>
  <c r="I143" i="41"/>
  <c r="H331" i="41"/>
  <c r="H341" i="41"/>
  <c r="I335" i="41"/>
  <c r="J258" i="41"/>
  <c r="H146" i="41"/>
  <c r="I167" i="41"/>
  <c r="J324" i="41"/>
  <c r="H239" i="41"/>
  <c r="H356" i="41"/>
  <c r="H242" i="41"/>
  <c r="H190" i="41"/>
  <c r="H241" i="41"/>
  <c r="J336" i="41"/>
  <c r="H381" i="41"/>
  <c r="J286" i="41"/>
  <c r="J347" i="41"/>
  <c r="H217" i="41"/>
  <c r="H220" i="41"/>
  <c r="H163" i="41"/>
  <c r="I228" i="41"/>
  <c r="H408" i="41"/>
  <c r="H208" i="41"/>
  <c r="H281" i="41"/>
  <c r="J268" i="41"/>
  <c r="H324" i="41"/>
  <c r="I239" i="41"/>
  <c r="I357" i="41"/>
  <c r="H338" i="41"/>
  <c r="J416" i="41"/>
  <c r="J259" i="41"/>
  <c r="H289" i="41"/>
  <c r="J379" i="41"/>
  <c r="H389" i="41"/>
  <c r="I398" i="41"/>
  <c r="H359" i="41"/>
  <c r="H402" i="41"/>
  <c r="H261" i="41"/>
  <c r="H368" i="41"/>
  <c r="I208" i="41"/>
  <c r="H264" i="41"/>
  <c r="I166" i="41"/>
  <c r="H283" i="41"/>
  <c r="H172" i="41"/>
  <c r="J269" i="41"/>
  <c r="H171" i="41"/>
  <c r="H298" i="41"/>
  <c r="H254" i="41"/>
  <c r="H231" i="41"/>
  <c r="H248" i="41"/>
  <c r="H334" i="41"/>
  <c r="H202" i="41"/>
  <c r="H375" i="41"/>
  <c r="H212" i="41"/>
  <c r="H199" i="41"/>
  <c r="H200" i="41"/>
  <c r="H342" i="41"/>
  <c r="H291" i="41"/>
  <c r="H213" i="41"/>
  <c r="H335" i="41"/>
  <c r="H229" i="41"/>
  <c r="H256" i="41"/>
  <c r="I199" i="41"/>
  <c r="J414" i="41"/>
  <c r="H288" i="41"/>
  <c r="J407" i="41"/>
  <c r="H320" i="41"/>
  <c r="H209" i="41"/>
  <c r="H336" i="41"/>
  <c r="H396" i="41"/>
  <c r="H175" i="41"/>
  <c r="H310" i="41"/>
  <c r="J371" i="41"/>
  <c r="J227" i="41"/>
  <c r="I358" i="41"/>
  <c r="J267" i="41"/>
  <c r="I189" i="41"/>
  <c r="I324" i="41"/>
  <c r="J323" i="41"/>
  <c r="H295" i="41"/>
  <c r="H192" i="41"/>
  <c r="J345" i="41"/>
  <c r="H380" i="41"/>
  <c r="D45" i="57"/>
  <c r="G163" i="66"/>
  <c r="H297" i="41"/>
  <c r="H318" i="41"/>
  <c r="D8" i="57"/>
  <c r="M3" i="37"/>
  <c r="H249" i="41"/>
  <c r="G42" i="66"/>
  <c r="I116" i="66"/>
  <c r="E2" i="53"/>
  <c r="H142" i="41"/>
  <c r="I20" i="66"/>
  <c r="G20" i="66"/>
  <c r="I68" i="66"/>
  <c r="J142" i="41"/>
  <c r="G170" i="66"/>
  <c r="D41" i="57"/>
  <c r="H493" i="37"/>
  <c r="E392" i="38"/>
  <c r="D4" i="57"/>
  <c r="H321" i="41"/>
  <c r="G39" i="66"/>
  <c r="H494" i="37"/>
  <c r="H182" i="41"/>
  <c r="J165" i="41"/>
  <c r="H367" i="41"/>
  <c r="H257" i="41"/>
  <c r="H386" i="41"/>
  <c r="I141" i="41"/>
  <c r="D51" i="57"/>
  <c r="G158" i="66"/>
  <c r="I321" i="41"/>
  <c r="G159" i="66"/>
  <c r="D49" i="57"/>
  <c r="I285" i="41"/>
  <c r="G19" i="66"/>
  <c r="H165" i="41"/>
  <c r="D6" i="57"/>
  <c r="J334" i="41"/>
  <c r="H363" i="41"/>
  <c r="J358" i="41"/>
  <c r="J305" i="41"/>
  <c r="G186" i="66"/>
  <c r="D47" i="57"/>
  <c r="M3" i="58"/>
  <c r="H304" i="41"/>
  <c r="H414" i="41"/>
  <c r="H307" i="41"/>
  <c r="H186" i="41"/>
  <c r="J176" i="41"/>
  <c r="G34" i="66"/>
  <c r="H285" i="41"/>
  <c r="D11" i="57"/>
  <c r="H144" i="41"/>
  <c r="H369" i="41"/>
  <c r="D13" i="57"/>
  <c r="G24" i="66"/>
  <c r="H301" i="41"/>
  <c r="J189" i="41"/>
  <c r="J156" i="58"/>
  <c r="I156" i="58"/>
  <c r="H160" i="58"/>
  <c r="H156" i="58"/>
  <c r="C34" i="63" s="1"/>
  <c r="H164" i="58"/>
  <c r="H314" i="41"/>
  <c r="H222" i="41"/>
  <c r="J237" i="41"/>
  <c r="G14" i="66"/>
  <c r="D12" i="57"/>
  <c r="H345" i="41"/>
  <c r="J322" i="41"/>
  <c r="H177" i="41"/>
  <c r="D10" i="57"/>
  <c r="G15" i="66"/>
  <c r="H267" i="41"/>
  <c r="H206" i="41"/>
  <c r="H419" i="41"/>
  <c r="I415" i="41"/>
  <c r="J240" i="41"/>
  <c r="H162" i="41"/>
  <c r="I175" i="41"/>
  <c r="H226" i="41"/>
  <c r="H385" i="41"/>
  <c r="J333" i="41"/>
  <c r="I226" i="41"/>
  <c r="H189" i="41"/>
  <c r="D7" i="57"/>
  <c r="G25" i="66"/>
  <c r="H420" i="41"/>
  <c r="H346" i="41"/>
  <c r="J278" i="41"/>
  <c r="H271" i="41"/>
  <c r="J208" i="41"/>
  <c r="I389" i="41"/>
  <c r="H401" i="41"/>
  <c r="H378" i="41"/>
  <c r="H412" i="41"/>
  <c r="H398" i="41"/>
  <c r="J199" i="41"/>
  <c r="H255" i="41"/>
  <c r="J166" i="41"/>
  <c r="I258" i="41"/>
  <c r="H273" i="41"/>
  <c r="I360" i="41"/>
  <c r="H319" i="41"/>
  <c r="H391" i="41"/>
  <c r="I396" i="41"/>
  <c r="I380" i="41"/>
  <c r="H349" i="41"/>
  <c r="H176" i="41"/>
  <c r="I142" i="41"/>
  <c r="H309" i="41"/>
  <c r="H187" i="41"/>
  <c r="J396" i="41"/>
  <c r="H418" i="41"/>
  <c r="H158" i="41"/>
  <c r="H223" i="41"/>
  <c r="I278" i="41"/>
  <c r="J190" i="41"/>
  <c r="I250" i="41"/>
  <c r="H312" i="41"/>
  <c r="H219" i="41"/>
  <c r="J167" i="41"/>
  <c r="I347" i="41"/>
  <c r="H191" i="41"/>
  <c r="G178" i="66"/>
  <c r="D50" i="57"/>
  <c r="D52" i="57"/>
  <c r="G168" i="66"/>
  <c r="I249" i="41"/>
  <c r="H253" i="41"/>
  <c r="H340" i="41"/>
  <c r="H306" i="41"/>
  <c r="H287" i="41"/>
  <c r="H382" i="41"/>
  <c r="I190" i="41"/>
  <c r="H237" i="41"/>
  <c r="H399" i="41"/>
  <c r="H394" i="41"/>
  <c r="H322" i="41"/>
  <c r="H269" i="41"/>
  <c r="I296" i="41"/>
  <c r="J226" i="41"/>
  <c r="H350" i="41"/>
  <c r="H193" i="41"/>
  <c r="H174" i="41"/>
  <c r="H185" i="41"/>
  <c r="H145" i="41"/>
  <c r="H407" i="41"/>
  <c r="H157" i="41"/>
  <c r="I348" i="41"/>
  <c r="H354" i="41"/>
  <c r="H278" i="41"/>
  <c r="J294" i="41"/>
  <c r="J198" i="41"/>
  <c r="J285" i="41"/>
  <c r="H400" i="41"/>
  <c r="I155" i="41"/>
  <c r="H277" i="41"/>
  <c r="H373" i="41"/>
  <c r="J174" i="41"/>
  <c r="H395" i="41"/>
  <c r="I295" i="41"/>
  <c r="H252" i="41"/>
  <c r="I287" i="41"/>
  <c r="H410" i="41"/>
  <c r="H236" i="41"/>
  <c r="I268" i="41"/>
  <c r="H372" i="41"/>
  <c r="H330" i="41"/>
  <c r="H332" i="41"/>
  <c r="J415" i="41"/>
  <c r="J304" i="41"/>
  <c r="H353" i="41"/>
  <c r="I225" i="41"/>
  <c r="I370" i="41"/>
  <c r="H355" i="41"/>
  <c r="H421" i="41"/>
  <c r="H194" i="41"/>
  <c r="H247" i="41"/>
  <c r="H316" i="41"/>
  <c r="I359" i="41"/>
  <c r="H201" i="41"/>
  <c r="J154" i="41"/>
  <c r="I312" i="41"/>
  <c r="I345" i="41"/>
  <c r="I207" i="41"/>
  <c r="H266" i="41"/>
  <c r="H166" i="41"/>
  <c r="J144" i="41"/>
  <c r="H216" i="41"/>
  <c r="H405" i="41"/>
  <c r="I191" i="41"/>
  <c r="H154" i="41"/>
  <c r="H159" i="41"/>
  <c r="J303" i="41"/>
  <c r="I176" i="41"/>
  <c r="H260" i="41"/>
  <c r="H170" i="41"/>
  <c r="H390" i="41"/>
  <c r="H392" i="41"/>
  <c r="I240" i="41"/>
  <c r="H207" i="41"/>
  <c r="G17" i="66"/>
  <c r="D5" i="57"/>
  <c r="H280" i="41"/>
  <c r="I369" i="41"/>
  <c r="I387" i="41"/>
  <c r="H308" i="41"/>
  <c r="H411" i="41"/>
  <c r="G149" i="66"/>
  <c r="D42" i="57"/>
  <c r="H403" i="41"/>
  <c r="H413" i="41"/>
  <c r="D48" i="57"/>
  <c r="G174" i="66"/>
  <c r="H243" i="41"/>
  <c r="J388" i="41"/>
  <c r="H279" i="41"/>
  <c r="H197" i="41"/>
  <c r="G79" i="66"/>
  <c r="G169" i="66"/>
  <c r="D46" i="57"/>
  <c r="J207" i="41"/>
  <c r="G161" i="66"/>
  <c r="D44" i="57"/>
  <c r="J216" i="41"/>
  <c r="H181" i="41"/>
  <c r="H294" i="41"/>
  <c r="H228" i="41"/>
  <c r="H284" i="41"/>
  <c r="G35" i="66"/>
  <c r="D14" i="57"/>
  <c r="E4" i="53"/>
  <c r="F4" i="53" s="1"/>
  <c r="H10" i="53" s="1"/>
  <c r="H387" i="41"/>
  <c r="J225" i="41"/>
  <c r="I217" i="41"/>
  <c r="H337" i="41"/>
  <c r="J321" i="41"/>
  <c r="D3" i="57"/>
  <c r="G5" i="66"/>
  <c r="H225" i="41"/>
  <c r="D9" i="57"/>
  <c r="H303" i="41"/>
  <c r="G30" i="66"/>
  <c r="J249" i="41"/>
  <c r="H218" i="41"/>
  <c r="I165" i="41"/>
  <c r="H274" i="41"/>
  <c r="H148" i="58"/>
  <c r="H152" i="58"/>
  <c r="I153" i="41"/>
  <c r="J357" i="41"/>
  <c r="H315" i="41"/>
  <c r="H205" i="41"/>
  <c r="H270" i="41"/>
  <c r="H268" i="41"/>
  <c r="I303" i="41"/>
  <c r="H282" i="41"/>
  <c r="H293" i="41"/>
  <c r="H195" i="41"/>
  <c r="I144" i="41"/>
  <c r="H227" i="41"/>
  <c r="I267" i="41"/>
  <c r="H214" i="41"/>
  <c r="H211" i="41"/>
  <c r="H379" i="41"/>
  <c r="I269" i="41"/>
  <c r="H300" i="41"/>
  <c r="H169" i="41"/>
  <c r="H422" i="41"/>
  <c r="I260" i="41"/>
  <c r="H203" i="41"/>
  <c r="J141" i="41"/>
  <c r="H233" i="41"/>
  <c r="H238" i="41"/>
  <c r="H317" i="41"/>
  <c r="H198" i="41"/>
  <c r="H290" i="41"/>
  <c r="H250" i="41"/>
  <c r="D53" i="57"/>
  <c r="G179" i="66"/>
  <c r="E10" i="53"/>
  <c r="F10" i="53" s="1"/>
  <c r="J387" i="41"/>
  <c r="H149" i="41"/>
  <c r="I388" i="41"/>
  <c r="H406" i="41"/>
  <c r="H259" i="41"/>
  <c r="J191" i="41"/>
  <c r="H371" i="41"/>
  <c r="I305" i="41"/>
  <c r="I313" i="41"/>
  <c r="J295" i="41"/>
  <c r="H251" i="41"/>
  <c r="I414" i="41"/>
  <c r="J369" i="41"/>
  <c r="H180" i="41"/>
  <c r="H221" i="41"/>
  <c r="I397" i="41"/>
  <c r="H417" i="41"/>
  <c r="H161" i="41"/>
  <c r="H313" i="41"/>
  <c r="I294" i="41"/>
  <c r="J277" i="41"/>
  <c r="D2" i="57"/>
  <c r="G26" i="66"/>
  <c r="G26" i="74" s="1"/>
  <c r="H141" i="41"/>
  <c r="J296" i="41"/>
  <c r="D43" i="57"/>
  <c r="H493" i="58"/>
  <c r="E395" i="38"/>
  <c r="H494" i="58"/>
  <c r="G183" i="66"/>
  <c r="H230" i="41"/>
  <c r="N42" i="74" l="1"/>
  <c r="N138" i="74"/>
  <c r="N107" i="74"/>
  <c r="N11" i="74"/>
  <c r="N101" i="74"/>
  <c r="N5" i="74"/>
  <c r="N26" i="74"/>
  <c r="H71" i="74"/>
  <c r="N125" i="74"/>
  <c r="N29" i="74"/>
  <c r="N44" i="74"/>
  <c r="N140" i="74"/>
  <c r="N118" i="74"/>
  <c r="N22" i="74"/>
  <c r="N30" i="74"/>
  <c r="N126" i="74"/>
  <c r="N136" i="74"/>
  <c r="N40" i="74"/>
  <c r="N48" i="74"/>
  <c r="N144" i="74"/>
  <c r="N25" i="74"/>
  <c r="N121" i="74"/>
  <c r="N32" i="74"/>
  <c r="N128" i="74"/>
  <c r="P94" i="66"/>
  <c r="R94" i="66" s="1"/>
  <c r="S94" i="66" s="1"/>
  <c r="U94" i="66" s="1"/>
  <c r="AA238" i="66"/>
  <c r="Z94" i="66"/>
  <c r="H32" i="66"/>
  <c r="H448" i="37"/>
  <c r="H78" i="66"/>
  <c r="I445" i="37"/>
  <c r="H77" i="66"/>
  <c r="O77" i="66" s="1"/>
  <c r="I450" i="37"/>
  <c r="P238" i="66"/>
  <c r="R238" i="66" s="1"/>
  <c r="S238" i="66" s="1"/>
  <c r="U238" i="66" s="1"/>
  <c r="H70" i="66"/>
  <c r="O70" i="66" s="1"/>
  <c r="I454" i="37"/>
  <c r="H90" i="66"/>
  <c r="I444" i="37"/>
  <c r="H44" i="66"/>
  <c r="H453" i="37"/>
  <c r="H73" i="66"/>
  <c r="I442" i="37"/>
  <c r="H447" i="37"/>
  <c r="H48" i="66"/>
  <c r="H68" i="66"/>
  <c r="I441" i="37"/>
  <c r="AA94" i="66"/>
  <c r="H40" i="66"/>
  <c r="H446" i="37"/>
  <c r="I440" i="37"/>
  <c r="H74" i="66"/>
  <c r="H11" i="66"/>
  <c r="H451" i="37"/>
  <c r="I449" i="37"/>
  <c r="H65" i="66"/>
  <c r="H442" i="37"/>
  <c r="H25" i="66"/>
  <c r="H30" i="66"/>
  <c r="H445" i="37"/>
  <c r="H96" i="66"/>
  <c r="O96" i="66" s="1"/>
  <c r="I447" i="37"/>
  <c r="H450" i="37"/>
  <c r="H29" i="66"/>
  <c r="H444" i="37"/>
  <c r="H42" i="66"/>
  <c r="E387" i="38"/>
  <c r="H66" i="66"/>
  <c r="I452" i="37"/>
  <c r="H20" i="66"/>
  <c r="H441" i="37"/>
  <c r="H443" i="37"/>
  <c r="H5" i="66"/>
  <c r="AB5" i="66" s="1"/>
  <c r="AC5" i="66" s="1"/>
  <c r="H92" i="66"/>
  <c r="AB92" i="66" s="1"/>
  <c r="AC92" i="66" s="1"/>
  <c r="I453" i="37"/>
  <c r="H452" i="37"/>
  <c r="H18" i="66"/>
  <c r="E386" i="38"/>
  <c r="H454" i="37"/>
  <c r="H22" i="66"/>
  <c r="H80" i="66"/>
  <c r="O80" i="66" s="1"/>
  <c r="I448" i="37"/>
  <c r="O142" i="66"/>
  <c r="AA142" i="66" s="1"/>
  <c r="H17" i="66"/>
  <c r="H449" i="37"/>
  <c r="J106" i="41"/>
  <c r="E226" i="38"/>
  <c r="E218" i="38"/>
  <c r="E225" i="38"/>
  <c r="E230" i="38"/>
  <c r="E228" i="38"/>
  <c r="E227" i="38"/>
  <c r="E231" i="38"/>
  <c r="E222" i="38"/>
  <c r="E220" i="38"/>
  <c r="E219" i="38"/>
  <c r="E232" i="38"/>
  <c r="E224" i="38"/>
  <c r="E223" i="38"/>
  <c r="E221" i="38"/>
  <c r="E229" i="38"/>
  <c r="H88" i="66"/>
  <c r="I446" i="37"/>
  <c r="H26" i="66"/>
  <c r="H440" i="37"/>
  <c r="H59" i="66"/>
  <c r="I451" i="37"/>
  <c r="I443" i="37"/>
  <c r="H53" i="66"/>
  <c r="G19" i="74"/>
  <c r="AC19" i="74" s="1"/>
  <c r="B22" i="75" s="1"/>
  <c r="E22" i="75" s="1"/>
  <c r="G14" i="74"/>
  <c r="O14" i="74" s="1"/>
  <c r="Z14" i="74" s="1"/>
  <c r="G5" i="74"/>
  <c r="G17" i="74"/>
  <c r="G30" i="74"/>
  <c r="N77" i="74"/>
  <c r="G15" i="74"/>
  <c r="AC15" i="74" s="1"/>
  <c r="B21" i="75" s="1"/>
  <c r="E21" i="75" s="1"/>
  <c r="N53" i="74"/>
  <c r="N92" i="74"/>
  <c r="N59" i="74"/>
  <c r="G24" i="74"/>
  <c r="O24" i="74" s="1"/>
  <c r="AA24" i="74" s="1"/>
  <c r="G39" i="74"/>
  <c r="N80" i="74"/>
  <c r="O108" i="66"/>
  <c r="G34" i="74"/>
  <c r="N78" i="74"/>
  <c r="AB142" i="66"/>
  <c r="AC142" i="66" s="1"/>
  <c r="G42" i="74"/>
  <c r="N96" i="74"/>
  <c r="AB108" i="66"/>
  <c r="AC108" i="66" s="1"/>
  <c r="H119" i="74"/>
  <c r="G35" i="74"/>
  <c r="N88" i="74"/>
  <c r="V46" i="74"/>
  <c r="R46" i="74"/>
  <c r="N74" i="74"/>
  <c r="N73" i="74"/>
  <c r="G25" i="74"/>
  <c r="N90" i="74"/>
  <c r="N70" i="74"/>
  <c r="Z94" i="74"/>
  <c r="AA94" i="74"/>
  <c r="N39" i="66"/>
  <c r="AB39" i="66" s="1"/>
  <c r="AC39" i="66" s="1"/>
  <c r="N183" i="66"/>
  <c r="AB183" i="66" s="1"/>
  <c r="AC183" i="66" s="1"/>
  <c r="G184" i="66"/>
  <c r="O142" i="74"/>
  <c r="P142" i="74" s="1"/>
  <c r="AC142" i="74"/>
  <c r="AD142" i="74" s="1"/>
  <c r="AB178" i="66"/>
  <c r="AC178" i="66" s="1"/>
  <c r="AB14" i="66"/>
  <c r="AC14" i="66" s="1"/>
  <c r="AB158" i="66"/>
  <c r="AC158" i="66" s="1"/>
  <c r="AB24" i="66"/>
  <c r="AC24" i="66" s="1"/>
  <c r="AB25" i="66"/>
  <c r="AC25" i="66" s="1"/>
  <c r="AB77" i="66"/>
  <c r="AC77" i="66" s="1"/>
  <c r="AB79" i="66"/>
  <c r="AC79" i="66" s="1"/>
  <c r="AB15" i="66"/>
  <c r="AC15" i="66" s="1"/>
  <c r="AB34" i="66"/>
  <c r="AC34" i="66" s="1"/>
  <c r="AB168" i="66"/>
  <c r="AC168" i="66" s="1"/>
  <c r="AB19" i="66"/>
  <c r="AC19" i="66" s="1"/>
  <c r="AB163" i="66"/>
  <c r="AC163" i="66" s="1"/>
  <c r="AB159" i="66"/>
  <c r="AC159" i="66" s="1"/>
  <c r="O168" i="66"/>
  <c r="O178" i="66"/>
  <c r="O14" i="66"/>
  <c r="O19" i="66"/>
  <c r="O163" i="66"/>
  <c r="O159" i="66"/>
  <c r="O24" i="66"/>
  <c r="O25" i="66"/>
  <c r="O158" i="66"/>
  <c r="O79" i="66"/>
  <c r="O15" i="66"/>
  <c r="O34" i="66"/>
  <c r="M7" i="41"/>
  <c r="C50" i="39"/>
  <c r="E97" i="38" s="1"/>
  <c r="H164" i="41"/>
  <c r="K49" i="39"/>
  <c r="E147" i="38" s="1"/>
  <c r="K51" i="39"/>
  <c r="E149" i="38" s="1"/>
  <c r="C36" i="63"/>
  <c r="C49" i="39"/>
  <c r="E96" i="38" s="1"/>
  <c r="K48" i="39"/>
  <c r="E146" i="38" s="1"/>
  <c r="H156" i="41"/>
  <c r="C51" i="39"/>
  <c r="E98" i="38" s="1"/>
  <c r="K50" i="39"/>
  <c r="E148" i="38" s="1"/>
  <c r="C6" i="63"/>
  <c r="H152" i="41"/>
  <c r="H148" i="41"/>
  <c r="C5" i="63"/>
  <c r="C48" i="39"/>
  <c r="E95" i="38" s="1"/>
  <c r="H160" i="41"/>
  <c r="G10" i="53"/>
  <c r="H4" i="53"/>
  <c r="G4" i="53" s="1"/>
  <c r="G127" i="66"/>
  <c r="H493" i="41"/>
  <c r="G40" i="66"/>
  <c r="I156" i="41"/>
  <c r="J156" i="41"/>
  <c r="C4" i="63"/>
  <c r="E9" i="53"/>
  <c r="F9" i="53" s="1"/>
  <c r="G185" i="66"/>
  <c r="C35" i="63"/>
  <c r="H494" i="41"/>
  <c r="E3" i="53"/>
  <c r="F3" i="53" s="1"/>
  <c r="H9" i="53" s="1"/>
  <c r="G41" i="66"/>
  <c r="AB80" i="66" l="1"/>
  <c r="AC80" i="66" s="1"/>
  <c r="Z142" i="66"/>
  <c r="AB70" i="66"/>
  <c r="AC70" i="66" s="1"/>
  <c r="G40" i="74"/>
  <c r="Z286" i="66"/>
  <c r="P142" i="66"/>
  <c r="R142" i="66" s="1"/>
  <c r="S142" i="66" s="1"/>
  <c r="U142" i="66" s="1"/>
  <c r="AA286" i="66"/>
  <c r="P286" i="66"/>
  <c r="R286" i="66" s="1"/>
  <c r="S286" i="66" s="1"/>
  <c r="U286" i="66" s="1"/>
  <c r="AA15" i="66"/>
  <c r="O5" i="66"/>
  <c r="AB96" i="66"/>
  <c r="AC96" i="66" s="1"/>
  <c r="AA14" i="66"/>
  <c r="AA14" i="74"/>
  <c r="O92" i="66"/>
  <c r="H121" i="66"/>
  <c r="J442" i="37"/>
  <c r="H138" i="66"/>
  <c r="J444" i="37"/>
  <c r="J453" i="37"/>
  <c r="H140" i="66"/>
  <c r="O19" i="74"/>
  <c r="AA19" i="74" s="1"/>
  <c r="H113" i="66"/>
  <c r="J449" i="37"/>
  <c r="AB22" i="66"/>
  <c r="AC22" i="66" s="1"/>
  <c r="O22" i="66"/>
  <c r="J450" i="37"/>
  <c r="H125" i="66"/>
  <c r="I490" i="37"/>
  <c r="N65" i="66"/>
  <c r="I491" i="37"/>
  <c r="I492" i="37"/>
  <c r="H114" i="66"/>
  <c r="E388" i="38"/>
  <c r="J452" i="37"/>
  <c r="H491" i="37"/>
  <c r="H492" i="37"/>
  <c r="H490" i="37"/>
  <c r="N17" i="66"/>
  <c r="H107" i="66"/>
  <c r="J451" i="37"/>
  <c r="H144" i="66"/>
  <c r="J447" i="37"/>
  <c r="AB48" i="66"/>
  <c r="AC48" i="66" s="1"/>
  <c r="O48" i="66"/>
  <c r="H101" i="66"/>
  <c r="J443" i="37"/>
  <c r="J440" i="37"/>
  <c r="H122" i="66"/>
  <c r="O29" i="66"/>
  <c r="AB29" i="66"/>
  <c r="AC29" i="66" s="1"/>
  <c r="H126" i="66"/>
  <c r="J445" i="37"/>
  <c r="H128" i="66"/>
  <c r="J448" i="37"/>
  <c r="H136" i="66"/>
  <c r="J446" i="37"/>
  <c r="H118" i="66"/>
  <c r="J454" i="37"/>
  <c r="O32" i="66"/>
  <c r="AB32" i="66"/>
  <c r="AC32" i="66" s="1"/>
  <c r="H116" i="66"/>
  <c r="J441" i="37"/>
  <c r="O44" i="66"/>
  <c r="AB44" i="66"/>
  <c r="AC44" i="66" s="1"/>
  <c r="AA159" i="66"/>
  <c r="AC14" i="74"/>
  <c r="AD14" i="74" s="1"/>
  <c r="AD19" i="74"/>
  <c r="B7" i="75" s="1"/>
  <c r="E7" i="75" s="1"/>
  <c r="Z15" i="66"/>
  <c r="G41" i="74"/>
  <c r="Z159" i="66"/>
  <c r="Z24" i="74"/>
  <c r="O15" i="74"/>
  <c r="AA15" i="74" s="1"/>
  <c r="Z19" i="66"/>
  <c r="AD15" i="74"/>
  <c r="B6" i="75" s="1"/>
  <c r="E6" i="75" s="1"/>
  <c r="O39" i="66"/>
  <c r="O183" i="66"/>
  <c r="Z163" i="66"/>
  <c r="AC24" i="74"/>
  <c r="AD24" i="74" s="1"/>
  <c r="N39" i="74"/>
  <c r="O39" i="74" s="1"/>
  <c r="Z178" i="66"/>
  <c r="Z158" i="66"/>
  <c r="AC34" i="74"/>
  <c r="O34" i="74"/>
  <c r="K170" i="66"/>
  <c r="V94" i="74"/>
  <c r="R94" i="74"/>
  <c r="S94" i="74" s="1"/>
  <c r="U94" i="74" s="1"/>
  <c r="W94" i="74"/>
  <c r="Y94" i="74" s="1"/>
  <c r="K17" i="66"/>
  <c r="Q17" i="66" s="1"/>
  <c r="K30" i="66"/>
  <c r="S30" i="66" s="1"/>
  <c r="K186" i="66"/>
  <c r="Z14" i="66"/>
  <c r="K161" i="66"/>
  <c r="T161" i="66" s="1"/>
  <c r="AA158" i="66"/>
  <c r="H464" i="58"/>
  <c r="AA142" i="74"/>
  <c r="Z142" i="74"/>
  <c r="H465" i="37"/>
  <c r="AA34" i="66"/>
  <c r="AB40" i="66"/>
  <c r="AC40" i="66" s="1"/>
  <c r="AB127" i="66"/>
  <c r="AC127" i="66" s="1"/>
  <c r="AA163" i="66"/>
  <c r="AA19" i="66"/>
  <c r="Z168" i="66"/>
  <c r="AA178" i="66"/>
  <c r="O40" i="66"/>
  <c r="AA168" i="66"/>
  <c r="O127" i="66"/>
  <c r="AA24" i="66"/>
  <c r="Z24" i="66"/>
  <c r="Z34" i="66"/>
  <c r="E280" i="38"/>
  <c r="E286" i="38"/>
  <c r="E292" i="38"/>
  <c r="E298" i="38"/>
  <c r="M9" i="41"/>
  <c r="H464" i="37"/>
  <c r="H457" i="58"/>
  <c r="H465" i="58"/>
  <c r="H457" i="37"/>
  <c r="H456" i="58"/>
  <c r="K174" i="66"/>
  <c r="K42" i="66"/>
  <c r="K26" i="66"/>
  <c r="H456" i="37"/>
  <c r="M8" i="41"/>
  <c r="G9" i="53"/>
  <c r="H3" i="53"/>
  <c r="G3" i="53" s="1"/>
  <c r="AA39" i="66" l="1"/>
  <c r="Z19" i="74"/>
  <c r="T30" i="66"/>
  <c r="O30" i="66"/>
  <c r="Q161" i="66"/>
  <c r="Z183" i="66"/>
  <c r="S161" i="66"/>
  <c r="U161" i="66" s="1"/>
  <c r="Q30" i="66"/>
  <c r="AB128" i="66"/>
  <c r="AC128" i="66" s="1"/>
  <c r="O128" i="66"/>
  <c r="O144" i="66"/>
  <c r="AB144" i="66"/>
  <c r="AC144" i="66" s="1"/>
  <c r="N113" i="66"/>
  <c r="J490" i="37"/>
  <c r="J491" i="37"/>
  <c r="J492" i="37"/>
  <c r="G57" i="66"/>
  <c r="D44" i="39"/>
  <c r="E110" i="38" s="1"/>
  <c r="O140" i="66"/>
  <c r="AB140" i="66"/>
  <c r="AC140" i="66" s="1"/>
  <c r="G59" i="66"/>
  <c r="O118" i="66"/>
  <c r="AB118" i="66"/>
  <c r="AC118" i="66" s="1"/>
  <c r="G18" i="66"/>
  <c r="G9" i="66"/>
  <c r="C44" i="39"/>
  <c r="E93" i="38" s="1"/>
  <c r="G66" i="66"/>
  <c r="G11" i="66"/>
  <c r="O125" i="66"/>
  <c r="AB125" i="66"/>
  <c r="AC125" i="66" s="1"/>
  <c r="Z15" i="74"/>
  <c r="AA183" i="66"/>
  <c r="H464" i="41"/>
  <c r="K26" i="74"/>
  <c r="X26" i="74" s="1"/>
  <c r="Z39" i="66"/>
  <c r="AB17" i="66"/>
  <c r="AC17" i="66" s="1"/>
  <c r="T186" i="66"/>
  <c r="S17" i="66"/>
  <c r="S186" i="66"/>
  <c r="T17" i="66"/>
  <c r="Q186" i="66"/>
  <c r="K42" i="74"/>
  <c r="S42" i="74" s="1"/>
  <c r="AC39" i="74"/>
  <c r="AD39" i="74" s="1"/>
  <c r="T170" i="66"/>
  <c r="Q170" i="66"/>
  <c r="AD34" i="74"/>
  <c r="B13" i="75" s="1"/>
  <c r="E13" i="75" s="1"/>
  <c r="B28" i="75"/>
  <c r="E28" i="75" s="1"/>
  <c r="S170" i="66"/>
  <c r="AB30" i="66"/>
  <c r="AC30" i="66" s="1"/>
  <c r="K30" i="74"/>
  <c r="T30" i="74" s="1"/>
  <c r="Z34" i="74"/>
  <c r="AA34" i="74"/>
  <c r="H465" i="41"/>
  <c r="O17" i="66"/>
  <c r="K17" i="74"/>
  <c r="X17" i="74" s="1"/>
  <c r="V142" i="74"/>
  <c r="W142" i="74"/>
  <c r="Y142" i="74" s="1"/>
  <c r="R142" i="74"/>
  <c r="S142" i="74" s="1"/>
  <c r="U142" i="74" s="1"/>
  <c r="AA39" i="74"/>
  <c r="Z39" i="74"/>
  <c r="N179" i="66"/>
  <c r="AB26" i="66"/>
  <c r="AC26" i="66" s="1"/>
  <c r="AB42" i="66"/>
  <c r="AC42" i="66" s="1"/>
  <c r="O42" i="66"/>
  <c r="E291" i="38"/>
  <c r="E297" i="38"/>
  <c r="E279" i="38"/>
  <c r="E285" i="38"/>
  <c r="N290" i="66"/>
  <c r="S174" i="66"/>
  <c r="H457" i="41"/>
  <c r="Q174" i="66"/>
  <c r="T174" i="66"/>
  <c r="Q42" i="66"/>
  <c r="S42" i="66"/>
  <c r="T42" i="66"/>
  <c r="H456" i="41"/>
  <c r="U30" i="66"/>
  <c r="N146" i="66"/>
  <c r="M35" i="66"/>
  <c r="M179" i="66"/>
  <c r="N35" i="66"/>
  <c r="B18" i="8"/>
  <c r="Q26" i="66"/>
  <c r="S26" i="66"/>
  <c r="T26" i="66"/>
  <c r="O26" i="66"/>
  <c r="U17" i="66" l="1"/>
  <c r="U186" i="66"/>
  <c r="G107" i="66"/>
  <c r="O66" i="66"/>
  <c r="AB66" i="66"/>
  <c r="AC66" i="66" s="1"/>
  <c r="G114" i="66"/>
  <c r="AB11" i="66"/>
  <c r="AC11" i="66" s="1"/>
  <c r="O11" i="66"/>
  <c r="H471" i="37"/>
  <c r="K9" i="66"/>
  <c r="AB9" i="66" s="1"/>
  <c r="AC9" i="66" s="1"/>
  <c r="O59" i="66"/>
  <c r="AB59" i="66"/>
  <c r="AC59" i="66" s="1"/>
  <c r="O18" i="66"/>
  <c r="AB18" i="66"/>
  <c r="AC18" i="66" s="1"/>
  <c r="K57" i="66"/>
  <c r="O57" i="66" s="1"/>
  <c r="I471" i="37"/>
  <c r="E44" i="39"/>
  <c r="E127" i="38" s="1"/>
  <c r="G105" i="66"/>
  <c r="S30" i="74"/>
  <c r="U170" i="66"/>
  <c r="X42" i="74"/>
  <c r="Q26" i="74"/>
  <c r="W26" i="74" s="1"/>
  <c r="Y26" i="74" s="1"/>
  <c r="S26" i="74"/>
  <c r="X30" i="74"/>
  <c r="N35" i="74"/>
  <c r="T26" i="74"/>
  <c r="Q42" i="74"/>
  <c r="W42" i="74" s="1"/>
  <c r="T42" i="74"/>
  <c r="U42" i="74" s="1"/>
  <c r="Q30" i="74"/>
  <c r="W30" i="74" s="1"/>
  <c r="S17" i="74"/>
  <c r="T17" i="74"/>
  <c r="Q17" i="74"/>
  <c r="W17" i="74" s="1"/>
  <c r="Y17" i="74" s="1"/>
  <c r="M35" i="74"/>
  <c r="U30" i="74"/>
  <c r="N185" i="66"/>
  <c r="AB35" i="66"/>
  <c r="AC35" i="66" s="1"/>
  <c r="AB179" i="66"/>
  <c r="AC179" i="66" s="1"/>
  <c r="U174" i="66"/>
  <c r="U42" i="66"/>
  <c r="S35" i="66"/>
  <c r="U35" i="66" s="1"/>
  <c r="Q35" i="66"/>
  <c r="O35" i="66"/>
  <c r="N41" i="66"/>
  <c r="U26" i="66"/>
  <c r="M41" i="66"/>
  <c r="S179" i="66"/>
  <c r="U179" i="66" s="1"/>
  <c r="Q179" i="66"/>
  <c r="O179" i="66"/>
  <c r="M185" i="66"/>
  <c r="Q57" i="66" l="1"/>
  <c r="T57" i="66"/>
  <c r="O9" i="66"/>
  <c r="J471" i="37"/>
  <c r="K105" i="66"/>
  <c r="AB105" i="66" s="1"/>
  <c r="AC105" i="66" s="1"/>
  <c r="O114" i="66"/>
  <c r="AB114" i="66"/>
  <c r="AC114" i="66" s="1"/>
  <c r="Q9" i="66"/>
  <c r="S9" i="66"/>
  <c r="T9" i="66"/>
  <c r="O107" i="66"/>
  <c r="AB107" i="66"/>
  <c r="AC107" i="66" s="1"/>
  <c r="AB57" i="66"/>
  <c r="AC57" i="66" s="1"/>
  <c r="Y30" i="74"/>
  <c r="N41" i="74"/>
  <c r="U26" i="74"/>
  <c r="Y42" i="74"/>
  <c r="U17" i="74"/>
  <c r="S35" i="74"/>
  <c r="U35" i="74" s="1"/>
  <c r="Q35" i="74"/>
  <c r="W35" i="74" s="1"/>
  <c r="Y35" i="74" s="1"/>
  <c r="O35" i="74"/>
  <c r="AC35" i="74"/>
  <c r="AD35" i="74" s="1"/>
  <c r="M41" i="74"/>
  <c r="AB41" i="66"/>
  <c r="AC41" i="66" s="1"/>
  <c r="AB185" i="66"/>
  <c r="AC185" i="66" s="1"/>
  <c r="P179" i="66"/>
  <c r="Q41" i="66"/>
  <c r="W41" i="66" s="1"/>
  <c r="Y41" i="66" s="1"/>
  <c r="S41" i="66"/>
  <c r="U41" i="66" s="1"/>
  <c r="O41" i="66"/>
  <c r="Z179" i="66"/>
  <c r="P35" i="66"/>
  <c r="AA35" i="66"/>
  <c r="Z35" i="66"/>
  <c r="AA179" i="66"/>
  <c r="S185" i="66"/>
  <c r="U185" i="66" s="1"/>
  <c r="Q185" i="66"/>
  <c r="W185" i="66" s="1"/>
  <c r="Y185" i="66" s="1"/>
  <c r="O185" i="66"/>
  <c r="O105" i="66" l="1"/>
  <c r="U9" i="66"/>
  <c r="T105" i="66"/>
  <c r="Q105" i="66"/>
  <c r="P35" i="74"/>
  <c r="AA35" i="74"/>
  <c r="Z35" i="74"/>
  <c r="O41" i="74"/>
  <c r="Q41" i="74"/>
  <c r="W41" i="74" s="1"/>
  <c r="Y41" i="74" s="1"/>
  <c r="S41" i="74"/>
  <c r="U41" i="74" s="1"/>
  <c r="AC41" i="74"/>
  <c r="R179" i="66"/>
  <c r="P185" i="66"/>
  <c r="R185" i="66" s="1"/>
  <c r="Z185" i="66"/>
  <c r="P41" i="66"/>
  <c r="AA185" i="66"/>
  <c r="Z41" i="66"/>
  <c r="AA41" i="66"/>
  <c r="R35" i="66"/>
  <c r="AD41" i="74" l="1"/>
  <c r="V35" i="74"/>
  <c r="R35" i="74"/>
  <c r="P41" i="74"/>
  <c r="AA41" i="74"/>
  <c r="Z41" i="74"/>
  <c r="V185" i="66"/>
  <c r="R41" i="66"/>
  <c r="V41" i="66"/>
  <c r="R41" i="74" l="1"/>
  <c r="V41" i="74"/>
  <c r="J6" i="58" l="1"/>
  <c r="H6" i="58"/>
  <c r="I6" i="58"/>
  <c r="I99" i="58" l="1"/>
  <c r="H99" i="58"/>
  <c r="J99" i="58"/>
  <c r="I6" i="41"/>
  <c r="G71" i="66"/>
  <c r="H6" i="41"/>
  <c r="G23" i="66"/>
  <c r="J6" i="41"/>
  <c r="G119" i="66"/>
  <c r="H99" i="41" l="1"/>
  <c r="I99" i="41"/>
  <c r="J99" i="41" l="1"/>
  <c r="H482" i="37"/>
  <c r="H482" i="58"/>
  <c r="J5" i="58"/>
  <c r="H5" i="58"/>
  <c r="I5" i="58"/>
  <c r="H98" i="58" l="1"/>
  <c r="I98" i="58"/>
  <c r="J98" i="58"/>
  <c r="H482" i="41"/>
  <c r="J5" i="41"/>
  <c r="M52" i="39" s="1"/>
  <c r="E184" i="38" s="1"/>
  <c r="G117" i="66"/>
  <c r="E30" i="53"/>
  <c r="H483" i="37"/>
  <c r="H483" i="58"/>
  <c r="E36" i="53"/>
  <c r="G261" i="66"/>
  <c r="G213" i="66"/>
  <c r="E24" i="53"/>
  <c r="G69" i="66"/>
  <c r="G69" i="74" s="1"/>
  <c r="E18" i="53"/>
  <c r="I5" i="41"/>
  <c r="L52" i="39" s="1"/>
  <c r="E167" i="38" s="1"/>
  <c r="G165" i="66"/>
  <c r="E12" i="53"/>
  <c r="E6" i="53"/>
  <c r="G21" i="66"/>
  <c r="H5" i="41"/>
  <c r="K52" i="39" s="1"/>
  <c r="E150" i="38" s="1"/>
  <c r="I98" i="41" l="1"/>
  <c r="H98" i="41"/>
  <c r="G117" i="74"/>
  <c r="G21" i="74"/>
  <c r="E52" i="39"/>
  <c r="E133" i="38" s="1"/>
  <c r="D52" i="39"/>
  <c r="E116" i="38" s="1"/>
  <c r="H483" i="41"/>
  <c r="C52" i="39"/>
  <c r="E99" i="38" s="1"/>
  <c r="D12" i="53"/>
  <c r="F12" i="53" s="1"/>
  <c r="H6" i="53" s="1"/>
  <c r="K165" i="66"/>
  <c r="H470" i="58"/>
  <c r="D36" i="53"/>
  <c r="F36" i="53" s="1"/>
  <c r="K261" i="66"/>
  <c r="J470" i="58"/>
  <c r="D24" i="53"/>
  <c r="F24" i="53" s="1"/>
  <c r="K213" i="66"/>
  <c r="I470" i="58"/>
  <c r="H18" i="53" l="1"/>
  <c r="H30" i="53"/>
  <c r="J98" i="41"/>
  <c r="D30" i="53"/>
  <c r="F30" i="53" s="1"/>
  <c r="K69" i="66"/>
  <c r="J470" i="37"/>
  <c r="J470" i="41" s="1"/>
  <c r="K117" i="66"/>
  <c r="I470" i="37"/>
  <c r="I470" i="41" s="1"/>
  <c r="D18" i="53"/>
  <c r="F18" i="53" s="1"/>
  <c r="T165" i="66"/>
  <c r="T213" i="66"/>
  <c r="D6" i="53"/>
  <c r="F6" i="53" s="1"/>
  <c r="K21" i="66"/>
  <c r="K21" i="74" s="1"/>
  <c r="T21" i="74" s="1"/>
  <c r="H470" i="37"/>
  <c r="H470" i="41" s="1"/>
  <c r="T261" i="66"/>
  <c r="K117" i="74" l="1"/>
  <c r="X117" i="74" s="1"/>
  <c r="H36" i="53"/>
  <c r="G36" i="53" s="1"/>
  <c r="H24" i="53"/>
  <c r="G24" i="53" s="1"/>
  <c r="T69" i="66"/>
  <c r="K69" i="74"/>
  <c r="X69" i="74" s="1"/>
  <c r="X21" i="74"/>
  <c r="G30" i="53"/>
  <c r="E336" i="38" s="1"/>
  <c r="E342" i="38"/>
  <c r="E324" i="38"/>
  <c r="T117" i="66"/>
  <c r="G18" i="53"/>
  <c r="T21" i="66"/>
  <c r="H12" i="53"/>
  <c r="G12" i="53" s="1"/>
  <c r="E348" i="38" s="1"/>
  <c r="G6" i="53"/>
  <c r="T117" i="74" l="1"/>
  <c r="E318" i="38"/>
  <c r="E330" i="38"/>
  <c r="T69" i="74"/>
  <c r="N213" i="66"/>
  <c r="N261" i="66"/>
  <c r="E294" i="38"/>
  <c r="E300" i="38"/>
  <c r="E306" i="38"/>
  <c r="E312" i="38"/>
  <c r="E282" i="38"/>
  <c r="E288" i="38"/>
  <c r="M261" i="66"/>
  <c r="J485" i="58"/>
  <c r="M213" i="66"/>
  <c r="I485" i="58"/>
  <c r="M117" i="66"/>
  <c r="J485" i="37"/>
  <c r="N117" i="66"/>
  <c r="D19" i="8"/>
  <c r="G25" i="39" l="1"/>
  <c r="N69" i="66"/>
  <c r="N165" i="66"/>
  <c r="I485" i="37"/>
  <c r="I485" i="41" s="1"/>
  <c r="AB117" i="66"/>
  <c r="AC117" i="66" s="1"/>
  <c r="AB213" i="66"/>
  <c r="AC213" i="66" s="1"/>
  <c r="AB261" i="66"/>
  <c r="AC261" i="66" s="1"/>
  <c r="C19" i="8"/>
  <c r="M69" i="66"/>
  <c r="J485" i="41"/>
  <c r="N21" i="66"/>
  <c r="N117" i="74" s="1"/>
  <c r="O117" i="74" s="1"/>
  <c r="P117" i="74" s="1"/>
  <c r="B19" i="8"/>
  <c r="M21" i="66"/>
  <c r="M117" i="74" s="1"/>
  <c r="Q117" i="74" s="1"/>
  <c r="H485" i="37"/>
  <c r="O117" i="66"/>
  <c r="Q117" i="66"/>
  <c r="Q213" i="66"/>
  <c r="O213" i="66"/>
  <c r="M165" i="66"/>
  <c r="H485" i="58"/>
  <c r="Q261" i="66"/>
  <c r="O261" i="66"/>
  <c r="M69" i="74" l="1"/>
  <c r="Q69" i="74" s="1"/>
  <c r="M21" i="74"/>
  <c r="Q21" i="74" s="1"/>
  <c r="W21" i="74" s="1"/>
  <c r="Y21" i="74" s="1"/>
  <c r="N21" i="74"/>
  <c r="O21" i="74" s="1"/>
  <c r="P21" i="74" s="1"/>
  <c r="F25" i="39"/>
  <c r="N69" i="74"/>
  <c r="O69" i="74" s="1"/>
  <c r="P69" i="74" s="1"/>
  <c r="AC117" i="74"/>
  <c r="AD117" i="74" s="1"/>
  <c r="AA117" i="74"/>
  <c r="AB21" i="66"/>
  <c r="AC21" i="66" s="1"/>
  <c r="AB69" i="66"/>
  <c r="AC69" i="66" s="1"/>
  <c r="AB165" i="66"/>
  <c r="AC165" i="66" s="1"/>
  <c r="Q69" i="66"/>
  <c r="O69" i="66"/>
  <c r="H485" i="41"/>
  <c r="O165" i="66"/>
  <c r="Q165" i="66"/>
  <c r="S165" i="66"/>
  <c r="U165" i="66" s="1"/>
  <c r="AA117" i="66"/>
  <c r="Z117" i="66"/>
  <c r="P117" i="66"/>
  <c r="Q21" i="66"/>
  <c r="S21" i="66"/>
  <c r="U21" i="66" s="1"/>
  <c r="O21" i="66"/>
  <c r="AA261" i="66" s="1"/>
  <c r="Z261" i="66" l="1"/>
  <c r="P261" i="66"/>
  <c r="R261" i="66" s="1"/>
  <c r="S261" i="66" s="1"/>
  <c r="U261" i="66" s="1"/>
  <c r="Z117" i="74"/>
  <c r="S21" i="74"/>
  <c r="U21" i="74" s="1"/>
  <c r="AC21" i="74"/>
  <c r="AD21" i="74" s="1"/>
  <c r="Z21" i="74"/>
  <c r="AA21" i="74"/>
  <c r="AC69" i="74"/>
  <c r="AD69" i="74" s="1"/>
  <c r="V117" i="74"/>
  <c r="W117" i="74"/>
  <c r="Y117" i="74" s="1"/>
  <c r="R117" i="74"/>
  <c r="S117" i="74" s="1"/>
  <c r="U117" i="74" s="1"/>
  <c r="AA69" i="74"/>
  <c r="Z69" i="74"/>
  <c r="V21" i="74"/>
  <c r="R21" i="74"/>
  <c r="AA69" i="66"/>
  <c r="Z213" i="66"/>
  <c r="AA213" i="66"/>
  <c r="Z69" i="66"/>
  <c r="P213" i="66"/>
  <c r="P69" i="66"/>
  <c r="P165" i="66"/>
  <c r="Z165" i="66"/>
  <c r="AA165" i="66"/>
  <c r="AA21" i="66"/>
  <c r="Z21" i="66"/>
  <c r="P21" i="66"/>
  <c r="R117" i="66"/>
  <c r="S117" i="66" s="1"/>
  <c r="U117" i="66" s="1"/>
  <c r="V69" i="74" l="1"/>
  <c r="W69" i="74"/>
  <c r="Y69" i="74" s="1"/>
  <c r="R69" i="74"/>
  <c r="S69" i="74" s="1"/>
  <c r="U69" i="74" s="1"/>
  <c r="R213" i="66"/>
  <c r="S213" i="66" s="1"/>
  <c r="U213" i="66" s="1"/>
  <c r="R69" i="66"/>
  <c r="S69" i="66" s="1"/>
  <c r="U69" i="66" s="1"/>
  <c r="R21" i="66"/>
  <c r="R165" i="66"/>
  <c r="X146" i="66" l="1"/>
  <c r="X194" i="66"/>
  <c r="X242" i="66"/>
  <c r="X50" i="66"/>
  <c r="X290" i="66"/>
  <c r="X98" i="66"/>
  <c r="X186" i="66"/>
  <c r="X42" i="66"/>
  <c r="W186" i="66"/>
  <c r="W42" i="66"/>
  <c r="X17" i="66"/>
  <c r="X161" i="66"/>
  <c r="W17" i="66"/>
  <c r="W161" i="66"/>
  <c r="X87" i="66"/>
  <c r="X231" i="66"/>
  <c r="X183" i="66"/>
  <c r="V183" i="66"/>
  <c r="X279" i="66"/>
  <c r="W39" i="66"/>
  <c r="X39" i="66"/>
  <c r="X135" i="66"/>
  <c r="V87" i="66"/>
  <c r="V279" i="66"/>
  <c r="W87" i="66"/>
  <c r="W183" i="66"/>
  <c r="V135" i="66"/>
  <c r="W135" i="66"/>
  <c r="V39" i="66"/>
  <c r="W231" i="66"/>
  <c r="V231" i="66"/>
  <c r="W279" i="66"/>
  <c r="X112" i="66"/>
  <c r="W256" i="66"/>
  <c r="X256" i="66"/>
  <c r="W64" i="66"/>
  <c r="V160" i="66"/>
  <c r="X64" i="66"/>
  <c r="V256" i="66"/>
  <c r="W208" i="66"/>
  <c r="X160" i="66"/>
  <c r="V64" i="66"/>
  <c r="X208" i="66"/>
  <c r="X16" i="66"/>
  <c r="V16" i="66"/>
  <c r="W160" i="66"/>
  <c r="W16" i="66"/>
  <c r="W112" i="66"/>
  <c r="V208" i="66"/>
  <c r="V112" i="66"/>
  <c r="X88" i="66"/>
  <c r="W136" i="66"/>
  <c r="X136" i="66"/>
  <c r="W184" i="66"/>
  <c r="X280" i="66"/>
  <c r="V40" i="66"/>
  <c r="X232" i="66"/>
  <c r="W40" i="66"/>
  <c r="X40" i="66"/>
  <c r="W280" i="66"/>
  <c r="X184" i="66"/>
  <c r="V232" i="66"/>
  <c r="V88" i="66"/>
  <c r="V280" i="66"/>
  <c r="W232" i="66"/>
  <c r="V136" i="66"/>
  <c r="V184" i="66"/>
  <c r="W88" i="66"/>
  <c r="X275" i="66"/>
  <c r="X35" i="66"/>
  <c r="X227" i="66"/>
  <c r="X83" i="66"/>
  <c r="X179" i="66"/>
  <c r="X131" i="66"/>
  <c r="W179" i="66"/>
  <c r="W35" i="66"/>
  <c r="V179" i="66"/>
  <c r="V35" i="66"/>
  <c r="X12" i="66"/>
  <c r="X108" i="66"/>
  <c r="X60" i="66"/>
  <c r="W12" i="66"/>
  <c r="X170" i="66"/>
  <c r="X26" i="66"/>
  <c r="W170" i="66"/>
  <c r="W26" i="66"/>
  <c r="X80" i="66"/>
  <c r="X224" i="66"/>
  <c r="X32" i="66"/>
  <c r="X272" i="66"/>
  <c r="X128" i="66"/>
  <c r="W32" i="66"/>
  <c r="X176" i="66"/>
  <c r="W176" i="66"/>
  <c r="X9" i="66"/>
  <c r="X105" i="66"/>
  <c r="X57" i="66"/>
  <c r="W9" i="66"/>
  <c r="X30" i="66"/>
  <c r="W30" i="66"/>
  <c r="X174" i="66"/>
  <c r="W174" i="66"/>
  <c r="X5" i="66"/>
  <c r="V149" i="66"/>
  <c r="V53" i="66"/>
  <c r="X53" i="66"/>
  <c r="X101" i="66"/>
  <c r="X245" i="66"/>
  <c r="X149" i="66"/>
  <c r="X197" i="66"/>
  <c r="V5" i="66"/>
  <c r="W245" i="66"/>
  <c r="V101" i="66"/>
  <c r="W53" i="66"/>
  <c r="V245" i="66"/>
  <c r="W101" i="66"/>
  <c r="W149" i="66"/>
  <c r="W197" i="66"/>
  <c r="V197" i="66"/>
  <c r="W5" i="66"/>
  <c r="V265" i="66"/>
  <c r="W73" i="66"/>
  <c r="V73" i="66"/>
  <c r="W265" i="66"/>
  <c r="V25" i="66"/>
  <c r="W217" i="66"/>
  <c r="V121" i="66"/>
  <c r="W25" i="66"/>
  <c r="V169" i="66"/>
  <c r="W121" i="66"/>
  <c r="V217" i="66"/>
  <c r="W169" i="66"/>
  <c r="X217" i="66"/>
  <c r="X121" i="66"/>
  <c r="X169" i="66"/>
  <c r="X73" i="66"/>
  <c r="X265" i="66"/>
  <c r="X25" i="66"/>
  <c r="X96" i="66"/>
  <c r="X144" i="66"/>
  <c r="X288" i="66"/>
  <c r="X48" i="66"/>
  <c r="X192" i="66"/>
  <c r="W48" i="66"/>
  <c r="W192" i="66"/>
  <c r="X240" i="66"/>
  <c r="X238" i="66"/>
  <c r="X94" i="66"/>
  <c r="X286" i="66"/>
  <c r="X142" i="66"/>
  <c r="X46" i="66"/>
  <c r="X190" i="66"/>
  <c r="W190" i="66"/>
  <c r="W46" i="66"/>
  <c r="V46" i="66"/>
  <c r="V190" i="66"/>
  <c r="W94" i="66"/>
  <c r="V94" i="66"/>
  <c r="W238" i="66"/>
  <c r="V238" i="66"/>
  <c r="W142" i="66"/>
  <c r="V286" i="66"/>
  <c r="V142" i="66"/>
  <c r="W286" i="66"/>
  <c r="X165" i="66"/>
  <c r="X261" i="66"/>
  <c r="X213" i="66"/>
  <c r="X69" i="66"/>
  <c r="X117" i="66"/>
  <c r="X21" i="66"/>
  <c r="W21" i="66"/>
  <c r="V261" i="66"/>
  <c r="W165" i="66"/>
  <c r="W261" i="66"/>
  <c r="W117" i="66"/>
  <c r="V117" i="66"/>
  <c r="W213" i="66"/>
  <c r="V165" i="66"/>
  <c r="V69" i="66"/>
  <c r="V21" i="66"/>
  <c r="W69" i="66"/>
  <c r="V213" i="66"/>
  <c r="Y238" i="66" l="1"/>
  <c r="Y69" i="66"/>
  <c r="Y286" i="66"/>
  <c r="Y232" i="66"/>
  <c r="Y161" i="66"/>
  <c r="Y32" i="66"/>
  <c r="Y261" i="66"/>
  <c r="Y197" i="66"/>
  <c r="Y30" i="66"/>
  <c r="Y40" i="66"/>
  <c r="Y256" i="66"/>
  <c r="Y279" i="66"/>
  <c r="Y121" i="66"/>
  <c r="Y53" i="66"/>
  <c r="Y231" i="66"/>
  <c r="Y48" i="66"/>
  <c r="Y117" i="66"/>
  <c r="Y160" i="66"/>
  <c r="Y217" i="66"/>
  <c r="Y88" i="66"/>
  <c r="Y39" i="66"/>
  <c r="Y94" i="66"/>
  <c r="Y265" i="66"/>
  <c r="Y174" i="66"/>
  <c r="Y26" i="66"/>
  <c r="Y184" i="66"/>
  <c r="Y176" i="66"/>
  <c r="Y35" i="66"/>
  <c r="Y136" i="66"/>
  <c r="Y135" i="66"/>
  <c r="Y169" i="66"/>
  <c r="Y5" i="66"/>
  <c r="Y183" i="66"/>
  <c r="Y17" i="66"/>
  <c r="Y42" i="66"/>
  <c r="Y170" i="66"/>
  <c r="Y87" i="66"/>
  <c r="Y112" i="66"/>
  <c r="Y165" i="66"/>
  <c r="Y149" i="66"/>
  <c r="Y245" i="66"/>
  <c r="Y46" i="66"/>
  <c r="Y73" i="66"/>
  <c r="Y208" i="66"/>
  <c r="Y213" i="66"/>
  <c r="Y190" i="66"/>
  <c r="Y192" i="66"/>
  <c r="Y179" i="66"/>
  <c r="Y280" i="66"/>
  <c r="Y64" i="66"/>
  <c r="Y186" i="66"/>
  <c r="Y142" i="66"/>
  <c r="Y16" i="66"/>
  <c r="Y25" i="66"/>
  <c r="Y101" i="66"/>
  <c r="Y12" i="66"/>
  <c r="Y21" i="66"/>
  <c r="Y9" i="66"/>
  <c r="C8" i="63" l="1"/>
  <c r="E287" i="38" l="1"/>
  <c r="G51" i="66" l="1"/>
  <c r="E5" i="53"/>
  <c r="F5" i="53" s="1"/>
  <c r="G50" i="66"/>
  <c r="H11" i="53" l="1"/>
  <c r="M291" i="66" l="1"/>
  <c r="M195" i="66"/>
  <c r="M51" i="74" s="1"/>
  <c r="M243" i="66"/>
  <c r="M99" i="66"/>
  <c r="M147" i="66"/>
  <c r="M99" i="74" l="1"/>
  <c r="M147" i="74"/>
  <c r="Q291" i="66"/>
  <c r="W291" i="66" s="1"/>
  <c r="Y291" i="66" s="1"/>
  <c r="S291" i="66"/>
  <c r="U291" i="66" s="1"/>
  <c r="N242" i="66"/>
  <c r="N98" i="66"/>
  <c r="N194" i="66"/>
  <c r="N50" i="66"/>
  <c r="N146" i="74" s="1"/>
  <c r="N51" i="66"/>
  <c r="Q147" i="66"/>
  <c r="W147" i="66" s="1"/>
  <c r="Y147" i="66" s="1"/>
  <c r="S147" i="66"/>
  <c r="U147" i="66" s="1"/>
  <c r="Q99" i="66"/>
  <c r="W99" i="66" s="1"/>
  <c r="Y99" i="66" s="1"/>
  <c r="S99" i="66"/>
  <c r="U99" i="66" s="1"/>
  <c r="Q243" i="66"/>
  <c r="W243" i="66" s="1"/>
  <c r="Y243" i="66" s="1"/>
  <c r="S243" i="66"/>
  <c r="U243" i="66" s="1"/>
  <c r="Q195" i="66"/>
  <c r="W195" i="66" s="1"/>
  <c r="Y195" i="66" s="1"/>
  <c r="S195" i="66"/>
  <c r="U195" i="66" s="1"/>
  <c r="N98" i="74" l="1"/>
  <c r="N50" i="74"/>
  <c r="AB51" i="66"/>
  <c r="AC51" i="66" s="1"/>
  <c r="O51" i="66"/>
  <c r="X8" i="74" l="1"/>
  <c r="T8" i="74"/>
  <c r="X7" i="74" l="1"/>
  <c r="T7" i="74"/>
  <c r="U7" i="74" s="1"/>
  <c r="S8" i="74"/>
  <c r="U8" i="74" s="1"/>
  <c r="Q8" i="74"/>
  <c r="W8" i="74" s="1"/>
  <c r="Y8" i="74" s="1"/>
  <c r="X146" i="74" l="1"/>
  <c r="T146" i="74"/>
  <c r="X147" i="74"/>
  <c r="T147" i="74"/>
  <c r="X98" i="74"/>
  <c r="T98" i="74"/>
  <c r="X50" i="74"/>
  <c r="T50" i="74"/>
  <c r="X99" i="74" l="1"/>
  <c r="T99" i="74"/>
  <c r="Q147" i="74"/>
  <c r="W147" i="74" s="1"/>
  <c r="Y147" i="74" s="1"/>
  <c r="S147" i="74"/>
  <c r="U147" i="74" s="1"/>
  <c r="X51" i="74"/>
  <c r="T51" i="74"/>
  <c r="Q99" i="74" l="1"/>
  <c r="W99" i="74" s="1"/>
  <c r="Y99" i="74" s="1"/>
  <c r="Q51" i="74"/>
  <c r="W51" i="74" s="1"/>
  <c r="Y51" i="74" s="1"/>
  <c r="S99" i="74"/>
  <c r="U99" i="74" s="1"/>
  <c r="S51" i="74"/>
  <c r="U51" i="74" s="1"/>
  <c r="O26" i="9" l="1" a="1"/>
  <c r="O26" i="9" s="1"/>
  <c r="Q19" i="20" s="1"/>
  <c r="O28" i="9" a="1"/>
  <c r="O28" i="9" s="1"/>
  <c r="Q36" i="9" a="1"/>
  <c r="Q36" i="9" s="1"/>
  <c r="O36" i="9" a="1"/>
  <c r="O36" i="9" s="1"/>
  <c r="H39" i="20" s="1"/>
  <c r="O38" i="9" a="1"/>
  <c r="O38" i="9" s="1"/>
  <c r="E75" i="22" s="1"/>
  <c r="Q28" i="9" a="1"/>
  <c r="Q28" i="9" s="1"/>
  <c r="R28" i="9" a="1"/>
  <c r="R28" i="9" s="1"/>
  <c r="R38" i="9" a="1"/>
  <c r="R38" i="9" s="1"/>
  <c r="E90" i="22" s="1"/>
  <c r="Q9" i="20" l="1"/>
  <c r="Q10" i="20"/>
  <c r="H35" i="20"/>
  <c r="Q8" i="20"/>
  <c r="H41" i="20"/>
  <c r="H17" i="20"/>
  <c r="H11" i="20"/>
  <c r="H8" i="20"/>
  <c r="H18" i="20"/>
  <c r="H12" i="20"/>
  <c r="H14" i="20"/>
  <c r="H10" i="20"/>
  <c r="H13" i="20"/>
  <c r="Q7" i="20"/>
  <c r="E40" i="22"/>
  <c r="R8" i="9"/>
  <c r="E45" i="22"/>
  <c r="O30" i="9"/>
  <c r="O8" i="9"/>
  <c r="E30" i="22"/>
  <c r="J44" i="20"/>
  <c r="S44" i="20"/>
  <c r="Q38" i="20"/>
  <c r="Q35" i="20"/>
  <c r="H37" i="20"/>
  <c r="H46" i="20"/>
  <c r="J43" i="20"/>
  <c r="J35" i="20"/>
  <c r="Q15" i="20"/>
  <c r="Q18" i="20"/>
  <c r="O6" i="9"/>
  <c r="Q6" i="20"/>
  <c r="H40" i="20"/>
  <c r="H43" i="20"/>
  <c r="J45" i="20"/>
  <c r="J41" i="20"/>
  <c r="H9" i="20"/>
  <c r="Q12" i="20"/>
  <c r="J33" i="20"/>
  <c r="S45" i="20"/>
  <c r="H36" i="20"/>
  <c r="S38" i="20"/>
  <c r="S43" i="20"/>
  <c r="Q40" i="20"/>
  <c r="J34" i="20"/>
  <c r="H19" i="20"/>
  <c r="Q13" i="20"/>
  <c r="S33" i="20"/>
  <c r="Q45" i="20"/>
  <c r="Q39" i="20"/>
  <c r="S42" i="20"/>
  <c r="Q46" i="20"/>
  <c r="H44" i="20"/>
  <c r="O40" i="9"/>
  <c r="S40" i="20"/>
  <c r="J37" i="20"/>
  <c r="E28" i="22"/>
  <c r="Q16" i="20"/>
  <c r="Q11" i="20"/>
  <c r="R36" i="9" a="1"/>
  <c r="R36" i="9" s="1"/>
  <c r="S41" i="20"/>
  <c r="E73" i="22"/>
  <c r="S34" i="20"/>
  <c r="H42" i="20"/>
  <c r="Q38" i="9" a="1"/>
  <c r="Q38" i="9" s="1"/>
  <c r="E85" i="22" s="1"/>
  <c r="H38" i="20"/>
  <c r="Q41" i="20"/>
  <c r="J42" i="20"/>
  <c r="J38" i="20"/>
  <c r="J39" i="20"/>
  <c r="H7" i="20"/>
  <c r="H16" i="20"/>
  <c r="Q17" i="20"/>
  <c r="Q33" i="20"/>
  <c r="Q42" i="20"/>
  <c r="S39" i="20"/>
  <c r="J36" i="20"/>
  <c r="S35" i="20"/>
  <c r="H33" i="20"/>
  <c r="H45" i="20"/>
  <c r="Q26" i="9" a="1"/>
  <c r="Q26" i="9" s="1"/>
  <c r="Q34" i="20"/>
  <c r="Q36" i="20"/>
  <c r="Q44" i="20"/>
  <c r="S46" i="20"/>
  <c r="E83" i="22"/>
  <c r="J46" i="20"/>
  <c r="Q14" i="20"/>
  <c r="R26" i="9" a="1"/>
  <c r="R26" i="9" s="1"/>
  <c r="S36" i="20"/>
  <c r="H34" i="20"/>
  <c r="S37" i="20"/>
  <c r="H6" i="20"/>
  <c r="Q37" i="20"/>
  <c r="Q43" i="20"/>
  <c r="J40" i="20"/>
  <c r="H15" i="20"/>
  <c r="R6" i="9" l="1"/>
  <c r="T6" i="20"/>
  <c r="K12" i="20"/>
  <c r="T12" i="20"/>
  <c r="T19" i="20"/>
  <c r="T18" i="20"/>
  <c r="T8" i="20"/>
  <c r="T13" i="20"/>
  <c r="T17" i="20"/>
  <c r="T7" i="20"/>
  <c r="K18" i="20"/>
  <c r="K15" i="20"/>
  <c r="T9" i="20"/>
  <c r="K11" i="20"/>
  <c r="K10" i="20"/>
  <c r="K6" i="20"/>
  <c r="R30" i="9"/>
  <c r="K9" i="20"/>
  <c r="K7" i="20"/>
  <c r="K17" i="20"/>
  <c r="T11" i="20"/>
  <c r="T10" i="20"/>
  <c r="K16" i="20"/>
  <c r="K14" i="20"/>
  <c r="K8" i="20"/>
  <c r="T16" i="20"/>
  <c r="K13" i="20"/>
  <c r="K19" i="20"/>
  <c r="E43" i="22"/>
  <c r="T14" i="20"/>
  <c r="T15" i="20"/>
  <c r="N36" i="9" a="1"/>
  <c r="N36" i="9" s="1"/>
  <c r="N28" i="9" a="1"/>
  <c r="N28" i="9" s="1"/>
  <c r="N26" i="9" a="1"/>
  <c r="N26" i="9" s="1"/>
  <c r="N38" i="9" a="1"/>
  <c r="N38" i="9" s="1"/>
  <c r="E70" i="22" s="1"/>
  <c r="I147" i="35" a="1"/>
  <c r="I147" i="35" s="1"/>
  <c r="I151" i="35" a="1"/>
  <c r="I151" i="35" s="1"/>
  <c r="I149" i="35" a="1"/>
  <c r="I149" i="35" s="1"/>
  <c r="I143" i="35" a="1"/>
  <c r="I143" i="35" s="1"/>
  <c r="I146" i="35" a="1"/>
  <c r="I146" i="35" s="1"/>
  <c r="I154" i="35" a="1"/>
  <c r="I154" i="35" s="1"/>
  <c r="I155" i="35" a="1"/>
  <c r="I155" i="35" s="1"/>
  <c r="I156" i="35" a="1"/>
  <c r="I156" i="35" s="1"/>
  <c r="I150" i="35" a="1"/>
  <c r="I150" i="35" s="1"/>
  <c r="I144" i="35" a="1"/>
  <c r="I144" i="35" s="1"/>
  <c r="I152" i="35" a="1"/>
  <c r="I152" i="35" s="1"/>
  <c r="I148" i="35" a="1"/>
  <c r="I148" i="35" s="1"/>
  <c r="I145" i="35" a="1"/>
  <c r="I145" i="35" s="1"/>
  <c r="I153" i="35" a="1"/>
  <c r="I153" i="35" s="1"/>
  <c r="G409" i="18" a="1"/>
  <c r="G409" i="18" s="1"/>
  <c r="G421" i="18" a="1"/>
  <c r="G421" i="18" s="1"/>
  <c r="G412" i="18" a="1"/>
  <c r="G412" i="18" s="1"/>
  <c r="G413" i="18" a="1"/>
  <c r="G413" i="18" s="1"/>
  <c r="G418" i="18" a="1"/>
  <c r="G418" i="18" s="1"/>
  <c r="G417" i="18" a="1"/>
  <c r="G417" i="18" s="1"/>
  <c r="G416" i="18" a="1"/>
  <c r="G416" i="18" s="1"/>
  <c r="G420" i="18" a="1"/>
  <c r="G420" i="18" s="1"/>
  <c r="G411" i="18" a="1"/>
  <c r="G411" i="18" s="1"/>
  <c r="G415" i="18" a="1"/>
  <c r="G415" i="18" s="1"/>
  <c r="G408" i="18" a="1"/>
  <c r="G408" i="18" s="1"/>
  <c r="G410" i="18" a="1"/>
  <c r="G410" i="18" s="1"/>
  <c r="G419" i="18" a="1"/>
  <c r="G419" i="18" s="1"/>
  <c r="G414" i="18" a="1"/>
  <c r="G414" i="18" s="1"/>
  <c r="S47" i="20"/>
  <c r="H31" i="35" a="1"/>
  <c r="H31" i="35" s="1"/>
  <c r="H39" i="35" a="1"/>
  <c r="H39" i="35" s="1"/>
  <c r="H36" i="35" a="1"/>
  <c r="H36" i="35" s="1"/>
  <c r="H40" i="35" a="1"/>
  <c r="H40" i="35" s="1"/>
  <c r="H42" i="35" a="1"/>
  <c r="H42" i="35" s="1"/>
  <c r="H44" i="35" a="1"/>
  <c r="H44" i="35" s="1"/>
  <c r="H43" i="35" a="1"/>
  <c r="H43" i="35" s="1"/>
  <c r="H34" i="35" a="1"/>
  <c r="H34" i="35" s="1"/>
  <c r="H35" i="35" a="1"/>
  <c r="H35" i="35" s="1"/>
  <c r="H32" i="35" a="1"/>
  <c r="H32" i="35" s="1"/>
  <c r="H41" i="35" a="1"/>
  <c r="H41" i="35" s="1"/>
  <c r="H38" i="35" a="1"/>
  <c r="H38" i="35" s="1"/>
  <c r="H33" i="35" a="1"/>
  <c r="H33" i="35" s="1"/>
  <c r="H37" i="35" a="1"/>
  <c r="H37" i="35" s="1"/>
  <c r="G186" i="18" a="1"/>
  <c r="G186" i="18" s="1"/>
  <c r="G197" i="18" a="1"/>
  <c r="G197" i="18" s="1"/>
  <c r="G189" i="18" a="1"/>
  <c r="G189" i="18" s="1"/>
  <c r="G191" i="18" a="1"/>
  <c r="G191" i="18" s="1"/>
  <c r="H20" i="20"/>
  <c r="G195" i="18" a="1"/>
  <c r="G195" i="18" s="1"/>
  <c r="G192" i="18" a="1"/>
  <c r="G192" i="18" s="1"/>
  <c r="G188" i="18" a="1"/>
  <c r="G188" i="18" s="1"/>
  <c r="G184" i="18" a="1"/>
  <c r="G184" i="18" s="1"/>
  <c r="G185" i="18" a="1"/>
  <c r="G185" i="18" s="1"/>
  <c r="G194" i="18" a="1"/>
  <c r="G194" i="18" s="1"/>
  <c r="G193" i="18" a="1"/>
  <c r="G193" i="18" s="1"/>
  <c r="G196" i="18" a="1"/>
  <c r="G196" i="18" s="1"/>
  <c r="G187" i="18" a="1"/>
  <c r="G187" i="18" s="1"/>
  <c r="G190" i="18" a="1"/>
  <c r="G190" i="18" s="1"/>
  <c r="H123" i="35" a="1"/>
  <c r="H123" i="35" s="1"/>
  <c r="H118" i="35" a="1"/>
  <c r="H118" i="35" s="1"/>
  <c r="H117" i="35" a="1"/>
  <c r="H117" i="35" s="1"/>
  <c r="H125" i="35" a="1"/>
  <c r="H125" i="35" s="1"/>
  <c r="H122" i="35" a="1"/>
  <c r="H122" i="35" s="1"/>
  <c r="H120" i="35" a="1"/>
  <c r="H120" i="35" s="1"/>
  <c r="H128" i="35" a="1"/>
  <c r="H128" i="35" s="1"/>
  <c r="H124" i="35" a="1"/>
  <c r="H124" i="35" s="1"/>
  <c r="H115" i="35" a="1"/>
  <c r="H115" i="35" s="1"/>
  <c r="H119" i="35" a="1"/>
  <c r="H119" i="35" s="1"/>
  <c r="H126" i="35" a="1"/>
  <c r="H126" i="35" s="1"/>
  <c r="H127" i="35" a="1"/>
  <c r="H127" i="35" s="1"/>
  <c r="H121" i="35" a="1"/>
  <c r="H121" i="35" s="1"/>
  <c r="H116" i="35" a="1"/>
  <c r="H116" i="35" s="1"/>
  <c r="G438" i="18" a="1"/>
  <c r="G438" i="18" s="1"/>
  <c r="G441" i="18" a="1"/>
  <c r="G441" i="18" s="1"/>
  <c r="G442" i="18" a="1"/>
  <c r="G442" i="18" s="1"/>
  <c r="G439" i="18" a="1"/>
  <c r="G439" i="18" s="1"/>
  <c r="G448" i="18" a="1"/>
  <c r="G448" i="18" s="1"/>
  <c r="G445" i="18" a="1"/>
  <c r="G445" i="18" s="1"/>
  <c r="G444" i="18" a="1"/>
  <c r="G444" i="18" s="1"/>
  <c r="G436" i="18" a="1"/>
  <c r="G436" i="18" s="1"/>
  <c r="H47" i="20"/>
  <c r="G446" i="18" a="1"/>
  <c r="G446" i="18" s="1"/>
  <c r="G440" i="18" a="1"/>
  <c r="G440" i="18" s="1"/>
  <c r="G449" i="18" a="1"/>
  <c r="G449" i="18" s="1"/>
  <c r="G447" i="18" a="1"/>
  <c r="G447" i="18" s="1"/>
  <c r="G443" i="18" a="1"/>
  <c r="G443" i="18" s="1"/>
  <c r="G437" i="18" a="1"/>
  <c r="G437" i="18" s="1"/>
  <c r="S11" i="20"/>
  <c r="S17" i="20"/>
  <c r="S13" i="20"/>
  <c r="S16" i="20"/>
  <c r="S19" i="20"/>
  <c r="Q6" i="9"/>
  <c r="S9" i="20"/>
  <c r="E38" i="22"/>
  <c r="J14" i="20"/>
  <c r="S8" i="20"/>
  <c r="S10" i="20"/>
  <c r="S18" i="20"/>
  <c r="J12" i="20"/>
  <c r="J16" i="20"/>
  <c r="J17" i="20"/>
  <c r="S12" i="20"/>
  <c r="J11" i="20"/>
  <c r="J18" i="20"/>
  <c r="S6" i="20"/>
  <c r="J7" i="20"/>
  <c r="S14" i="20"/>
  <c r="J10" i="20"/>
  <c r="J15" i="20"/>
  <c r="J19" i="20"/>
  <c r="J6" i="20"/>
  <c r="S15" i="20"/>
  <c r="S7" i="20"/>
  <c r="J13" i="20"/>
  <c r="J9" i="20"/>
  <c r="Q30" i="9"/>
  <c r="J8" i="20"/>
  <c r="H81" i="35" a="1"/>
  <c r="H81" i="35" s="1"/>
  <c r="H82" i="35" a="1"/>
  <c r="H82" i="35" s="1"/>
  <c r="H73" i="35" a="1"/>
  <c r="H73" i="35" s="1"/>
  <c r="H76" i="35" a="1"/>
  <c r="H76" i="35" s="1"/>
  <c r="H86" i="35" a="1"/>
  <c r="H86" i="35" s="1"/>
  <c r="H75" i="35" a="1"/>
  <c r="H75" i="35" s="1"/>
  <c r="H79" i="35" a="1"/>
  <c r="H79" i="35" s="1"/>
  <c r="H77" i="35" a="1"/>
  <c r="H77" i="35" s="1"/>
  <c r="H74" i="35" a="1"/>
  <c r="H74" i="35" s="1"/>
  <c r="H83" i="35" a="1"/>
  <c r="H83" i="35" s="1"/>
  <c r="H85" i="35" a="1"/>
  <c r="H85" i="35" s="1"/>
  <c r="H84" i="35" a="1"/>
  <c r="H84" i="35" s="1"/>
  <c r="H78" i="35" a="1"/>
  <c r="H78" i="35" s="1"/>
  <c r="H80" i="35" a="1"/>
  <c r="H80" i="35" s="1"/>
  <c r="G238" i="18" a="1"/>
  <c r="G238" i="18" s="1"/>
  <c r="G232" i="18" a="1"/>
  <c r="G232" i="18" s="1"/>
  <c r="G236" i="18" a="1"/>
  <c r="G236" i="18" s="1"/>
  <c r="G233" i="18" a="1"/>
  <c r="G233" i="18" s="1"/>
  <c r="G226" i="18" a="1"/>
  <c r="G226" i="18" s="1"/>
  <c r="G237" i="18" a="1"/>
  <c r="G237" i="18" s="1"/>
  <c r="G234" i="18" a="1"/>
  <c r="G234" i="18" s="1"/>
  <c r="G239" i="18" a="1"/>
  <c r="G239" i="18" s="1"/>
  <c r="Q20" i="20"/>
  <c r="G228" i="18" a="1"/>
  <c r="G228" i="18" s="1"/>
  <c r="G231" i="18" a="1"/>
  <c r="G231" i="18" s="1"/>
  <c r="G230" i="18" a="1"/>
  <c r="G230" i="18" s="1"/>
  <c r="G235" i="18" a="1"/>
  <c r="G235" i="18" s="1"/>
  <c r="G227" i="18" a="1"/>
  <c r="G227" i="18" s="1"/>
  <c r="G229" i="18" a="1"/>
  <c r="G229" i="18" s="1"/>
  <c r="D27" i="17"/>
  <c r="O10" i="9"/>
  <c r="D25" i="17"/>
  <c r="Q40" i="9"/>
  <c r="I111" i="35" a="1"/>
  <c r="I111" i="35" s="1"/>
  <c r="I103" i="35" a="1"/>
  <c r="I103" i="35" s="1"/>
  <c r="I101" i="35" a="1"/>
  <c r="I101" i="35" s="1"/>
  <c r="I109" i="35" a="1"/>
  <c r="I109" i="35" s="1"/>
  <c r="I106" i="35" a="1"/>
  <c r="I106" i="35" s="1"/>
  <c r="I104" i="35" a="1"/>
  <c r="I104" i="35" s="1"/>
  <c r="I113" i="35" a="1"/>
  <c r="I113" i="35" s="1"/>
  <c r="I114" i="35" a="1"/>
  <c r="I114" i="35" s="1"/>
  <c r="I112" i="35" a="1"/>
  <c r="I112" i="35" s="1"/>
  <c r="I107" i="35" a="1"/>
  <c r="I107" i="35" s="1"/>
  <c r="I108" i="35" a="1"/>
  <c r="I108" i="35" s="1"/>
  <c r="I105" i="35" a="1"/>
  <c r="I105" i="35" s="1"/>
  <c r="I102" i="35" a="1"/>
  <c r="I102" i="35" s="1"/>
  <c r="I110" i="35" a="1"/>
  <c r="I110" i="35" s="1"/>
  <c r="G379" i="18" a="1"/>
  <c r="G379" i="18" s="1"/>
  <c r="G367" i="18" a="1"/>
  <c r="G367" i="18" s="1"/>
  <c r="G369" i="18" a="1"/>
  <c r="G369" i="18" s="1"/>
  <c r="G370" i="18" a="1"/>
  <c r="G370" i="18" s="1"/>
  <c r="G376" i="18" a="1"/>
  <c r="G376" i="18" s="1"/>
  <c r="G366" i="18" a="1"/>
  <c r="G366" i="18" s="1"/>
  <c r="G372" i="18" a="1"/>
  <c r="G372" i="18" s="1"/>
  <c r="G378" i="18" a="1"/>
  <c r="G378" i="18" s="1"/>
  <c r="G371" i="18" a="1"/>
  <c r="G371" i="18" s="1"/>
  <c r="G375" i="18" a="1"/>
  <c r="G375" i="18" s="1"/>
  <c r="G373" i="18" a="1"/>
  <c r="G373" i="18" s="1"/>
  <c r="G368" i="18" a="1"/>
  <c r="G368" i="18" s="1"/>
  <c r="G374" i="18" a="1"/>
  <c r="G374" i="18" s="1"/>
  <c r="G377" i="18" a="1"/>
  <c r="G377" i="18" s="1"/>
  <c r="J47" i="20"/>
  <c r="H167" i="35" a="1"/>
  <c r="H167" i="35" s="1"/>
  <c r="H159" i="35" a="1"/>
  <c r="H159" i="35" s="1"/>
  <c r="H161" i="35" a="1"/>
  <c r="H161" i="35" s="1"/>
  <c r="H166" i="35" a="1"/>
  <c r="H166" i="35" s="1"/>
  <c r="H157" i="35" a="1"/>
  <c r="H157" i="35" s="1"/>
  <c r="H160" i="35" a="1"/>
  <c r="H160" i="35" s="1"/>
  <c r="H170" i="35" a="1"/>
  <c r="H170" i="35" s="1"/>
  <c r="H163" i="35" a="1"/>
  <c r="H163" i="35" s="1"/>
  <c r="H158" i="35" a="1"/>
  <c r="H158" i="35" s="1"/>
  <c r="H162" i="35" a="1"/>
  <c r="H162" i="35" s="1"/>
  <c r="H168" i="35" a="1"/>
  <c r="H168" i="35" s="1"/>
  <c r="H165" i="35" a="1"/>
  <c r="H165" i="35" s="1"/>
  <c r="H164" i="35" a="1"/>
  <c r="H164" i="35" s="1"/>
  <c r="H169" i="35" a="1"/>
  <c r="H169" i="35" s="1"/>
  <c r="G491" i="18" a="1"/>
  <c r="G491" i="18" s="1"/>
  <c r="G487" i="18" a="1"/>
  <c r="G487" i="18" s="1"/>
  <c r="G481" i="18" a="1"/>
  <c r="G481" i="18" s="1"/>
  <c r="G478" i="18" a="1"/>
  <c r="G478" i="18" s="1"/>
  <c r="G485" i="18" a="1"/>
  <c r="G485" i="18" s="1"/>
  <c r="G488" i="18" a="1"/>
  <c r="G488" i="18" s="1"/>
  <c r="G479" i="18" a="1"/>
  <c r="G479" i="18" s="1"/>
  <c r="G480" i="18" a="1"/>
  <c r="G480" i="18" s="1"/>
  <c r="G486" i="18" a="1"/>
  <c r="G486" i="18" s="1"/>
  <c r="G484" i="18" a="1"/>
  <c r="G484" i="18" s="1"/>
  <c r="Q47" i="20"/>
  <c r="G490" i="18" a="1"/>
  <c r="G490" i="18" s="1"/>
  <c r="G483" i="18" a="1"/>
  <c r="G483" i="18" s="1"/>
  <c r="G489" i="18" a="1"/>
  <c r="G489" i="18" s="1"/>
  <c r="G482" i="18" a="1"/>
  <c r="G482" i="18" s="1"/>
  <c r="Q8" i="9"/>
  <c r="V8" i="9" s="1"/>
  <c r="T33" i="20"/>
  <c r="K33" i="20"/>
  <c r="T43" i="20"/>
  <c r="T40" i="20"/>
  <c r="T41" i="20"/>
  <c r="T35" i="20"/>
  <c r="K40" i="20"/>
  <c r="K44" i="20"/>
  <c r="T34" i="20"/>
  <c r="T46" i="20"/>
  <c r="K42" i="20"/>
  <c r="R40" i="9"/>
  <c r="T45" i="20"/>
  <c r="K38" i="20"/>
  <c r="K41" i="20"/>
  <c r="K34" i="20"/>
  <c r="E88" i="22"/>
  <c r="K36" i="20"/>
  <c r="T44" i="20"/>
  <c r="K43" i="20"/>
  <c r="T37" i="20"/>
  <c r="T38" i="20"/>
  <c r="K37" i="20"/>
  <c r="K39" i="20"/>
  <c r="T39" i="20"/>
  <c r="T36" i="20"/>
  <c r="K45" i="20"/>
  <c r="K46" i="20"/>
  <c r="K35" i="20"/>
  <c r="T42" i="20"/>
  <c r="I403" i="58" l="1"/>
  <c r="I404" i="58"/>
  <c r="I402" i="58"/>
  <c r="I343" i="58"/>
  <c r="I341" i="58"/>
  <c r="I344" i="58"/>
  <c r="I342" i="58"/>
  <c r="I376" i="18"/>
  <c r="H376" i="18"/>
  <c r="J390" i="58"/>
  <c r="J391" i="58"/>
  <c r="J392" i="58"/>
  <c r="H227" i="18"/>
  <c r="I227" i="18"/>
  <c r="I232" i="18"/>
  <c r="H232" i="18"/>
  <c r="I318" i="58"/>
  <c r="I320" i="58"/>
  <c r="I319" i="58"/>
  <c r="I367" i="58"/>
  <c r="I368" i="58"/>
  <c r="I366" i="58"/>
  <c r="I365" i="58"/>
  <c r="I370" i="18"/>
  <c r="H370" i="18"/>
  <c r="J210" i="58"/>
  <c r="J211" i="58"/>
  <c r="J212" i="58"/>
  <c r="I235" i="18"/>
  <c r="H235" i="18"/>
  <c r="I238" i="18"/>
  <c r="H238" i="18"/>
  <c r="I161" i="37"/>
  <c r="I162" i="37"/>
  <c r="I163" i="37"/>
  <c r="I164" i="37"/>
  <c r="I447" i="18"/>
  <c r="H447" i="18"/>
  <c r="I438" i="18"/>
  <c r="H438" i="18"/>
  <c r="I331" i="58"/>
  <c r="I330" i="58"/>
  <c r="I332" i="58"/>
  <c r="I329" i="58"/>
  <c r="I195" i="18"/>
  <c r="H195" i="18"/>
  <c r="I213" i="37"/>
  <c r="I215" i="37"/>
  <c r="I214" i="37"/>
  <c r="I408" i="18"/>
  <c r="H408" i="18"/>
  <c r="J339" i="58"/>
  <c r="J338" i="58"/>
  <c r="J337" i="58"/>
  <c r="J340" i="58"/>
  <c r="J179" i="58"/>
  <c r="J177" i="58"/>
  <c r="J178" i="58"/>
  <c r="H484" i="18"/>
  <c r="I484" i="18"/>
  <c r="I284" i="58"/>
  <c r="I283" i="58"/>
  <c r="I282" i="58"/>
  <c r="I369" i="18"/>
  <c r="H369" i="18"/>
  <c r="J194" i="58"/>
  <c r="J193" i="58"/>
  <c r="J192" i="58"/>
  <c r="H230" i="18"/>
  <c r="I230" i="18"/>
  <c r="I318" i="37"/>
  <c r="I318" i="41" s="1"/>
  <c r="I319" i="37"/>
  <c r="I319" i="41" s="1"/>
  <c r="I320" i="37"/>
  <c r="I302" i="37"/>
  <c r="I300" i="37"/>
  <c r="I301" i="37"/>
  <c r="H449" i="18"/>
  <c r="I449" i="18"/>
  <c r="I234" i="58"/>
  <c r="I233" i="58"/>
  <c r="I235" i="58"/>
  <c r="I236" i="58"/>
  <c r="I214" i="58"/>
  <c r="I213" i="58"/>
  <c r="I215" i="58"/>
  <c r="I394" i="37"/>
  <c r="I395" i="37"/>
  <c r="I393" i="37"/>
  <c r="H415" i="18"/>
  <c r="I415" i="18"/>
  <c r="J203" i="58"/>
  <c r="J201" i="58"/>
  <c r="J202" i="58"/>
  <c r="H490" i="18"/>
  <c r="I490" i="18"/>
  <c r="I385" i="58"/>
  <c r="I386" i="58"/>
  <c r="I384" i="58"/>
  <c r="I377" i="18"/>
  <c r="H377" i="18"/>
  <c r="I367" i="18"/>
  <c r="H367" i="18"/>
  <c r="J270" i="58"/>
  <c r="J272" i="58"/>
  <c r="J271" i="58"/>
  <c r="I231" i="18"/>
  <c r="H231" i="18"/>
  <c r="I204" i="37"/>
  <c r="I206" i="37"/>
  <c r="I205" i="37"/>
  <c r="I283" i="37"/>
  <c r="I283" i="41" s="1"/>
  <c r="I284" i="37"/>
  <c r="I282" i="37"/>
  <c r="I440" i="18"/>
  <c r="H440" i="18"/>
  <c r="I256" i="58"/>
  <c r="I255" i="58"/>
  <c r="I257" i="58"/>
  <c r="I275" i="58"/>
  <c r="I273" i="58"/>
  <c r="I274" i="58"/>
  <c r="I191" i="18"/>
  <c r="H191" i="18"/>
  <c r="I412" i="37"/>
  <c r="I411" i="37"/>
  <c r="I413" i="37"/>
  <c r="I411" i="18"/>
  <c r="H411" i="18"/>
  <c r="J299" i="58"/>
  <c r="J298" i="58"/>
  <c r="J297" i="58"/>
  <c r="G6" i="20"/>
  <c r="N6" i="9"/>
  <c r="P6" i="20"/>
  <c r="G16" i="20"/>
  <c r="P18" i="20"/>
  <c r="N30" i="9"/>
  <c r="P14" i="20"/>
  <c r="G18" i="20"/>
  <c r="P10" i="20"/>
  <c r="G12" i="20"/>
  <c r="G13" i="20"/>
  <c r="P11" i="20"/>
  <c r="G11" i="20"/>
  <c r="G14" i="20"/>
  <c r="P16" i="20"/>
  <c r="P7" i="20"/>
  <c r="P9" i="20"/>
  <c r="G8" i="20"/>
  <c r="P15" i="20"/>
  <c r="E23" i="22"/>
  <c r="P12" i="20"/>
  <c r="G15" i="20"/>
  <c r="G19" i="20"/>
  <c r="P8" i="20"/>
  <c r="G10" i="20"/>
  <c r="P17" i="20"/>
  <c r="G9" i="20"/>
  <c r="G17" i="20"/>
  <c r="P19" i="20"/>
  <c r="P13" i="20"/>
  <c r="G7" i="20"/>
  <c r="I480" i="18"/>
  <c r="H480" i="18"/>
  <c r="I205" i="58"/>
  <c r="I206" i="58"/>
  <c r="I204" i="58"/>
  <c r="I374" i="18"/>
  <c r="H374" i="18"/>
  <c r="H379" i="18"/>
  <c r="I379" i="18"/>
  <c r="J146" i="58"/>
  <c r="J147" i="58"/>
  <c r="J145" i="58"/>
  <c r="J148" i="58"/>
  <c r="H228" i="18"/>
  <c r="I228" i="18"/>
  <c r="I385" i="37"/>
  <c r="I386" i="37"/>
  <c r="I386" i="41" s="1"/>
  <c r="I384" i="37"/>
  <c r="I384" i="41" s="1"/>
  <c r="I61" i="35" a="1"/>
  <c r="I61" i="35" s="1"/>
  <c r="I63" i="35" a="1"/>
  <c r="I63" i="35" s="1"/>
  <c r="I64" i="35" a="1"/>
  <c r="I64" i="35" s="1"/>
  <c r="I71" i="35" a="1"/>
  <c r="I71" i="35" s="1"/>
  <c r="I65" i="35" a="1"/>
  <c r="I65" i="35" s="1"/>
  <c r="I62" i="35" a="1"/>
  <c r="I62" i="35" s="1"/>
  <c r="I60" i="35" a="1"/>
  <c r="I60" i="35" s="1"/>
  <c r="I59" i="35" a="1"/>
  <c r="I59" i="35" s="1"/>
  <c r="I70" i="35" a="1"/>
  <c r="I70" i="35" s="1"/>
  <c r="I67" i="35" a="1"/>
  <c r="I67" i="35" s="1"/>
  <c r="I66" i="35" a="1"/>
  <c r="I66" i="35" s="1"/>
  <c r="I72" i="35" a="1"/>
  <c r="I72" i="35" s="1"/>
  <c r="I68" i="35" a="1"/>
  <c r="I68" i="35" s="1"/>
  <c r="I69" i="35" a="1"/>
  <c r="I69" i="35" s="1"/>
  <c r="G158" i="18" a="1"/>
  <c r="G158" i="18" s="1"/>
  <c r="G164" i="18" a="1"/>
  <c r="G164" i="18" s="1"/>
  <c r="G156" i="18" a="1"/>
  <c r="G156" i="18" s="1"/>
  <c r="G162" i="18" a="1"/>
  <c r="G162" i="18" s="1"/>
  <c r="G160" i="18" a="1"/>
  <c r="G160" i="18" s="1"/>
  <c r="G163" i="18" a="1"/>
  <c r="G163" i="18" s="1"/>
  <c r="G168" i="18" a="1"/>
  <c r="G168" i="18" s="1"/>
  <c r="G167" i="18" a="1"/>
  <c r="G167" i="18" s="1"/>
  <c r="G159" i="18" a="1"/>
  <c r="G159" i="18" s="1"/>
  <c r="G157" i="18" a="1"/>
  <c r="G157" i="18" s="1"/>
  <c r="G169" i="18" a="1"/>
  <c r="G169" i="18" s="1"/>
  <c r="G166" i="18" a="1"/>
  <c r="G166" i="18" s="1"/>
  <c r="S20" i="20"/>
  <c r="G165" i="18" a="1"/>
  <c r="G165" i="18" s="1"/>
  <c r="G161" i="18" a="1"/>
  <c r="G161" i="18" s="1"/>
  <c r="I446" i="18"/>
  <c r="H446" i="18"/>
  <c r="I395" i="58"/>
  <c r="I394" i="58"/>
  <c r="I393" i="58"/>
  <c r="I190" i="18"/>
  <c r="H190" i="18"/>
  <c r="I189" i="18"/>
  <c r="H189" i="18"/>
  <c r="I375" i="37"/>
  <c r="I376" i="37"/>
  <c r="I377" i="37"/>
  <c r="I420" i="18"/>
  <c r="H420" i="18"/>
  <c r="J242" i="58"/>
  <c r="J244" i="58"/>
  <c r="J243" i="58"/>
  <c r="J241" i="58"/>
  <c r="E25" i="22"/>
  <c r="N8" i="9"/>
  <c r="U8" i="9" s="1"/>
  <c r="I479" i="18"/>
  <c r="H479" i="18"/>
  <c r="I368" i="18"/>
  <c r="H368" i="18"/>
  <c r="J288" i="58"/>
  <c r="J289" i="58"/>
  <c r="J290" i="58"/>
  <c r="J325" i="58"/>
  <c r="J326" i="58"/>
  <c r="J328" i="58"/>
  <c r="J327" i="58"/>
  <c r="I404" i="37"/>
  <c r="I404" i="41" s="1"/>
  <c r="I403" i="37"/>
  <c r="I403" i="41" s="1"/>
  <c r="I402" i="37"/>
  <c r="I402" i="41" s="1"/>
  <c r="E24" i="17"/>
  <c r="V6" i="9"/>
  <c r="Q10" i="9"/>
  <c r="E26" i="17"/>
  <c r="I377" i="58"/>
  <c r="I376" i="58"/>
  <c r="I375" i="58"/>
  <c r="H187" i="18"/>
  <c r="I187" i="18"/>
  <c r="H197" i="18"/>
  <c r="I197" i="18"/>
  <c r="I293" i="37"/>
  <c r="I292" i="37"/>
  <c r="I291" i="37"/>
  <c r="I416" i="18"/>
  <c r="H416" i="18"/>
  <c r="J315" i="58"/>
  <c r="J316" i="58"/>
  <c r="J317" i="58"/>
  <c r="G33" i="20"/>
  <c r="P33" i="20"/>
  <c r="P44" i="20"/>
  <c r="P45" i="20"/>
  <c r="G44" i="20"/>
  <c r="P35" i="20"/>
  <c r="G40" i="20"/>
  <c r="P36" i="20"/>
  <c r="P42" i="20"/>
  <c r="G38" i="20"/>
  <c r="E68" i="22"/>
  <c r="G45" i="20"/>
  <c r="G37" i="20"/>
  <c r="P40" i="20"/>
  <c r="P38" i="20"/>
  <c r="G35" i="20"/>
  <c r="G39" i="20"/>
  <c r="G34" i="20"/>
  <c r="P46" i="20"/>
  <c r="G46" i="20"/>
  <c r="G41" i="20"/>
  <c r="P39" i="20"/>
  <c r="P37" i="20"/>
  <c r="P41" i="20"/>
  <c r="G36" i="20"/>
  <c r="G42" i="20"/>
  <c r="P34" i="20"/>
  <c r="N40" i="9"/>
  <c r="P43" i="20"/>
  <c r="G43" i="20"/>
  <c r="H486" i="18"/>
  <c r="I486" i="18"/>
  <c r="I248" i="58"/>
  <c r="I247" i="58"/>
  <c r="I245" i="58"/>
  <c r="I246" i="58"/>
  <c r="I115" i="35" a="1"/>
  <c r="I115" i="35" s="1"/>
  <c r="I117" i="35" a="1"/>
  <c r="I117" i="35" s="1"/>
  <c r="I125" i="35" a="1"/>
  <c r="I125" i="35" s="1"/>
  <c r="I118" i="35" a="1"/>
  <c r="I118" i="35" s="1"/>
  <c r="I116" i="35" a="1"/>
  <c r="I116" i="35" s="1"/>
  <c r="I126" i="35" a="1"/>
  <c r="I126" i="35" s="1"/>
  <c r="I127" i="35" a="1"/>
  <c r="I127" i="35" s="1"/>
  <c r="I119" i="35" a="1"/>
  <c r="I119" i="35" s="1"/>
  <c r="J183" i="58" s="1"/>
  <c r="I124" i="35" a="1"/>
  <c r="I124" i="35" s="1"/>
  <c r="I122" i="35" a="1"/>
  <c r="I122" i="35" s="1"/>
  <c r="I123" i="35" a="1"/>
  <c r="I123" i="35" s="1"/>
  <c r="G455" i="18" a="1"/>
  <c r="G455" i="18" s="1"/>
  <c r="I128" i="35" a="1"/>
  <c r="I128" i="35" s="1"/>
  <c r="I121" i="35" a="1"/>
  <c r="I121" i="35" s="1"/>
  <c r="I120" i="35" a="1"/>
  <c r="I120" i="35" s="1"/>
  <c r="G460" i="18" a="1"/>
  <c r="G460" i="18" s="1"/>
  <c r="G462" i="18" a="1"/>
  <c r="G462" i="18" s="1"/>
  <c r="G451" i="18" a="1"/>
  <c r="G451" i="18" s="1"/>
  <c r="G457" i="18" a="1"/>
  <c r="G457" i="18" s="1"/>
  <c r="G454" i="18" a="1"/>
  <c r="G454" i="18" s="1"/>
  <c r="G452" i="18" a="1"/>
  <c r="G452" i="18" s="1"/>
  <c r="G450" i="18" a="1"/>
  <c r="G450" i="18" s="1"/>
  <c r="G461" i="18" a="1"/>
  <c r="G461" i="18" s="1"/>
  <c r="G458" i="18" a="1"/>
  <c r="G458" i="18" s="1"/>
  <c r="G456" i="18" a="1"/>
  <c r="G456" i="18" s="1"/>
  <c r="G459" i="18" a="1"/>
  <c r="G459" i="18" s="1"/>
  <c r="G463" i="18" a="1"/>
  <c r="G463" i="18" s="1"/>
  <c r="G453" i="18" a="1"/>
  <c r="G453" i="18" s="1"/>
  <c r="K47" i="20"/>
  <c r="I488" i="18"/>
  <c r="H488" i="18"/>
  <c r="I264" i="58"/>
  <c r="I265" i="58"/>
  <c r="I266" i="58"/>
  <c r="I373" i="18"/>
  <c r="H373" i="18"/>
  <c r="J229" i="58"/>
  <c r="J231" i="58"/>
  <c r="J230" i="58"/>
  <c r="J232" i="58"/>
  <c r="J349" i="58"/>
  <c r="J352" i="58"/>
  <c r="J351" i="58"/>
  <c r="J350" i="58"/>
  <c r="I239" i="18"/>
  <c r="H239" i="18"/>
  <c r="I365" i="37"/>
  <c r="I366" i="37"/>
  <c r="I366" i="41" s="1"/>
  <c r="I367" i="37"/>
  <c r="I367" i="41" s="1"/>
  <c r="I368" i="37"/>
  <c r="I436" i="18"/>
  <c r="H436" i="18"/>
  <c r="I172" i="58"/>
  <c r="I173" i="58"/>
  <c r="I171" i="58"/>
  <c r="I196" i="18"/>
  <c r="H196" i="18"/>
  <c r="H186" i="18"/>
  <c r="I186" i="18"/>
  <c r="I195" i="37"/>
  <c r="I197" i="37"/>
  <c r="I196" i="37"/>
  <c r="H417" i="18"/>
  <c r="I417" i="18"/>
  <c r="J418" i="58"/>
  <c r="J419" i="58"/>
  <c r="J417" i="58"/>
  <c r="I162" i="35" a="1"/>
  <c r="I162" i="35" s="1"/>
  <c r="I166" i="35" a="1"/>
  <c r="I166" i="35" s="1"/>
  <c r="I169" i="35" a="1"/>
  <c r="I169" i="35" s="1"/>
  <c r="I170" i="35" a="1"/>
  <c r="I170" i="35" s="1"/>
  <c r="I157" i="35" a="1"/>
  <c r="I157" i="35" s="1"/>
  <c r="I165" i="35" a="1"/>
  <c r="I165" i="35" s="1"/>
  <c r="I163" i="35" a="1"/>
  <c r="I163" i="35" s="1"/>
  <c r="I159" i="35" a="1"/>
  <c r="I159" i="35" s="1"/>
  <c r="I161" i="35" a="1"/>
  <c r="I161" i="35" s="1"/>
  <c r="J187" i="58" s="1"/>
  <c r="I158" i="35" a="1"/>
  <c r="I158" i="35" s="1"/>
  <c r="I167" i="35" a="1"/>
  <c r="I167" i="35" s="1"/>
  <c r="I164" i="35" a="1"/>
  <c r="I164" i="35" s="1"/>
  <c r="G501" i="18" a="1"/>
  <c r="G501" i="18" s="1"/>
  <c r="I168" i="35" a="1"/>
  <c r="I168" i="35" s="1"/>
  <c r="G500" i="18" a="1"/>
  <c r="G500" i="18" s="1"/>
  <c r="I160" i="35" a="1"/>
  <c r="I160" i="35" s="1"/>
  <c r="G495" i="18" a="1"/>
  <c r="G495" i="18" s="1"/>
  <c r="G498" i="18" a="1"/>
  <c r="G498" i="18" s="1"/>
  <c r="G499" i="18" a="1"/>
  <c r="G499" i="18" s="1"/>
  <c r="G502" i="18" a="1"/>
  <c r="G502" i="18" s="1"/>
  <c r="G493" i="18" a="1"/>
  <c r="G493" i="18" s="1"/>
  <c r="G505" i="18" a="1"/>
  <c r="G505" i="18" s="1"/>
  <c r="G496" i="18" a="1"/>
  <c r="G496" i="18" s="1"/>
  <c r="G497" i="18" a="1"/>
  <c r="G497" i="18" s="1"/>
  <c r="G494" i="18" a="1"/>
  <c r="G494" i="18" s="1"/>
  <c r="G504" i="18" a="1"/>
  <c r="G504" i="18" s="1"/>
  <c r="G503" i="18" a="1"/>
  <c r="G503" i="18" s="1"/>
  <c r="G492" i="18" a="1"/>
  <c r="G492" i="18" s="1"/>
  <c r="T47" i="20"/>
  <c r="H485" i="18"/>
  <c r="I485" i="18"/>
  <c r="I422" i="58"/>
  <c r="I420" i="58"/>
  <c r="I421" i="58"/>
  <c r="I375" i="18"/>
  <c r="H375" i="18"/>
  <c r="J185" i="58"/>
  <c r="J168" i="58"/>
  <c r="J169" i="58"/>
  <c r="J170" i="58"/>
  <c r="I234" i="18"/>
  <c r="H234" i="18"/>
  <c r="I247" i="37"/>
  <c r="I248" i="37"/>
  <c r="I245" i="37"/>
  <c r="I246" i="37"/>
  <c r="H444" i="18"/>
  <c r="I444" i="18"/>
  <c r="I152" i="58"/>
  <c r="I149" i="58"/>
  <c r="I150" i="58"/>
  <c r="I151" i="58"/>
  <c r="I193" i="18"/>
  <c r="H193" i="18"/>
  <c r="I255" i="37"/>
  <c r="I257" i="37"/>
  <c r="I256" i="37"/>
  <c r="I256" i="41" s="1"/>
  <c r="I273" i="37"/>
  <c r="I274" i="37"/>
  <c r="I274" i="41" s="1"/>
  <c r="I275" i="37"/>
  <c r="I418" i="18"/>
  <c r="H418" i="18"/>
  <c r="J401" i="58"/>
  <c r="J400" i="58"/>
  <c r="J399" i="58"/>
  <c r="I223" i="58"/>
  <c r="I224" i="58"/>
  <c r="I222" i="58"/>
  <c r="J307" i="58"/>
  <c r="J306" i="58"/>
  <c r="J308" i="58"/>
  <c r="I237" i="18"/>
  <c r="H237" i="18"/>
  <c r="I182" i="37"/>
  <c r="I180" i="37"/>
  <c r="I181" i="37"/>
  <c r="I445" i="18"/>
  <c r="H445" i="18"/>
  <c r="I291" i="58"/>
  <c r="I292" i="58"/>
  <c r="I293" i="58"/>
  <c r="I194" i="18"/>
  <c r="H194" i="18"/>
  <c r="I332" i="37"/>
  <c r="I332" i="41" s="1"/>
  <c r="I331" i="37"/>
  <c r="I331" i="41" s="1"/>
  <c r="I330" i="37"/>
  <c r="I329" i="37"/>
  <c r="I329" i="41" s="1"/>
  <c r="I152" i="37"/>
  <c r="I149" i="37"/>
  <c r="I150" i="37"/>
  <c r="I151" i="37"/>
  <c r="I413" i="18"/>
  <c r="H413" i="18"/>
  <c r="J383" i="58"/>
  <c r="J381" i="58"/>
  <c r="J382" i="58"/>
  <c r="I478" i="18"/>
  <c r="H478" i="18"/>
  <c r="H371" i="18"/>
  <c r="I371" i="18"/>
  <c r="I482" i="18"/>
  <c r="H482" i="18"/>
  <c r="H481" i="18"/>
  <c r="I481" i="18"/>
  <c r="I161" i="58"/>
  <c r="I164" i="58"/>
  <c r="I162" i="58"/>
  <c r="I163" i="58"/>
  <c r="I378" i="18"/>
  <c r="H378" i="18"/>
  <c r="J252" i="58"/>
  <c r="J253" i="58"/>
  <c r="J254" i="58"/>
  <c r="I226" i="18"/>
  <c r="H226" i="18"/>
  <c r="I265" i="37"/>
  <c r="I264" i="37"/>
  <c r="I266" i="37"/>
  <c r="I266" i="41" s="1"/>
  <c r="I448" i="18"/>
  <c r="H448" i="18"/>
  <c r="I413" i="58"/>
  <c r="I412" i="58"/>
  <c r="I411" i="58"/>
  <c r="I185" i="18"/>
  <c r="H185" i="18"/>
  <c r="I311" i="37"/>
  <c r="I310" i="37"/>
  <c r="I309" i="37"/>
  <c r="I412" i="18"/>
  <c r="H412" i="18"/>
  <c r="J220" i="58"/>
  <c r="J221" i="58"/>
  <c r="J219" i="58"/>
  <c r="I42" i="35" a="1"/>
  <c r="I42" i="35" s="1"/>
  <c r="I43" i="35" a="1"/>
  <c r="I43" i="35" s="1"/>
  <c r="I38" i="35" a="1"/>
  <c r="I38" i="35" s="1"/>
  <c r="I34" i="35" a="1"/>
  <c r="I34" i="35" s="1"/>
  <c r="I41" i="35" a="1"/>
  <c r="I41" i="35" s="1"/>
  <c r="I44" i="35" a="1"/>
  <c r="I44" i="35" s="1"/>
  <c r="I31" i="35" a="1"/>
  <c r="I31" i="35" s="1"/>
  <c r="I33" i="35" a="1"/>
  <c r="I33" i="35" s="1"/>
  <c r="I36" i="35" a="1"/>
  <c r="I36" i="35" s="1"/>
  <c r="I35" i="35" a="1"/>
  <c r="I35" i="35" s="1"/>
  <c r="I37" i="35" a="1"/>
  <c r="I37" i="35" s="1"/>
  <c r="I40" i="35" a="1"/>
  <c r="I40" i="35" s="1"/>
  <c r="I32" i="35" a="1"/>
  <c r="I32" i="35" s="1"/>
  <c r="I39" i="35" a="1"/>
  <c r="I39" i="35" s="1"/>
  <c r="G199" i="18" a="1"/>
  <c r="G199" i="18" s="1"/>
  <c r="G201" i="18" a="1"/>
  <c r="G201" i="18" s="1"/>
  <c r="G205" i="18" a="1"/>
  <c r="G205" i="18" s="1"/>
  <c r="G198" i="18" a="1"/>
  <c r="G198" i="18" s="1"/>
  <c r="G203" i="18" a="1"/>
  <c r="G203" i="18" s="1"/>
  <c r="G207" i="18" a="1"/>
  <c r="G207" i="18" s="1"/>
  <c r="G211" i="18" a="1"/>
  <c r="G211" i="18" s="1"/>
  <c r="G204" i="18" a="1"/>
  <c r="G204" i="18" s="1"/>
  <c r="G206" i="18" a="1"/>
  <c r="G206" i="18" s="1"/>
  <c r="G210" i="18" a="1"/>
  <c r="G210" i="18" s="1"/>
  <c r="G200" i="18" a="1"/>
  <c r="G200" i="18" s="1"/>
  <c r="G209" i="18" a="1"/>
  <c r="G209" i="18" s="1"/>
  <c r="G208" i="18" a="1"/>
  <c r="G208" i="18" s="1"/>
  <c r="K20" i="20"/>
  <c r="G202" i="18" a="1"/>
  <c r="G202" i="18" s="1"/>
  <c r="H487" i="18"/>
  <c r="I487" i="18"/>
  <c r="I301" i="58"/>
  <c r="I302" i="58"/>
  <c r="I300" i="58"/>
  <c r="H372" i="18"/>
  <c r="I372" i="18"/>
  <c r="J374" i="58"/>
  <c r="J373" i="58"/>
  <c r="J372" i="58"/>
  <c r="I233" i="18"/>
  <c r="H233" i="18"/>
  <c r="I341" i="37"/>
  <c r="I341" i="41" s="1"/>
  <c r="I344" i="37"/>
  <c r="I344" i="41" s="1"/>
  <c r="I342" i="37"/>
  <c r="I343" i="37"/>
  <c r="I343" i="41" s="1"/>
  <c r="I30" i="35" a="1"/>
  <c r="I30" i="35" s="1"/>
  <c r="I20" i="35" a="1"/>
  <c r="I20" i="35" s="1"/>
  <c r="I26" i="35" a="1"/>
  <c r="I26" i="35" s="1"/>
  <c r="I28" i="35" a="1"/>
  <c r="I28" i="35" s="1"/>
  <c r="I18" i="35" a="1"/>
  <c r="I18" i="35" s="1"/>
  <c r="I27" i="35" a="1"/>
  <c r="I27" i="35" s="1"/>
  <c r="I25" i="35" a="1"/>
  <c r="I25" i="35" s="1"/>
  <c r="I24" i="35" a="1"/>
  <c r="I24" i="35" s="1"/>
  <c r="I17" i="35" a="1"/>
  <c r="I17" i="35" s="1"/>
  <c r="I23" i="35" a="1"/>
  <c r="I23" i="35" s="1"/>
  <c r="I22" i="35" a="1"/>
  <c r="I22" i="35" s="1"/>
  <c r="I29" i="35" a="1"/>
  <c r="I29" i="35" s="1"/>
  <c r="I19" i="35" a="1"/>
  <c r="I19" i="35" s="1"/>
  <c r="I21" i="35" a="1"/>
  <c r="I21" i="35" s="1"/>
  <c r="G118" i="18" a="1"/>
  <c r="G118" i="18" s="1"/>
  <c r="G117" i="18" a="1"/>
  <c r="G117" i="18" s="1"/>
  <c r="G126" i="18" a="1"/>
  <c r="G126" i="18" s="1"/>
  <c r="G120" i="18" a="1"/>
  <c r="G120" i="18" s="1"/>
  <c r="G116" i="18" a="1"/>
  <c r="G116" i="18" s="1"/>
  <c r="G114" i="18" a="1"/>
  <c r="G114" i="18" s="1"/>
  <c r="G122" i="18" a="1"/>
  <c r="G122" i="18" s="1"/>
  <c r="G121" i="18" a="1"/>
  <c r="G121" i="18" s="1"/>
  <c r="G124" i="18" a="1"/>
  <c r="G124" i="18" s="1"/>
  <c r="G115" i="18" a="1"/>
  <c r="G115" i="18" s="1"/>
  <c r="G119" i="18" a="1"/>
  <c r="G119" i="18" s="1"/>
  <c r="G125" i="18" a="1"/>
  <c r="G125" i="18" s="1"/>
  <c r="G127" i="18" a="1"/>
  <c r="G127" i="18" s="1"/>
  <c r="J20" i="20"/>
  <c r="G123" i="18" a="1"/>
  <c r="G123" i="18" s="1"/>
  <c r="I439" i="18"/>
  <c r="H439" i="18"/>
  <c r="I197" i="58"/>
  <c r="I195" i="58"/>
  <c r="I196" i="58"/>
  <c r="I184" i="18"/>
  <c r="H184" i="18"/>
  <c r="I354" i="37"/>
  <c r="I356" i="37"/>
  <c r="I355" i="37"/>
  <c r="I353" i="37"/>
  <c r="H414" i="18"/>
  <c r="I414" i="18"/>
  <c r="I421" i="18"/>
  <c r="H421" i="18"/>
  <c r="J160" i="58"/>
  <c r="J159" i="58"/>
  <c r="J157" i="58"/>
  <c r="J158" i="58"/>
  <c r="H489" i="18"/>
  <c r="I489" i="18"/>
  <c r="I483" i="18"/>
  <c r="H483" i="18"/>
  <c r="I491" i="18"/>
  <c r="H491" i="18"/>
  <c r="I181" i="58"/>
  <c r="I182" i="58"/>
  <c r="I180" i="58"/>
  <c r="H366" i="18"/>
  <c r="I366" i="18"/>
  <c r="J410" i="58"/>
  <c r="J409" i="58"/>
  <c r="J408" i="58"/>
  <c r="I229" i="18"/>
  <c r="H229" i="18"/>
  <c r="H236" i="18"/>
  <c r="I236" i="18"/>
  <c r="I421" i="37"/>
  <c r="I420" i="37"/>
  <c r="I420" i="41" s="1"/>
  <c r="I422" i="37"/>
  <c r="I422" i="41" s="1"/>
  <c r="I437" i="18"/>
  <c r="H437" i="18"/>
  <c r="I442" i="18"/>
  <c r="H442" i="18"/>
  <c r="I310" i="58"/>
  <c r="I311" i="58"/>
  <c r="I309" i="58"/>
  <c r="H188" i="18"/>
  <c r="I188" i="18"/>
  <c r="I235" i="37"/>
  <c r="I233" i="37"/>
  <c r="I234" i="37"/>
  <c r="I236" i="37"/>
  <c r="I419" i="18"/>
  <c r="H419" i="18"/>
  <c r="H409" i="18"/>
  <c r="I409" i="18"/>
  <c r="J261" i="58"/>
  <c r="J263" i="58"/>
  <c r="J262" i="58"/>
  <c r="I84" i="35" a="1"/>
  <c r="I84" i="35" s="1"/>
  <c r="I74" i="35" a="1"/>
  <c r="I74" i="35" s="1"/>
  <c r="I79" i="35" a="1"/>
  <c r="I79" i="35" s="1"/>
  <c r="I82" i="35" a="1"/>
  <c r="I82" i="35" s="1"/>
  <c r="I77" i="35" a="1"/>
  <c r="I77" i="35" s="1"/>
  <c r="I80" i="35" a="1"/>
  <c r="I80" i="35" s="1"/>
  <c r="I78" i="35" a="1"/>
  <c r="I78" i="35" s="1"/>
  <c r="I86" i="35" a="1"/>
  <c r="I86" i="35" s="1"/>
  <c r="I85" i="35" a="1"/>
  <c r="I85" i="35" s="1"/>
  <c r="I73" i="35" a="1"/>
  <c r="I73" i="35" s="1"/>
  <c r="I83" i="35" a="1"/>
  <c r="I83" i="35" s="1"/>
  <c r="I75" i="35" a="1"/>
  <c r="I75" i="35" s="1"/>
  <c r="I76" i="35" a="1"/>
  <c r="I76" i="35" s="1"/>
  <c r="I81" i="35" a="1"/>
  <c r="I81" i="35" s="1"/>
  <c r="G250" i="18" a="1"/>
  <c r="G250" i="18" s="1"/>
  <c r="G241" i="18" a="1"/>
  <c r="G241" i="18" s="1"/>
  <c r="G247" i="18" a="1"/>
  <c r="G247" i="18" s="1"/>
  <c r="G243" i="18" a="1"/>
  <c r="G243" i="18" s="1"/>
  <c r="G245" i="18" a="1"/>
  <c r="G245" i="18" s="1"/>
  <c r="G249" i="18" a="1"/>
  <c r="G249" i="18" s="1"/>
  <c r="G251" i="18" a="1"/>
  <c r="G251" i="18" s="1"/>
  <c r="G246" i="18" a="1"/>
  <c r="G246" i="18" s="1"/>
  <c r="G242" i="18" a="1"/>
  <c r="G242" i="18" s="1"/>
  <c r="T20" i="20"/>
  <c r="G240" i="18" a="1"/>
  <c r="G240" i="18" s="1"/>
  <c r="G252" i="18" a="1"/>
  <c r="G252" i="18" s="1"/>
  <c r="G253" i="18" a="1"/>
  <c r="G253" i="18" s="1"/>
  <c r="G244" i="18" a="1"/>
  <c r="G244" i="18" s="1"/>
  <c r="G248" i="18" a="1"/>
  <c r="G248" i="18" s="1"/>
  <c r="I222" i="37"/>
  <c r="I224" i="37"/>
  <c r="I223" i="37"/>
  <c r="I223" i="41" s="1"/>
  <c r="I443" i="18"/>
  <c r="H443" i="18"/>
  <c r="H441" i="18"/>
  <c r="I441" i="18"/>
  <c r="I354" i="58"/>
  <c r="I355" i="58"/>
  <c r="I353" i="58"/>
  <c r="I356" i="58"/>
  <c r="I192" i="18"/>
  <c r="H192" i="18"/>
  <c r="I171" i="37"/>
  <c r="I171" i="41" s="1"/>
  <c r="I173" i="37"/>
  <c r="I172" i="37"/>
  <c r="I172" i="41" s="1"/>
  <c r="I410" i="18"/>
  <c r="H410" i="18"/>
  <c r="J361" i="58"/>
  <c r="J363" i="58"/>
  <c r="J364" i="58"/>
  <c r="J362" i="58"/>
  <c r="J280" i="58"/>
  <c r="J279" i="58"/>
  <c r="J281" i="58"/>
  <c r="E25" i="17"/>
  <c r="R10" i="9"/>
  <c r="E27" i="17"/>
  <c r="I233" i="41" l="1"/>
  <c r="I173" i="41"/>
  <c r="I224" i="41"/>
  <c r="J184" i="58"/>
  <c r="I330" i="41"/>
  <c r="I320" i="41"/>
  <c r="I284" i="41"/>
  <c r="I236" i="41"/>
  <c r="I257" i="41"/>
  <c r="I222" i="41"/>
  <c r="I342" i="41"/>
  <c r="I265" i="41"/>
  <c r="I248" i="41"/>
  <c r="I234" i="41"/>
  <c r="I421" i="41"/>
  <c r="I264" i="41"/>
  <c r="I235" i="41"/>
  <c r="I368" i="41"/>
  <c r="I245" i="41"/>
  <c r="I255" i="41"/>
  <c r="I385" i="41"/>
  <c r="I273" i="41"/>
  <c r="I247" i="41"/>
  <c r="I365" i="41"/>
  <c r="I275" i="41"/>
  <c r="I151" i="41"/>
  <c r="I246" i="41"/>
  <c r="I353" i="41"/>
  <c r="I182" i="41"/>
  <c r="I355" i="41"/>
  <c r="I354" i="41"/>
  <c r="J367" i="37"/>
  <c r="J365" i="37"/>
  <c r="J366" i="37"/>
  <c r="J368" i="37"/>
  <c r="H117" i="18"/>
  <c r="I117" i="18"/>
  <c r="J373" i="37"/>
  <c r="J373" i="41" s="1"/>
  <c r="J374" i="37"/>
  <c r="J374" i="41" s="1"/>
  <c r="J372" i="37"/>
  <c r="H200" i="18"/>
  <c r="I200" i="18"/>
  <c r="J233" i="37"/>
  <c r="J236" i="37"/>
  <c r="J235" i="37"/>
  <c r="J234" i="37"/>
  <c r="J375" i="37"/>
  <c r="J377" i="37"/>
  <c r="J376" i="37"/>
  <c r="H492" i="18"/>
  <c r="I492" i="18"/>
  <c r="J223" i="58"/>
  <c r="J224" i="58"/>
  <c r="J222" i="58"/>
  <c r="J421" i="58"/>
  <c r="J420" i="58"/>
  <c r="J422" i="58"/>
  <c r="J186" i="18"/>
  <c r="F186" i="18"/>
  <c r="F373" i="18"/>
  <c r="J373" i="18"/>
  <c r="H461" i="18"/>
  <c r="I461" i="18"/>
  <c r="J274" i="58"/>
  <c r="J275" i="58"/>
  <c r="J273" i="58"/>
  <c r="H168" i="18"/>
  <c r="I168" i="18"/>
  <c r="J382" i="37"/>
  <c r="J382" i="41" s="1"/>
  <c r="J381" i="37"/>
  <c r="J381" i="41" s="1"/>
  <c r="J383" i="37"/>
  <c r="J383" i="41" s="1"/>
  <c r="J228" i="18"/>
  <c r="F228" i="18"/>
  <c r="I215" i="41"/>
  <c r="I164" i="41"/>
  <c r="J370" i="18"/>
  <c r="F370" i="18"/>
  <c r="J441" i="18"/>
  <c r="F441" i="18"/>
  <c r="F410" i="18"/>
  <c r="J410" i="18"/>
  <c r="J164" i="37"/>
  <c r="J161" i="37"/>
  <c r="J163" i="37"/>
  <c r="J162" i="37"/>
  <c r="F229" i="18"/>
  <c r="J229" i="18"/>
  <c r="J483" i="18"/>
  <c r="F483" i="18"/>
  <c r="I127" i="18"/>
  <c r="H127" i="18"/>
  <c r="I118" i="18"/>
  <c r="H118" i="18"/>
  <c r="J289" i="37"/>
  <c r="J289" i="41" s="1"/>
  <c r="J288" i="37"/>
  <c r="J290" i="37"/>
  <c r="J290" i="41" s="1"/>
  <c r="J372" i="18"/>
  <c r="F372" i="18"/>
  <c r="I210" i="18"/>
  <c r="H210" i="18"/>
  <c r="J293" i="37"/>
  <c r="J292" i="37"/>
  <c r="J291" i="37"/>
  <c r="F378" i="18"/>
  <c r="J378" i="18"/>
  <c r="J478" i="18"/>
  <c r="F478" i="18"/>
  <c r="F418" i="18"/>
  <c r="J418" i="18"/>
  <c r="C46" i="63"/>
  <c r="H503" i="18"/>
  <c r="I503" i="18"/>
  <c r="I500" i="18"/>
  <c r="H500" i="18"/>
  <c r="J402" i="58"/>
  <c r="J404" i="58"/>
  <c r="J403" i="58"/>
  <c r="I450" i="18"/>
  <c r="H450" i="18"/>
  <c r="J310" i="58"/>
  <c r="J309" i="58"/>
  <c r="J311" i="58"/>
  <c r="I163" i="18"/>
  <c r="H163" i="18"/>
  <c r="J159" i="37"/>
  <c r="J159" i="41" s="1"/>
  <c r="J160" i="37"/>
  <c r="J160" i="41" s="1"/>
  <c r="J157" i="37"/>
  <c r="J157" i="41" s="1"/>
  <c r="J158" i="37"/>
  <c r="J158" i="41" s="1"/>
  <c r="J186" i="58"/>
  <c r="I213" i="41"/>
  <c r="I163" i="41"/>
  <c r="I242" i="18"/>
  <c r="H242" i="18"/>
  <c r="I246" i="18"/>
  <c r="H246" i="18"/>
  <c r="F443" i="18"/>
  <c r="J443" i="18"/>
  <c r="H251" i="18"/>
  <c r="I251" i="18"/>
  <c r="J402" i="37"/>
  <c r="J403" i="37"/>
  <c r="J403" i="41" s="1"/>
  <c r="J404" i="37"/>
  <c r="J409" i="18"/>
  <c r="F409" i="18"/>
  <c r="F489" i="18"/>
  <c r="J489" i="18"/>
  <c r="I356" i="41"/>
  <c r="H125" i="18"/>
  <c r="I125" i="18"/>
  <c r="J185" i="37"/>
  <c r="J183" i="37"/>
  <c r="J183" i="41" s="1"/>
  <c r="J168" i="37"/>
  <c r="J169" i="37"/>
  <c r="J169" i="41" s="1"/>
  <c r="J170" i="37"/>
  <c r="J170" i="41" s="1"/>
  <c r="J184" i="37"/>
  <c r="J210" i="37"/>
  <c r="J212" i="37"/>
  <c r="J212" i="41" s="1"/>
  <c r="J211" i="37"/>
  <c r="J211" i="41" s="1"/>
  <c r="I206" i="18"/>
  <c r="H206" i="18"/>
  <c r="J257" i="37"/>
  <c r="J256" i="37"/>
  <c r="J255" i="37"/>
  <c r="F237" i="18"/>
  <c r="J237" i="18"/>
  <c r="J444" i="18"/>
  <c r="F444" i="18"/>
  <c r="H504" i="18"/>
  <c r="I504" i="18"/>
  <c r="J386" i="58"/>
  <c r="J385" i="58"/>
  <c r="J384" i="58"/>
  <c r="J302" i="58"/>
  <c r="J301" i="58"/>
  <c r="J300" i="58"/>
  <c r="F239" i="18"/>
  <c r="J239" i="18"/>
  <c r="H452" i="18"/>
  <c r="I452" i="18"/>
  <c r="J291" i="58"/>
  <c r="J293" i="58"/>
  <c r="J292" i="58"/>
  <c r="H160" i="18"/>
  <c r="I160" i="18"/>
  <c r="J241" i="37"/>
  <c r="J241" i="41" s="1"/>
  <c r="J244" i="37"/>
  <c r="J244" i="41" s="1"/>
  <c r="J243" i="37"/>
  <c r="J243" i="41" s="1"/>
  <c r="J242" i="37"/>
  <c r="J242" i="41" s="1"/>
  <c r="C55" i="63"/>
  <c r="F480" i="18"/>
  <c r="J480" i="18"/>
  <c r="J411" i="18"/>
  <c r="F411" i="18"/>
  <c r="I162" i="41"/>
  <c r="I249" i="18"/>
  <c r="H249" i="18"/>
  <c r="J422" i="37"/>
  <c r="J420" i="37"/>
  <c r="J421" i="37"/>
  <c r="J421" i="41" s="1"/>
  <c r="I119" i="18"/>
  <c r="H119" i="18"/>
  <c r="J328" i="37"/>
  <c r="J328" i="41" s="1"/>
  <c r="J327" i="37"/>
  <c r="J327" i="41" s="1"/>
  <c r="J325" i="37"/>
  <c r="J326" i="37"/>
  <c r="J326" i="41" s="1"/>
  <c r="J410" i="37"/>
  <c r="J410" i="41" s="1"/>
  <c r="J409" i="37"/>
  <c r="J409" i="41" s="1"/>
  <c r="J408" i="37"/>
  <c r="J408" i="41" s="1"/>
  <c r="H204" i="18"/>
  <c r="I204" i="18"/>
  <c r="J172" i="37"/>
  <c r="J171" i="37"/>
  <c r="J173" i="37"/>
  <c r="F448" i="18"/>
  <c r="J448" i="18"/>
  <c r="I494" i="18"/>
  <c r="H494" i="18"/>
  <c r="I501" i="18"/>
  <c r="H501" i="18"/>
  <c r="J205" i="58"/>
  <c r="J206" i="58"/>
  <c r="J204" i="58"/>
  <c r="F196" i="18"/>
  <c r="J196" i="18"/>
  <c r="H454" i="18"/>
  <c r="I454" i="18"/>
  <c r="J172" i="58"/>
  <c r="J173" i="58"/>
  <c r="J171" i="58"/>
  <c r="J486" i="18"/>
  <c r="F486" i="18"/>
  <c r="J416" i="18"/>
  <c r="F416" i="18"/>
  <c r="F420" i="18"/>
  <c r="J420" i="18"/>
  <c r="F446" i="18"/>
  <c r="J446" i="18"/>
  <c r="I162" i="18"/>
  <c r="H162" i="18"/>
  <c r="J219" i="37"/>
  <c r="J219" i="41" s="1"/>
  <c r="J221" i="37"/>
  <c r="J221" i="41" s="1"/>
  <c r="J220" i="37"/>
  <c r="J220" i="41" s="1"/>
  <c r="I413" i="41"/>
  <c r="J440" i="18"/>
  <c r="F440" i="18"/>
  <c r="F415" i="18"/>
  <c r="J415" i="18"/>
  <c r="F449" i="18"/>
  <c r="J449" i="18"/>
  <c r="J188" i="58"/>
  <c r="C54" i="63" s="1"/>
  <c r="J195" i="18"/>
  <c r="F195" i="18"/>
  <c r="I161" i="41"/>
  <c r="H245" i="18"/>
  <c r="I245" i="18"/>
  <c r="J205" i="37"/>
  <c r="J204" i="37"/>
  <c r="J206" i="37"/>
  <c r="J442" i="18"/>
  <c r="F442" i="18"/>
  <c r="H115" i="18"/>
  <c r="I115" i="18"/>
  <c r="J390" i="37"/>
  <c r="J392" i="37"/>
  <c r="J392" i="41" s="1"/>
  <c r="J391" i="37"/>
  <c r="J391" i="41" s="1"/>
  <c r="H211" i="18"/>
  <c r="I211" i="18"/>
  <c r="J195" i="37"/>
  <c r="J196" i="37"/>
  <c r="J197" i="37"/>
  <c r="F194" i="18"/>
  <c r="J194" i="18"/>
  <c r="H497" i="18"/>
  <c r="I497" i="18"/>
  <c r="J319" i="58"/>
  <c r="J318" i="58"/>
  <c r="J320" i="58"/>
  <c r="H457" i="18"/>
  <c r="I457" i="18"/>
  <c r="J393" i="58"/>
  <c r="J395" i="58"/>
  <c r="J394" i="58"/>
  <c r="I291" i="41"/>
  <c r="I377" i="41"/>
  <c r="I161" i="18"/>
  <c r="H161" i="18"/>
  <c r="H156" i="18"/>
  <c r="I156" i="18"/>
  <c r="J262" i="37"/>
  <c r="J262" i="41" s="1"/>
  <c r="J261" i="37"/>
  <c r="J261" i="41" s="1"/>
  <c r="J263" i="37"/>
  <c r="J263" i="41" s="1"/>
  <c r="I411" i="41"/>
  <c r="I282" i="41"/>
  <c r="F367" i="18"/>
  <c r="J367" i="18"/>
  <c r="F376" i="18"/>
  <c r="J376" i="18"/>
  <c r="J318" i="37"/>
  <c r="J320" i="37"/>
  <c r="J319" i="37"/>
  <c r="F419" i="18"/>
  <c r="J419" i="18"/>
  <c r="F366" i="18"/>
  <c r="J366" i="18"/>
  <c r="J184" i="18"/>
  <c r="F184" i="18"/>
  <c r="I124" i="18"/>
  <c r="H124" i="18"/>
  <c r="J193" i="37"/>
  <c r="J193" i="41" s="1"/>
  <c r="J192" i="37"/>
  <c r="J194" i="37"/>
  <c r="J194" i="41" s="1"/>
  <c r="H207" i="18"/>
  <c r="I207" i="18"/>
  <c r="J331" i="37"/>
  <c r="J330" i="37"/>
  <c r="J332" i="37"/>
  <c r="J329" i="37"/>
  <c r="J412" i="18"/>
  <c r="F412" i="18"/>
  <c r="J375" i="18"/>
  <c r="F375" i="18"/>
  <c r="H496" i="18"/>
  <c r="I496" i="18"/>
  <c r="J365" i="58"/>
  <c r="J368" i="58"/>
  <c r="J366" i="58"/>
  <c r="J367" i="58"/>
  <c r="J488" i="18"/>
  <c r="F488" i="18"/>
  <c r="I451" i="18"/>
  <c r="H451" i="18"/>
  <c r="J376" i="58"/>
  <c r="J377" i="58"/>
  <c r="J375" i="58"/>
  <c r="I292" i="41"/>
  <c r="E28" i="17"/>
  <c r="F368" i="18"/>
  <c r="J368" i="18"/>
  <c r="I376" i="41"/>
  <c r="I165" i="18"/>
  <c r="H165" i="18"/>
  <c r="H164" i="18"/>
  <c r="I164" i="18"/>
  <c r="J401" i="37"/>
  <c r="J401" i="41" s="1"/>
  <c r="J399" i="37"/>
  <c r="J399" i="41" s="1"/>
  <c r="J400" i="37"/>
  <c r="J400" i="41" s="1"/>
  <c r="I412" i="41"/>
  <c r="I393" i="41"/>
  <c r="I301" i="41"/>
  <c r="F369" i="18"/>
  <c r="J369" i="18"/>
  <c r="F238" i="18"/>
  <c r="J238" i="18"/>
  <c r="F192" i="18"/>
  <c r="J192" i="18"/>
  <c r="I309" i="41"/>
  <c r="J481" i="18"/>
  <c r="F481" i="18"/>
  <c r="J413" i="18"/>
  <c r="F413" i="18"/>
  <c r="I505" i="18"/>
  <c r="H505" i="18"/>
  <c r="J246" i="58"/>
  <c r="J248" i="58"/>
  <c r="J245" i="58"/>
  <c r="J247" i="58"/>
  <c r="I462" i="18"/>
  <c r="H462" i="18"/>
  <c r="J234" i="58"/>
  <c r="J233" i="58"/>
  <c r="J235" i="58"/>
  <c r="J236" i="58"/>
  <c r="I293" i="41"/>
  <c r="I375" i="41"/>
  <c r="H158" i="18"/>
  <c r="I158" i="18"/>
  <c r="J203" i="37"/>
  <c r="J203" i="41" s="1"/>
  <c r="J201" i="37"/>
  <c r="J201" i="41" s="1"/>
  <c r="J202" i="37"/>
  <c r="J202" i="41" s="1"/>
  <c r="F379" i="18"/>
  <c r="J379" i="18"/>
  <c r="F377" i="18"/>
  <c r="J377" i="18"/>
  <c r="I395" i="41"/>
  <c r="I300" i="41"/>
  <c r="H248" i="18"/>
  <c r="I248" i="18"/>
  <c r="H203" i="18"/>
  <c r="I203" i="18"/>
  <c r="I198" i="18"/>
  <c r="H198" i="18"/>
  <c r="J412" i="37"/>
  <c r="J413" i="37"/>
  <c r="J411" i="37"/>
  <c r="I310" i="41"/>
  <c r="I493" i="18"/>
  <c r="H493" i="18"/>
  <c r="J180" i="58"/>
  <c r="J182" i="58"/>
  <c r="J181" i="58"/>
  <c r="F417" i="18"/>
  <c r="J417" i="18"/>
  <c r="I453" i="18"/>
  <c r="H453" i="18"/>
  <c r="I460" i="18"/>
  <c r="H460" i="18"/>
  <c r="J213" i="58"/>
  <c r="J214" i="58"/>
  <c r="J215" i="58"/>
  <c r="F197" i="18"/>
  <c r="J197" i="18"/>
  <c r="J479" i="18"/>
  <c r="F479" i="18"/>
  <c r="I166" i="18"/>
  <c r="H166" i="18"/>
  <c r="J361" i="37"/>
  <c r="J361" i="41" s="1"/>
  <c r="J363" i="37"/>
  <c r="J363" i="41" s="1"/>
  <c r="J364" i="37"/>
  <c r="J364" i="41" s="1"/>
  <c r="J362" i="37"/>
  <c r="J362" i="41" s="1"/>
  <c r="J177" i="37"/>
  <c r="J177" i="41" s="1"/>
  <c r="J179" i="37"/>
  <c r="J179" i="41" s="1"/>
  <c r="J186" i="37"/>
  <c r="J188" i="37"/>
  <c r="J187" i="37"/>
  <c r="J187" i="41" s="1"/>
  <c r="J178" i="37"/>
  <c r="J178" i="41" s="1"/>
  <c r="H66" i="35" a="1"/>
  <c r="H66" i="35" s="1"/>
  <c r="H59" i="35" a="1"/>
  <c r="H59" i="35" s="1"/>
  <c r="H65" i="35" a="1"/>
  <c r="H65" i="35" s="1"/>
  <c r="H72" i="35" a="1"/>
  <c r="H72" i="35" s="1"/>
  <c r="H71" i="35" a="1"/>
  <c r="H71" i="35" s="1"/>
  <c r="H60" i="35" a="1"/>
  <c r="H60" i="35" s="1"/>
  <c r="H64" i="35" a="1"/>
  <c r="H64" i="35" s="1"/>
  <c r="H61" i="35" a="1"/>
  <c r="H61" i="35" s="1"/>
  <c r="H69" i="35" a="1"/>
  <c r="H69" i="35" s="1"/>
  <c r="H67" i="35" a="1"/>
  <c r="H67" i="35" s="1"/>
  <c r="H62" i="35" a="1"/>
  <c r="H62" i="35" s="1"/>
  <c r="H68" i="35" a="1"/>
  <c r="H68" i="35" s="1"/>
  <c r="H70" i="35" a="1"/>
  <c r="H70" i="35" s="1"/>
  <c r="H63" i="35" a="1"/>
  <c r="H63" i="35" s="1"/>
  <c r="G147" i="18" a="1"/>
  <c r="G147" i="18" s="1"/>
  <c r="G143" i="18" a="1"/>
  <c r="G143" i="18" s="1"/>
  <c r="G153" i="18" a="1"/>
  <c r="G153" i="18" s="1"/>
  <c r="G149" i="18" a="1"/>
  <c r="G149" i="18" s="1"/>
  <c r="G152" i="18" a="1"/>
  <c r="G152" i="18" s="1"/>
  <c r="G144" i="18" a="1"/>
  <c r="G144" i="18" s="1"/>
  <c r="G145" i="18" a="1"/>
  <c r="G145" i="18" s="1"/>
  <c r="G148" i="18" a="1"/>
  <c r="G148" i="18" s="1"/>
  <c r="G150" i="18" a="1"/>
  <c r="G150" i="18" s="1"/>
  <c r="G154" i="18" a="1"/>
  <c r="G154" i="18" s="1"/>
  <c r="G151" i="18" a="1"/>
  <c r="G151" i="18" s="1"/>
  <c r="P20" i="20"/>
  <c r="G146" i="18" a="1"/>
  <c r="G146" i="18" s="1"/>
  <c r="G142" i="18" a="1"/>
  <c r="G142" i="18" s="1"/>
  <c r="G155" i="18" a="1"/>
  <c r="G155" i="18" s="1"/>
  <c r="F191" i="18"/>
  <c r="J191" i="18"/>
  <c r="I205" i="41"/>
  <c r="I394" i="41"/>
  <c r="I302" i="41"/>
  <c r="F235" i="18"/>
  <c r="J235" i="18"/>
  <c r="J254" i="37"/>
  <c r="J254" i="41" s="1"/>
  <c r="J253" i="37"/>
  <c r="J253" i="41" s="1"/>
  <c r="J252" i="37"/>
  <c r="H241" i="18"/>
  <c r="I241" i="18"/>
  <c r="J302" i="37"/>
  <c r="J300" i="37"/>
  <c r="J301" i="37"/>
  <c r="H122" i="18"/>
  <c r="I122" i="18"/>
  <c r="J146" i="37"/>
  <c r="J145" i="37"/>
  <c r="J147" i="37"/>
  <c r="J148" i="37"/>
  <c r="I253" i="18"/>
  <c r="H253" i="18"/>
  <c r="I250" i="18"/>
  <c r="H250" i="18"/>
  <c r="J264" i="37"/>
  <c r="J266" i="37"/>
  <c r="J265" i="37"/>
  <c r="H114" i="18"/>
  <c r="I114" i="18"/>
  <c r="J308" i="37"/>
  <c r="J308" i="41" s="1"/>
  <c r="J307" i="37"/>
  <c r="J307" i="41" s="1"/>
  <c r="J306" i="37"/>
  <c r="I202" i="18"/>
  <c r="H202" i="18"/>
  <c r="I205" i="18"/>
  <c r="H205" i="18"/>
  <c r="J356" i="37"/>
  <c r="J354" i="37"/>
  <c r="J353" i="37"/>
  <c r="J355" i="37"/>
  <c r="I311" i="41"/>
  <c r="J226" i="18"/>
  <c r="F226" i="18"/>
  <c r="I150" i="41"/>
  <c r="I502" i="18"/>
  <c r="H502" i="18"/>
  <c r="J341" i="58"/>
  <c r="J343" i="58"/>
  <c r="J344" i="58"/>
  <c r="J342" i="58"/>
  <c r="F436" i="18"/>
  <c r="J436" i="18"/>
  <c r="I463" i="18"/>
  <c r="H463" i="18"/>
  <c r="J196" i="58"/>
  <c r="J195" i="58"/>
  <c r="J197" i="58"/>
  <c r="J353" i="58"/>
  <c r="J356" i="58"/>
  <c r="J354" i="58"/>
  <c r="J355" i="58"/>
  <c r="F189" i="18"/>
  <c r="J189" i="18"/>
  <c r="I169" i="18"/>
  <c r="H169" i="18"/>
  <c r="J298" i="37"/>
  <c r="J298" i="41" s="1"/>
  <c r="J299" i="37"/>
  <c r="J299" i="41" s="1"/>
  <c r="J297" i="37"/>
  <c r="J297" i="41" s="1"/>
  <c r="J338" i="37"/>
  <c r="J338" i="41" s="1"/>
  <c r="J337" i="37"/>
  <c r="J337" i="41" s="1"/>
  <c r="J339" i="37"/>
  <c r="J339" i="41" s="1"/>
  <c r="J340" i="37"/>
  <c r="J340" i="41" s="1"/>
  <c r="N10" i="9"/>
  <c r="D24" i="17"/>
  <c r="D28" i="17" s="1"/>
  <c r="D26" i="17"/>
  <c r="U6" i="9"/>
  <c r="I206" i="41"/>
  <c r="H247" i="18"/>
  <c r="I247" i="18"/>
  <c r="J182" i="37"/>
  <c r="J181" i="37"/>
  <c r="J180" i="37"/>
  <c r="J437" i="18"/>
  <c r="F437" i="18"/>
  <c r="I244" i="18"/>
  <c r="H244" i="18"/>
  <c r="H252" i="18"/>
  <c r="I252" i="18"/>
  <c r="J282" i="37"/>
  <c r="J283" i="37"/>
  <c r="J284" i="37"/>
  <c r="J247" i="37"/>
  <c r="J248" i="37"/>
  <c r="J246" i="37"/>
  <c r="J245" i="37"/>
  <c r="J421" i="18"/>
  <c r="F421" i="18"/>
  <c r="I116" i="18"/>
  <c r="H116" i="18"/>
  <c r="J271" i="37"/>
  <c r="J271" i="41" s="1"/>
  <c r="J270" i="37"/>
  <c r="J272" i="37"/>
  <c r="J272" i="41" s="1"/>
  <c r="J233" i="18"/>
  <c r="F233" i="18"/>
  <c r="I201" i="18"/>
  <c r="H201" i="18"/>
  <c r="J215" i="37"/>
  <c r="J213" i="37"/>
  <c r="J213" i="41" s="1"/>
  <c r="J214" i="37"/>
  <c r="J214" i="41" s="1"/>
  <c r="F482" i="18"/>
  <c r="J482" i="18"/>
  <c r="I149" i="41"/>
  <c r="F445" i="18"/>
  <c r="J445" i="18"/>
  <c r="J193" i="18"/>
  <c r="F193" i="18"/>
  <c r="F234" i="18"/>
  <c r="J234" i="18"/>
  <c r="F485" i="18"/>
  <c r="J485" i="18"/>
  <c r="I499" i="18"/>
  <c r="H499" i="18"/>
  <c r="J264" i="58"/>
  <c r="J266" i="58"/>
  <c r="J265" i="58"/>
  <c r="I196" i="41"/>
  <c r="H459" i="18"/>
  <c r="I459" i="18"/>
  <c r="J255" i="58"/>
  <c r="J257" i="58"/>
  <c r="J256" i="58"/>
  <c r="J329" i="58"/>
  <c r="J332" i="58"/>
  <c r="J331" i="58"/>
  <c r="J330" i="58"/>
  <c r="H146" i="35" a="1"/>
  <c r="H146" i="35" s="1"/>
  <c r="H150" i="35" a="1"/>
  <c r="H150" i="35" s="1"/>
  <c r="H144" i="35" a="1"/>
  <c r="H144" i="35" s="1"/>
  <c r="H153" i="35" a="1"/>
  <c r="H153" i="35" s="1"/>
  <c r="H143" i="35" a="1"/>
  <c r="H143" i="35" s="1"/>
  <c r="H145" i="35" a="1"/>
  <c r="H145" i="35" s="1"/>
  <c r="H156" i="35" a="1"/>
  <c r="H156" i="35" s="1"/>
  <c r="H148" i="35" a="1"/>
  <c r="H148" i="35" s="1"/>
  <c r="H155" i="35" a="1"/>
  <c r="H155" i="35" s="1"/>
  <c r="G403" i="18" a="1"/>
  <c r="G403" i="18" s="1"/>
  <c r="H151" i="35" a="1"/>
  <c r="H151" i="35" s="1"/>
  <c r="H147" i="35" a="1"/>
  <c r="H147" i="35" s="1"/>
  <c r="H152" i="35" a="1"/>
  <c r="H152" i="35" s="1"/>
  <c r="H149" i="35" a="1"/>
  <c r="H149" i="35" s="1"/>
  <c r="G395" i="18" a="1"/>
  <c r="G395" i="18" s="1"/>
  <c r="P47" i="20"/>
  <c r="G406" i="18" a="1"/>
  <c r="G406" i="18" s="1"/>
  <c r="G405" i="18" a="1"/>
  <c r="G405" i="18" s="1"/>
  <c r="G407" i="18" a="1"/>
  <c r="G407" i="18" s="1"/>
  <c r="G398" i="18" a="1"/>
  <c r="G398" i="18" s="1"/>
  <c r="G394" i="18" a="1"/>
  <c r="G394" i="18" s="1"/>
  <c r="G404" i="18" a="1"/>
  <c r="G404" i="18" s="1"/>
  <c r="G401" i="18" a="1"/>
  <c r="G401" i="18" s="1"/>
  <c r="H154" i="35" a="1"/>
  <c r="H154" i="35" s="1"/>
  <c r="G396" i="18" a="1"/>
  <c r="G396" i="18" s="1"/>
  <c r="G400" i="18" a="1"/>
  <c r="G400" i="18" s="1"/>
  <c r="G397" i="18" a="1"/>
  <c r="G397" i="18" s="1"/>
  <c r="G402" i="18" a="1"/>
  <c r="G402" i="18" s="1"/>
  <c r="G399" i="18" a="1"/>
  <c r="G399" i="18" s="1"/>
  <c r="F187" i="18"/>
  <c r="J187" i="18"/>
  <c r="H157" i="18"/>
  <c r="I157" i="18"/>
  <c r="J419" i="37"/>
  <c r="J419" i="41" s="1"/>
  <c r="J417" i="37"/>
  <c r="J417" i="41" s="1"/>
  <c r="J418" i="37"/>
  <c r="J418" i="41" s="1"/>
  <c r="J374" i="18"/>
  <c r="F374" i="18"/>
  <c r="H20" i="35" a="1"/>
  <c r="H20" i="35" s="1"/>
  <c r="H29" i="35" a="1"/>
  <c r="H29" i="35" s="1"/>
  <c r="H26" i="35" a="1"/>
  <c r="H26" i="35" s="1"/>
  <c r="H28" i="35" a="1"/>
  <c r="H28" i="35" s="1"/>
  <c r="H17" i="35" a="1"/>
  <c r="H17" i="35" s="1"/>
  <c r="H19" i="35" a="1"/>
  <c r="H19" i="35" s="1"/>
  <c r="H30" i="35" a="1"/>
  <c r="H30" i="35" s="1"/>
  <c r="H24" i="35" a="1"/>
  <c r="H24" i="35" s="1"/>
  <c r="H23" i="35" a="1"/>
  <c r="H23" i="35" s="1"/>
  <c r="H22" i="35" a="1"/>
  <c r="H22" i="35" s="1"/>
  <c r="H27" i="35" a="1"/>
  <c r="H27" i="35" s="1"/>
  <c r="H25" i="35" a="1"/>
  <c r="H25" i="35" s="1"/>
  <c r="H18" i="35" a="1"/>
  <c r="H18" i="35" s="1"/>
  <c r="H21" i="35" a="1"/>
  <c r="H21" i="35" s="1"/>
  <c r="G113" i="18" a="1"/>
  <c r="G113" i="18" s="1"/>
  <c r="G107" i="18" a="1"/>
  <c r="G107" i="18" s="1"/>
  <c r="G109" i="18" a="1"/>
  <c r="G109" i="18" s="1"/>
  <c r="G20" i="20"/>
  <c r="G104" i="18" a="1"/>
  <c r="G104" i="18" s="1"/>
  <c r="G111" i="18" a="1"/>
  <c r="G111" i="18" s="1"/>
  <c r="G108" i="18" a="1"/>
  <c r="G108" i="18" s="1"/>
  <c r="G110" i="18" a="1"/>
  <c r="G110" i="18" s="1"/>
  <c r="G103" i="18" a="1"/>
  <c r="G103" i="18" s="1"/>
  <c r="G106" i="18" a="1"/>
  <c r="G106" i="18" s="1"/>
  <c r="G102" i="18" a="1"/>
  <c r="G102" i="18" s="1"/>
  <c r="G112" i="18" a="1"/>
  <c r="G112" i="18" s="1"/>
  <c r="G101" i="18" a="1"/>
  <c r="G101" i="18" s="1"/>
  <c r="G100" i="18" a="1"/>
  <c r="G100" i="18" s="1"/>
  <c r="G105" i="18" a="1"/>
  <c r="G105" i="18" s="1"/>
  <c r="I204" i="41"/>
  <c r="F484" i="18"/>
  <c r="J484" i="18"/>
  <c r="J438" i="18"/>
  <c r="F438" i="18"/>
  <c r="J232" i="18"/>
  <c r="F232" i="18"/>
  <c r="J344" i="37"/>
  <c r="J341" i="37"/>
  <c r="J343" i="37"/>
  <c r="J342" i="37"/>
  <c r="I243" i="18"/>
  <c r="H243" i="18"/>
  <c r="I121" i="18"/>
  <c r="H121" i="18"/>
  <c r="J487" i="18"/>
  <c r="F487" i="18"/>
  <c r="J152" i="37"/>
  <c r="J149" i="37"/>
  <c r="J151" i="37"/>
  <c r="J150" i="37"/>
  <c r="H240" i="18"/>
  <c r="I240" i="18"/>
  <c r="J223" i="37"/>
  <c r="J224" i="37"/>
  <c r="J222" i="37"/>
  <c r="J384" i="37"/>
  <c r="J384" i="41" s="1"/>
  <c r="J385" i="37"/>
  <c r="J386" i="37"/>
  <c r="J188" i="18"/>
  <c r="F188" i="18"/>
  <c r="F236" i="18"/>
  <c r="J236" i="18"/>
  <c r="F414" i="18"/>
  <c r="J414" i="18"/>
  <c r="J439" i="18"/>
  <c r="F439" i="18"/>
  <c r="I120" i="18"/>
  <c r="H120" i="18"/>
  <c r="J352" i="37"/>
  <c r="J352" i="41" s="1"/>
  <c r="J351" i="37"/>
  <c r="J351" i="41" s="1"/>
  <c r="J349" i="37"/>
  <c r="J350" i="37"/>
  <c r="J350" i="41" s="1"/>
  <c r="I208" i="18"/>
  <c r="H208" i="18"/>
  <c r="I199" i="18"/>
  <c r="H199" i="18"/>
  <c r="J310" i="37"/>
  <c r="J310" i="41" s="1"/>
  <c r="J311" i="37"/>
  <c r="J309" i="37"/>
  <c r="J309" i="41" s="1"/>
  <c r="F185" i="18"/>
  <c r="J185" i="18"/>
  <c r="J371" i="18"/>
  <c r="F371" i="18"/>
  <c r="I152" i="41"/>
  <c r="C16" i="63"/>
  <c r="I181" i="41"/>
  <c r="I498" i="18"/>
  <c r="H498" i="18"/>
  <c r="J283" i="58"/>
  <c r="J284" i="58"/>
  <c r="J282" i="58"/>
  <c r="I197" i="41"/>
  <c r="H456" i="18"/>
  <c r="I456" i="18"/>
  <c r="J412" i="58"/>
  <c r="J413" i="58"/>
  <c r="J411" i="58"/>
  <c r="J152" i="58"/>
  <c r="J149" i="58"/>
  <c r="J151" i="58"/>
  <c r="J150" i="58"/>
  <c r="H101" i="35" a="1"/>
  <c r="H101" i="35" s="1"/>
  <c r="H103" i="35" a="1"/>
  <c r="H103" i="35" s="1"/>
  <c r="H104" i="35" a="1"/>
  <c r="H104" i="35" s="1"/>
  <c r="H110" i="35" a="1"/>
  <c r="H110" i="35" s="1"/>
  <c r="H113" i="35" a="1"/>
  <c r="H113" i="35" s="1"/>
  <c r="H108" i="35" a="1"/>
  <c r="H108" i="35" s="1"/>
  <c r="H107" i="35" a="1"/>
  <c r="H107" i="35" s="1"/>
  <c r="H112" i="35" a="1"/>
  <c r="H112" i="35" s="1"/>
  <c r="H106" i="35" a="1"/>
  <c r="H106" i="35" s="1"/>
  <c r="H109" i="35" a="1"/>
  <c r="H109" i="35" s="1"/>
  <c r="H114" i="35" a="1"/>
  <c r="H114" i="35" s="1"/>
  <c r="H111" i="35" a="1"/>
  <c r="H111" i="35" s="1"/>
  <c r="H102" i="35" a="1"/>
  <c r="H102" i="35" s="1"/>
  <c r="H105" i="35" a="1"/>
  <c r="H105" i="35" s="1"/>
  <c r="G352" i="18" a="1"/>
  <c r="G352" i="18" s="1"/>
  <c r="G357" i="18" a="1"/>
  <c r="G357" i="18" s="1"/>
  <c r="G365" i="18" a="1"/>
  <c r="G365" i="18" s="1"/>
  <c r="G359" i="18" a="1"/>
  <c r="G359" i="18" s="1"/>
  <c r="G356" i="18" a="1"/>
  <c r="G356" i="18" s="1"/>
  <c r="G364" i="18" a="1"/>
  <c r="G364" i="18" s="1"/>
  <c r="G360" i="18" a="1"/>
  <c r="G360" i="18" s="1"/>
  <c r="G354" i="18" a="1"/>
  <c r="G354" i="18" s="1"/>
  <c r="G361" i="18" a="1"/>
  <c r="G361" i="18" s="1"/>
  <c r="G355" i="18" a="1"/>
  <c r="G355" i="18" s="1"/>
  <c r="G47" i="20"/>
  <c r="G362" i="18" a="1"/>
  <c r="G362" i="18" s="1"/>
  <c r="G358" i="18" a="1"/>
  <c r="G358" i="18" s="1"/>
  <c r="G363" i="18" a="1"/>
  <c r="G363" i="18" s="1"/>
  <c r="G353" i="18" a="1"/>
  <c r="G353" i="18" s="1"/>
  <c r="J190" i="18"/>
  <c r="F190" i="18"/>
  <c r="I159" i="18"/>
  <c r="H159" i="18"/>
  <c r="J317" i="37"/>
  <c r="J317" i="41" s="1"/>
  <c r="J316" i="37"/>
  <c r="J316" i="41" s="1"/>
  <c r="J315" i="37"/>
  <c r="J315" i="41" s="1"/>
  <c r="J490" i="18"/>
  <c r="F490" i="18"/>
  <c r="J408" i="18"/>
  <c r="F408" i="18"/>
  <c r="F227" i="18"/>
  <c r="J227" i="18"/>
  <c r="F491" i="18"/>
  <c r="J491" i="18"/>
  <c r="I123" i="18"/>
  <c r="H123" i="18"/>
  <c r="I126" i="18"/>
  <c r="H126" i="18"/>
  <c r="J230" i="37"/>
  <c r="J230" i="41" s="1"/>
  <c r="J231" i="37"/>
  <c r="J231" i="41" s="1"/>
  <c r="J229" i="37"/>
  <c r="J232" i="37"/>
  <c r="J232" i="41" s="1"/>
  <c r="I209" i="18"/>
  <c r="H209" i="18"/>
  <c r="J273" i="37"/>
  <c r="J275" i="37"/>
  <c r="J275" i="41" s="1"/>
  <c r="J274" i="37"/>
  <c r="J393" i="37"/>
  <c r="J395" i="37"/>
  <c r="J394" i="37"/>
  <c r="I180" i="41"/>
  <c r="I495" i="18"/>
  <c r="H495" i="18"/>
  <c r="J164" i="58"/>
  <c r="J163" i="58"/>
  <c r="J161" i="58"/>
  <c r="J162" i="58"/>
  <c r="I195" i="41"/>
  <c r="I458" i="18"/>
  <c r="H458" i="18"/>
  <c r="I455" i="18"/>
  <c r="H455" i="18"/>
  <c r="H167" i="18"/>
  <c r="I167" i="18"/>
  <c r="J280" i="37"/>
  <c r="J280" i="41" s="1"/>
  <c r="J279" i="37"/>
  <c r="J279" i="41" s="1"/>
  <c r="J281" i="37"/>
  <c r="J281" i="41" s="1"/>
  <c r="J231" i="18"/>
  <c r="F231" i="18"/>
  <c r="J230" i="18"/>
  <c r="F230" i="18"/>
  <c r="I214" i="41"/>
  <c r="F447" i="18"/>
  <c r="J447" i="18"/>
  <c r="J184" i="41" l="1"/>
  <c r="J274" i="41"/>
  <c r="J224" i="41"/>
  <c r="D78" i="57"/>
  <c r="J223" i="41"/>
  <c r="G254" i="66"/>
  <c r="O254" i="66" s="1"/>
  <c r="D76" i="57"/>
  <c r="G255" i="66"/>
  <c r="AB255" i="66" s="1"/>
  <c r="AC255" i="66" s="1"/>
  <c r="J222" i="41"/>
  <c r="G265" i="66"/>
  <c r="J273" i="41"/>
  <c r="J301" i="41"/>
  <c r="J404" i="41"/>
  <c r="J420" i="41"/>
  <c r="G257" i="66"/>
  <c r="G264" i="66"/>
  <c r="J302" i="41"/>
  <c r="G270" i="66"/>
  <c r="D69" i="57"/>
  <c r="J341" i="41"/>
  <c r="J188" i="41"/>
  <c r="D68" i="57"/>
  <c r="J215" i="41"/>
  <c r="J318" i="41"/>
  <c r="J342" i="41"/>
  <c r="D74" i="57"/>
  <c r="J311" i="41"/>
  <c r="J386" i="41"/>
  <c r="J385" i="41"/>
  <c r="J180" i="41"/>
  <c r="G282" i="66"/>
  <c r="G275" i="66"/>
  <c r="J206" i="41"/>
  <c r="G245" i="66"/>
  <c r="J395" i="41"/>
  <c r="O3" i="58"/>
  <c r="G274" i="66"/>
  <c r="J300" i="41"/>
  <c r="J393" i="41"/>
  <c r="J245" i="41"/>
  <c r="J248" i="41"/>
  <c r="J402" i="41"/>
  <c r="D73" i="57"/>
  <c r="J343" i="41"/>
  <c r="J247" i="41"/>
  <c r="J186" i="41"/>
  <c r="J422" i="41"/>
  <c r="J394" i="41"/>
  <c r="D71" i="57"/>
  <c r="D70" i="57"/>
  <c r="J356" i="41"/>
  <c r="J264" i="41"/>
  <c r="J319" i="41"/>
  <c r="J246" i="41"/>
  <c r="J181" i="41"/>
  <c r="J182" i="41"/>
  <c r="I372" i="58"/>
  <c r="I373" i="58"/>
  <c r="I374" i="58"/>
  <c r="H111" i="18"/>
  <c r="I111" i="18"/>
  <c r="I308" i="37"/>
  <c r="I306" i="37"/>
  <c r="I307" i="37"/>
  <c r="I404" i="18"/>
  <c r="H404" i="18"/>
  <c r="H403" i="18"/>
  <c r="I403" i="18"/>
  <c r="J499" i="18"/>
  <c r="F499" i="18"/>
  <c r="F244" i="18"/>
  <c r="J244" i="18"/>
  <c r="I152" i="18"/>
  <c r="H152" i="18"/>
  <c r="I201" i="37"/>
  <c r="I202" i="37"/>
  <c r="I203" i="37"/>
  <c r="F493" i="18"/>
  <c r="J493" i="18"/>
  <c r="F451" i="18"/>
  <c r="J451" i="18"/>
  <c r="J115" i="18"/>
  <c r="F115" i="18"/>
  <c r="G259" i="66"/>
  <c r="G113" i="66"/>
  <c r="G113" i="74" s="1"/>
  <c r="J210" i="41"/>
  <c r="D31" i="57"/>
  <c r="F242" i="18"/>
  <c r="J242" i="18"/>
  <c r="J494" i="58"/>
  <c r="J233" i="41"/>
  <c r="I354" i="18"/>
  <c r="H354" i="18"/>
  <c r="I270" i="58"/>
  <c r="I272" i="58"/>
  <c r="I271" i="58"/>
  <c r="J120" i="18"/>
  <c r="F120" i="18"/>
  <c r="J121" i="18"/>
  <c r="F121" i="18"/>
  <c r="H104" i="18"/>
  <c r="I104" i="18"/>
  <c r="I409" i="37"/>
  <c r="I410" i="37"/>
  <c r="I408" i="37"/>
  <c r="F157" i="18"/>
  <c r="J157" i="18"/>
  <c r="H394" i="18"/>
  <c r="I394" i="18"/>
  <c r="I401" i="58"/>
  <c r="I399" i="58"/>
  <c r="I400" i="58"/>
  <c r="H149" i="18"/>
  <c r="I149" i="18"/>
  <c r="I242" i="37"/>
  <c r="I244" i="37"/>
  <c r="I241" i="37"/>
  <c r="I243" i="37"/>
  <c r="F505" i="18"/>
  <c r="J505" i="18"/>
  <c r="J329" i="41"/>
  <c r="F501" i="18"/>
  <c r="J501" i="18"/>
  <c r="F249" i="18"/>
  <c r="J249" i="18"/>
  <c r="J162" i="41"/>
  <c r="F200" i="18"/>
  <c r="J200" i="18"/>
  <c r="I361" i="18"/>
  <c r="H361" i="18"/>
  <c r="I409" i="58"/>
  <c r="I410" i="58"/>
  <c r="I408" i="58"/>
  <c r="J167" i="18"/>
  <c r="F167" i="18"/>
  <c r="J495" i="18"/>
  <c r="F495" i="18"/>
  <c r="I360" i="18"/>
  <c r="H360" i="18"/>
  <c r="I192" i="58"/>
  <c r="I193" i="58"/>
  <c r="I194" i="58"/>
  <c r="C56" i="63"/>
  <c r="I328" i="37"/>
  <c r="I327" i="37"/>
  <c r="I325" i="37"/>
  <c r="I326" i="37"/>
  <c r="H398" i="18"/>
  <c r="I398" i="18"/>
  <c r="I202" i="58"/>
  <c r="I201" i="58"/>
  <c r="I203" i="58"/>
  <c r="F205" i="18"/>
  <c r="J205" i="18"/>
  <c r="J250" i="18"/>
  <c r="F250" i="18"/>
  <c r="F241" i="18"/>
  <c r="J241" i="18"/>
  <c r="I155" i="18"/>
  <c r="H155" i="18"/>
  <c r="H153" i="18"/>
  <c r="I153" i="18"/>
  <c r="I400" i="37"/>
  <c r="I399" i="37"/>
  <c r="I401" i="37"/>
  <c r="J411" i="41"/>
  <c r="J165" i="18"/>
  <c r="F165" i="18"/>
  <c r="J332" i="41"/>
  <c r="D79" i="57"/>
  <c r="J163" i="41"/>
  <c r="J498" i="18"/>
  <c r="F498" i="18"/>
  <c r="J199" i="18"/>
  <c r="F199" i="18"/>
  <c r="F243" i="18"/>
  <c r="J243" i="18"/>
  <c r="I105" i="18"/>
  <c r="H105" i="18"/>
  <c r="H109" i="18"/>
  <c r="I109" i="18"/>
  <c r="I148" i="37"/>
  <c r="I145" i="37"/>
  <c r="I146" i="37"/>
  <c r="I147" i="37"/>
  <c r="H407" i="18"/>
  <c r="I407" i="18"/>
  <c r="I418" i="58"/>
  <c r="I419" i="58"/>
  <c r="I417" i="58"/>
  <c r="I142" i="18"/>
  <c r="H142" i="18"/>
  <c r="I143" i="18"/>
  <c r="H143" i="18"/>
  <c r="I418" i="37"/>
  <c r="I417" i="37"/>
  <c r="I419" i="37"/>
  <c r="F460" i="18"/>
  <c r="J460" i="18"/>
  <c r="J413" i="41"/>
  <c r="J330" i="41"/>
  <c r="J162" i="18"/>
  <c r="F162" i="18"/>
  <c r="J494" i="18"/>
  <c r="F494" i="18"/>
  <c r="E34" i="53"/>
  <c r="F34" i="53" s="1"/>
  <c r="G130" i="66"/>
  <c r="J288" i="41"/>
  <c r="D37" i="57"/>
  <c r="J161" i="41"/>
  <c r="G120" i="66"/>
  <c r="J372" i="41"/>
  <c r="D39" i="57"/>
  <c r="H356" i="18"/>
  <c r="I356" i="18"/>
  <c r="I100" i="18"/>
  <c r="H100" i="18"/>
  <c r="I107" i="18"/>
  <c r="H107" i="18"/>
  <c r="I373" i="37"/>
  <c r="I372" i="37"/>
  <c r="I374" i="37"/>
  <c r="I405" i="18"/>
  <c r="H405" i="18"/>
  <c r="I339" i="58"/>
  <c r="I338" i="58"/>
  <c r="I340" i="58"/>
  <c r="I337" i="58"/>
  <c r="J201" i="18"/>
  <c r="F201" i="18"/>
  <c r="F502" i="18"/>
  <c r="J502" i="18"/>
  <c r="J202" i="18"/>
  <c r="F202" i="18"/>
  <c r="J253" i="18"/>
  <c r="F253" i="18"/>
  <c r="G138" i="66"/>
  <c r="J252" i="41"/>
  <c r="O3" i="37"/>
  <c r="D34" i="57"/>
  <c r="I146" i="18"/>
  <c r="H146" i="18"/>
  <c r="I147" i="18"/>
  <c r="H147" i="18"/>
  <c r="I263" i="37"/>
  <c r="I261" i="37"/>
  <c r="I262" i="37"/>
  <c r="J412" i="41"/>
  <c r="J331" i="41"/>
  <c r="J457" i="18"/>
  <c r="F457" i="18"/>
  <c r="J197" i="41"/>
  <c r="G135" i="66"/>
  <c r="J494" i="37"/>
  <c r="J493" i="37"/>
  <c r="J325" i="41"/>
  <c r="D30" i="57"/>
  <c r="E394" i="38"/>
  <c r="G115" i="66"/>
  <c r="J168" i="41"/>
  <c r="D32" i="57"/>
  <c r="D72" i="57"/>
  <c r="F450" i="18"/>
  <c r="J450" i="18"/>
  <c r="J164" i="41"/>
  <c r="J461" i="18"/>
  <c r="F461" i="18"/>
  <c r="J492" i="18"/>
  <c r="F492" i="18"/>
  <c r="I252" i="58"/>
  <c r="I254" i="58"/>
  <c r="I253" i="58"/>
  <c r="F240" i="18"/>
  <c r="J240" i="18"/>
  <c r="F208" i="18"/>
  <c r="J208" i="18"/>
  <c r="H101" i="18"/>
  <c r="I101" i="18"/>
  <c r="I113" i="18"/>
  <c r="H113" i="18"/>
  <c r="I290" i="37"/>
  <c r="I289" i="37"/>
  <c r="I288" i="37"/>
  <c r="H399" i="18"/>
  <c r="I399" i="18"/>
  <c r="H406" i="18"/>
  <c r="I406" i="18"/>
  <c r="I160" i="58"/>
  <c r="I159" i="58"/>
  <c r="I157" i="58"/>
  <c r="I158" i="58"/>
  <c r="F459" i="18"/>
  <c r="J459" i="18"/>
  <c r="G126" i="66"/>
  <c r="D35" i="57"/>
  <c r="J306" i="41"/>
  <c r="M50" i="39" s="1"/>
  <c r="E182" i="38" s="1"/>
  <c r="J148" i="41"/>
  <c r="C25" i="63"/>
  <c r="I179" i="37"/>
  <c r="I188" i="37"/>
  <c r="I187" i="37"/>
  <c r="I177" i="37"/>
  <c r="I186" i="37"/>
  <c r="I178" i="37"/>
  <c r="I160" i="37"/>
  <c r="I157" i="37"/>
  <c r="I158" i="37"/>
  <c r="I159" i="37"/>
  <c r="J453" i="18"/>
  <c r="F453" i="18"/>
  <c r="J462" i="18"/>
  <c r="F462" i="18"/>
  <c r="F207" i="18"/>
  <c r="J207" i="18"/>
  <c r="J196" i="41"/>
  <c r="J204" i="41"/>
  <c r="F454" i="18"/>
  <c r="J454" i="18"/>
  <c r="J255" i="41"/>
  <c r="F251" i="18"/>
  <c r="J251" i="18"/>
  <c r="H364" i="18"/>
  <c r="I364" i="18"/>
  <c r="J150" i="41"/>
  <c r="H112" i="18"/>
  <c r="I112" i="18"/>
  <c r="I185" i="37"/>
  <c r="I169" i="37"/>
  <c r="I183" i="37"/>
  <c r="I170" i="37"/>
  <c r="I168" i="37"/>
  <c r="I184" i="37"/>
  <c r="I391" i="37"/>
  <c r="I390" i="37"/>
  <c r="I392" i="37"/>
  <c r="H402" i="18"/>
  <c r="I402" i="18"/>
  <c r="I363" i="58"/>
  <c r="I361" i="58"/>
  <c r="I364" i="58"/>
  <c r="I362" i="58"/>
  <c r="J284" i="41"/>
  <c r="J247" i="18"/>
  <c r="F247" i="18"/>
  <c r="J147" i="41"/>
  <c r="H151" i="18"/>
  <c r="I151" i="18"/>
  <c r="I381" i="37"/>
  <c r="I383" i="37"/>
  <c r="I382" i="37"/>
  <c r="I315" i="37"/>
  <c r="I317" i="37"/>
  <c r="I316" i="37"/>
  <c r="F166" i="18"/>
  <c r="J166" i="18"/>
  <c r="F198" i="18"/>
  <c r="J198" i="18"/>
  <c r="D77" i="57"/>
  <c r="J195" i="41"/>
  <c r="J205" i="41"/>
  <c r="D75" i="57"/>
  <c r="F160" i="18"/>
  <c r="J160" i="18"/>
  <c r="J256" i="41"/>
  <c r="J185" i="41"/>
  <c r="O7" i="41" s="1"/>
  <c r="C24" i="63"/>
  <c r="J118" i="18"/>
  <c r="F118" i="18"/>
  <c r="F168" i="18"/>
  <c r="J168" i="18"/>
  <c r="J376" i="41"/>
  <c r="J117" i="18"/>
  <c r="F117" i="18"/>
  <c r="I359" i="18"/>
  <c r="H359" i="18"/>
  <c r="I353" i="18"/>
  <c r="H353" i="18"/>
  <c r="I365" i="18"/>
  <c r="H365" i="18"/>
  <c r="I390" i="58"/>
  <c r="I391" i="58"/>
  <c r="I392" i="58"/>
  <c r="J456" i="18"/>
  <c r="F456" i="18"/>
  <c r="J458" i="18"/>
  <c r="F458" i="18"/>
  <c r="I363" i="18"/>
  <c r="H363" i="18"/>
  <c r="I357" i="18"/>
  <c r="H357" i="18"/>
  <c r="I289" i="58"/>
  <c r="I288" i="58"/>
  <c r="I290" i="58"/>
  <c r="J151" i="41"/>
  <c r="J344" i="41"/>
  <c r="I102" i="18"/>
  <c r="H102" i="18"/>
  <c r="I230" i="37"/>
  <c r="I232" i="37"/>
  <c r="I229" i="37"/>
  <c r="I231" i="37"/>
  <c r="I211" i="37"/>
  <c r="I212" i="37"/>
  <c r="I210" i="37"/>
  <c r="I397" i="18"/>
  <c r="H397" i="18"/>
  <c r="I395" i="18"/>
  <c r="H395" i="18"/>
  <c r="I244" i="58"/>
  <c r="I243" i="58"/>
  <c r="I241" i="58"/>
  <c r="I242" i="58"/>
  <c r="J283" i="41"/>
  <c r="G122" i="66"/>
  <c r="D28" i="57"/>
  <c r="J145" i="41"/>
  <c r="H154" i="18"/>
  <c r="I154" i="18"/>
  <c r="I299" i="37"/>
  <c r="I298" i="37"/>
  <c r="I297" i="37"/>
  <c r="J203" i="18"/>
  <c r="F203" i="18"/>
  <c r="F496" i="18"/>
  <c r="J496" i="18"/>
  <c r="J320" i="41"/>
  <c r="F156" i="18"/>
  <c r="J156" i="18"/>
  <c r="J211" i="18"/>
  <c r="F211" i="18"/>
  <c r="F245" i="18"/>
  <c r="J245" i="18"/>
  <c r="J173" i="41"/>
  <c r="J257" i="41"/>
  <c r="F125" i="18"/>
  <c r="J125" i="18"/>
  <c r="J291" i="41"/>
  <c r="J377" i="41"/>
  <c r="F159" i="18"/>
  <c r="J159" i="18"/>
  <c r="I358" i="18"/>
  <c r="H358" i="18"/>
  <c r="I352" i="18"/>
  <c r="H352" i="18"/>
  <c r="I212" i="58"/>
  <c r="I211" i="58"/>
  <c r="I210" i="58"/>
  <c r="J149" i="41"/>
  <c r="I106" i="18"/>
  <c r="H106" i="18"/>
  <c r="I270" i="37"/>
  <c r="I271" i="37"/>
  <c r="I271" i="41" s="1"/>
  <c r="I272" i="37"/>
  <c r="H400" i="18"/>
  <c r="I400" i="18"/>
  <c r="I261" i="58"/>
  <c r="I262" i="58"/>
  <c r="I263" i="58"/>
  <c r="I316" i="58"/>
  <c r="I317" i="58"/>
  <c r="I315" i="58"/>
  <c r="G111" i="66"/>
  <c r="G111" i="74" s="1"/>
  <c r="J270" i="41"/>
  <c r="D36" i="57"/>
  <c r="J282" i="41"/>
  <c r="J463" i="18"/>
  <c r="F463" i="18"/>
  <c r="F114" i="18"/>
  <c r="J114" i="18"/>
  <c r="E26" i="53"/>
  <c r="G116" i="66"/>
  <c r="J146" i="41"/>
  <c r="I150" i="18"/>
  <c r="H150" i="18"/>
  <c r="I221" i="37"/>
  <c r="I219" i="37"/>
  <c r="I220" i="37"/>
  <c r="F158" i="18"/>
  <c r="J158" i="18"/>
  <c r="J192" i="41"/>
  <c r="D33" i="57"/>
  <c r="G121" i="66"/>
  <c r="G121" i="74" s="1"/>
  <c r="D67" i="57"/>
  <c r="J171" i="41"/>
  <c r="J119" i="18"/>
  <c r="F119" i="18"/>
  <c r="J292" i="41"/>
  <c r="F127" i="18"/>
  <c r="J127" i="18"/>
  <c r="J493" i="58"/>
  <c r="J375" i="41"/>
  <c r="J368" i="41"/>
  <c r="G101" i="66"/>
  <c r="D29" i="57"/>
  <c r="J229" i="41"/>
  <c r="I306" i="58"/>
  <c r="I307" i="58"/>
  <c r="I308" i="58"/>
  <c r="J152" i="41"/>
  <c r="C26" i="63"/>
  <c r="H103" i="18"/>
  <c r="I103" i="18"/>
  <c r="I352" i="37"/>
  <c r="I350" i="37"/>
  <c r="I351" i="37"/>
  <c r="I349" i="37"/>
  <c r="H396" i="18"/>
  <c r="I396" i="18"/>
  <c r="I299" i="58"/>
  <c r="I298" i="58"/>
  <c r="I297" i="58"/>
  <c r="I220" i="58"/>
  <c r="I219" i="58"/>
  <c r="I221" i="58"/>
  <c r="J252" i="18"/>
  <c r="F252" i="18"/>
  <c r="F169" i="18"/>
  <c r="J169" i="18"/>
  <c r="J355" i="41"/>
  <c r="F122" i="18"/>
  <c r="J122" i="18"/>
  <c r="H148" i="18"/>
  <c r="I148" i="18"/>
  <c r="I280" i="37"/>
  <c r="I281" i="37"/>
  <c r="I279" i="37"/>
  <c r="J248" i="18"/>
  <c r="F248" i="18"/>
  <c r="F497" i="18"/>
  <c r="J497" i="18"/>
  <c r="G266" i="66"/>
  <c r="J172" i="41"/>
  <c r="F504" i="18"/>
  <c r="J504" i="18"/>
  <c r="F206" i="18"/>
  <c r="J206" i="18"/>
  <c r="F500" i="18"/>
  <c r="J500" i="18"/>
  <c r="J293" i="41"/>
  <c r="E397" i="38"/>
  <c r="J234" i="41"/>
  <c r="J366" i="41"/>
  <c r="F209" i="18"/>
  <c r="J209" i="18"/>
  <c r="J455" i="18"/>
  <c r="F455" i="18"/>
  <c r="F126" i="18"/>
  <c r="J126" i="18"/>
  <c r="I362" i="18"/>
  <c r="H362" i="18"/>
  <c r="I168" i="58"/>
  <c r="I185" i="58"/>
  <c r="I170" i="58"/>
  <c r="I183" i="58"/>
  <c r="I169" i="58"/>
  <c r="I184" i="58"/>
  <c r="I328" i="58"/>
  <c r="I326" i="58"/>
  <c r="I325" i="58"/>
  <c r="I327" i="58"/>
  <c r="G110" i="66"/>
  <c r="G110" i="74" s="1"/>
  <c r="O110" i="74" s="1"/>
  <c r="D38" i="57"/>
  <c r="J349" i="41"/>
  <c r="I229" i="58"/>
  <c r="I232" i="58"/>
  <c r="I230" i="58"/>
  <c r="I231" i="58"/>
  <c r="I147" i="58"/>
  <c r="I146" i="58"/>
  <c r="I148" i="58"/>
  <c r="I145" i="58"/>
  <c r="I110" i="18"/>
  <c r="H110" i="18"/>
  <c r="I192" i="37"/>
  <c r="I193" i="37"/>
  <c r="I193" i="41" s="1"/>
  <c r="I194" i="37"/>
  <c r="I383" i="58"/>
  <c r="I381" i="58"/>
  <c r="I382" i="58"/>
  <c r="I188" i="58"/>
  <c r="I186" i="58"/>
  <c r="I179" i="58"/>
  <c r="I177" i="58"/>
  <c r="I187" i="58"/>
  <c r="I178" i="58"/>
  <c r="J353" i="41"/>
  <c r="J265" i="41"/>
  <c r="H145" i="18"/>
  <c r="I145" i="18"/>
  <c r="I362" i="37"/>
  <c r="I362" i="41" s="1"/>
  <c r="I363" i="37"/>
  <c r="I361" i="37"/>
  <c r="I364" i="37"/>
  <c r="F161" i="18"/>
  <c r="J161" i="18"/>
  <c r="F204" i="18"/>
  <c r="J204" i="18"/>
  <c r="J246" i="18"/>
  <c r="F246" i="18"/>
  <c r="F503" i="18"/>
  <c r="J503" i="18"/>
  <c r="G279" i="66"/>
  <c r="J235" i="41"/>
  <c r="J365" i="41"/>
  <c r="J123" i="18"/>
  <c r="F123" i="18"/>
  <c r="H355" i="18"/>
  <c r="I355" i="18"/>
  <c r="I350" i="58"/>
  <c r="I349" i="58"/>
  <c r="I351" i="58"/>
  <c r="I352" i="58"/>
  <c r="H108" i="18"/>
  <c r="I108" i="18"/>
  <c r="I252" i="37"/>
  <c r="I253" i="37"/>
  <c r="I254" i="37"/>
  <c r="H401" i="18"/>
  <c r="I401" i="18"/>
  <c r="I279" i="58"/>
  <c r="I281" i="58"/>
  <c r="I280" i="58"/>
  <c r="F116" i="18"/>
  <c r="J116" i="18"/>
  <c r="J354" i="41"/>
  <c r="J266" i="41"/>
  <c r="H144" i="18"/>
  <c r="I144" i="18"/>
  <c r="I337" i="37"/>
  <c r="I340" i="37"/>
  <c r="I339" i="37"/>
  <c r="I339" i="41" s="1"/>
  <c r="I338" i="37"/>
  <c r="F164" i="18"/>
  <c r="J164" i="18"/>
  <c r="F124" i="18"/>
  <c r="J124" i="18"/>
  <c r="G131" i="66"/>
  <c r="G131" i="74" s="1"/>
  <c r="D40" i="57"/>
  <c r="E28" i="53"/>
  <c r="F28" i="53" s="1"/>
  <c r="J390" i="41"/>
  <c r="J452" i="18"/>
  <c r="F452" i="18"/>
  <c r="J163" i="18"/>
  <c r="F163" i="18"/>
  <c r="J210" i="18"/>
  <c r="F210" i="18"/>
  <c r="J236" i="41"/>
  <c r="J367" i="41"/>
  <c r="G130" i="74" l="1"/>
  <c r="O130" i="74" s="1"/>
  <c r="AB254" i="66"/>
  <c r="AC254" i="66" s="1"/>
  <c r="I194" i="41"/>
  <c r="I338" i="41"/>
  <c r="I373" i="41"/>
  <c r="G101" i="74"/>
  <c r="O255" i="66"/>
  <c r="Z111" i="66" s="1"/>
  <c r="G115" i="74"/>
  <c r="O115" i="74" s="1"/>
  <c r="I337" i="41"/>
  <c r="I254" i="41"/>
  <c r="G138" i="74"/>
  <c r="G122" i="74"/>
  <c r="I364" i="41"/>
  <c r="G126" i="74"/>
  <c r="G135" i="74"/>
  <c r="G120" i="74"/>
  <c r="AC120" i="74" s="1"/>
  <c r="AD120" i="74" s="1"/>
  <c r="AC110" i="74"/>
  <c r="AD110" i="74" s="1"/>
  <c r="N135" i="66"/>
  <c r="N279" i="66"/>
  <c r="O279" i="66" s="1"/>
  <c r="G280" i="66"/>
  <c r="O111" i="74"/>
  <c r="AC111" i="74"/>
  <c r="AC115" i="74"/>
  <c r="AB121" i="66"/>
  <c r="AC121" i="66" s="1"/>
  <c r="AB130" i="66"/>
  <c r="AC130" i="66" s="1"/>
  <c r="AB264" i="66"/>
  <c r="AC264" i="66" s="1"/>
  <c r="AB259" i="66"/>
  <c r="AC259" i="66" s="1"/>
  <c r="AB274" i="66"/>
  <c r="AC274" i="66" s="1"/>
  <c r="AB101" i="66"/>
  <c r="AC101" i="66" s="1"/>
  <c r="AB110" i="66"/>
  <c r="AC110" i="66" s="1"/>
  <c r="AB111" i="66"/>
  <c r="AC111" i="66" s="1"/>
  <c r="AB115" i="66"/>
  <c r="AC115" i="66" s="1"/>
  <c r="AB120" i="66"/>
  <c r="AC120" i="66" s="1"/>
  <c r="I400" i="41"/>
  <c r="I361" i="41"/>
  <c r="O115" i="66"/>
  <c r="O120" i="66"/>
  <c r="O130" i="66"/>
  <c r="O264" i="66"/>
  <c r="O111" i="66"/>
  <c r="O121" i="66"/>
  <c r="O101" i="66"/>
  <c r="O274" i="66"/>
  <c r="O259" i="66"/>
  <c r="O110" i="66"/>
  <c r="AA110" i="66" s="1"/>
  <c r="I363" i="41"/>
  <c r="I399" i="41"/>
  <c r="E48" i="39"/>
  <c r="E129" i="38" s="1"/>
  <c r="M49" i="39"/>
  <c r="E181" i="38" s="1"/>
  <c r="E49" i="39"/>
  <c r="E130" i="38" s="1"/>
  <c r="I401" i="41"/>
  <c r="I157" i="41"/>
  <c r="I253" i="41"/>
  <c r="I160" i="41"/>
  <c r="C44" i="63"/>
  <c r="I340" i="41"/>
  <c r="E50" i="39"/>
  <c r="E131" i="38" s="1"/>
  <c r="I374" i="41"/>
  <c r="I272" i="41"/>
  <c r="M51" i="39"/>
  <c r="E183" i="38" s="1"/>
  <c r="J465" i="58" s="1"/>
  <c r="M48" i="39"/>
  <c r="E180" i="38" s="1"/>
  <c r="I391" i="41"/>
  <c r="I211" i="41"/>
  <c r="I158" i="41"/>
  <c r="I289" i="41"/>
  <c r="I297" i="41"/>
  <c r="I290" i="41"/>
  <c r="I298" i="41"/>
  <c r="I392" i="41"/>
  <c r="I418" i="41"/>
  <c r="I279" i="41"/>
  <c r="G90" i="66"/>
  <c r="N3" i="37"/>
  <c r="D21" i="57"/>
  <c r="I252" i="41"/>
  <c r="G197" i="66"/>
  <c r="D55" i="57"/>
  <c r="I352" i="41"/>
  <c r="I230" i="41"/>
  <c r="J359" i="18"/>
  <c r="F359" i="18"/>
  <c r="I317" i="41"/>
  <c r="I183" i="41"/>
  <c r="J464" i="58"/>
  <c r="K270" i="66"/>
  <c r="J399" i="18"/>
  <c r="F399" i="18"/>
  <c r="F356" i="18"/>
  <c r="J356" i="18"/>
  <c r="F142" i="18"/>
  <c r="J142" i="18"/>
  <c r="F152" i="18"/>
  <c r="J152" i="18"/>
  <c r="J111" i="18"/>
  <c r="F111" i="18"/>
  <c r="F108" i="18"/>
  <c r="J108" i="18"/>
  <c r="J103" i="18"/>
  <c r="F103" i="18"/>
  <c r="I315" i="41"/>
  <c r="I169" i="41"/>
  <c r="E51" i="39"/>
  <c r="E132" i="38" s="1"/>
  <c r="J105" i="18"/>
  <c r="F105" i="18"/>
  <c r="H34" i="53"/>
  <c r="G34" i="53" s="1"/>
  <c r="I281" i="41"/>
  <c r="I220" i="41"/>
  <c r="F400" i="18"/>
  <c r="J400" i="18"/>
  <c r="F352" i="18"/>
  <c r="J352" i="18"/>
  <c r="I299" i="41"/>
  <c r="F102" i="18"/>
  <c r="J102" i="18"/>
  <c r="I382" i="41"/>
  <c r="I185" i="41"/>
  <c r="C14" i="63"/>
  <c r="G82" i="66"/>
  <c r="D24" i="57"/>
  <c r="I288" i="41"/>
  <c r="F361" i="18"/>
  <c r="J361" i="18"/>
  <c r="I243" i="41"/>
  <c r="G207" i="66"/>
  <c r="D62" i="57"/>
  <c r="D64" i="57"/>
  <c r="G206" i="66"/>
  <c r="I219" i="41"/>
  <c r="F154" i="18"/>
  <c r="J154" i="18"/>
  <c r="F395" i="18"/>
  <c r="J395" i="18"/>
  <c r="I383" i="41"/>
  <c r="J112" i="18"/>
  <c r="F112" i="18"/>
  <c r="I178" i="41"/>
  <c r="G234" i="66"/>
  <c r="D60" i="57"/>
  <c r="N3" i="58"/>
  <c r="I262" i="41"/>
  <c r="G217" i="66"/>
  <c r="D59" i="57"/>
  <c r="I241" i="41"/>
  <c r="I408" i="41"/>
  <c r="D58" i="57"/>
  <c r="G211" i="66"/>
  <c r="F355" i="18"/>
  <c r="J355" i="18"/>
  <c r="I280" i="41"/>
  <c r="J401" i="18"/>
  <c r="F401" i="18"/>
  <c r="G218" i="66"/>
  <c r="D54" i="57"/>
  <c r="F148" i="18"/>
  <c r="J148" i="18"/>
  <c r="O9" i="41"/>
  <c r="I221" i="41"/>
  <c r="F358" i="18"/>
  <c r="J358" i="18"/>
  <c r="I381" i="41"/>
  <c r="F402" i="18"/>
  <c r="J402" i="18"/>
  <c r="I186" i="41"/>
  <c r="I261" i="41"/>
  <c r="F405" i="18"/>
  <c r="J405" i="18"/>
  <c r="J407" i="18"/>
  <c r="F407" i="18"/>
  <c r="I244" i="41"/>
  <c r="I410" i="41"/>
  <c r="J354" i="18"/>
  <c r="F354" i="18"/>
  <c r="G216" i="66"/>
  <c r="D65" i="57"/>
  <c r="G73" i="66"/>
  <c r="D20" i="57"/>
  <c r="I192" i="41"/>
  <c r="F362" i="18"/>
  <c r="J362" i="18"/>
  <c r="F110" i="18"/>
  <c r="J110" i="18"/>
  <c r="I494" i="58"/>
  <c r="I493" i="58"/>
  <c r="G231" i="66"/>
  <c r="D56" i="57"/>
  <c r="E396" i="38"/>
  <c r="C45" i="63"/>
  <c r="J397" i="18"/>
  <c r="F397" i="18"/>
  <c r="F151" i="18"/>
  <c r="J151" i="18"/>
  <c r="I177" i="41"/>
  <c r="I263" i="41"/>
  <c r="J153" i="18"/>
  <c r="F153" i="18"/>
  <c r="F360" i="18"/>
  <c r="J360" i="18"/>
  <c r="I242" i="41"/>
  <c r="I409" i="41"/>
  <c r="F403" i="18"/>
  <c r="J403" i="18"/>
  <c r="J150" i="18"/>
  <c r="F150" i="18"/>
  <c r="G63" i="66"/>
  <c r="D23" i="57"/>
  <c r="I270" i="41"/>
  <c r="G65" i="66"/>
  <c r="D18" i="57"/>
  <c r="I210" i="41"/>
  <c r="D63" i="57"/>
  <c r="G226" i="66"/>
  <c r="G227" i="66"/>
  <c r="E22" i="53"/>
  <c r="F22" i="53" s="1"/>
  <c r="D66" i="57"/>
  <c r="I187" i="41"/>
  <c r="F113" i="18"/>
  <c r="J113" i="18"/>
  <c r="G136" i="66"/>
  <c r="J493" i="41"/>
  <c r="G72" i="66"/>
  <c r="D26" i="57"/>
  <c r="I372" i="41"/>
  <c r="I419" i="41"/>
  <c r="I147" i="41"/>
  <c r="J398" i="18"/>
  <c r="F398" i="18"/>
  <c r="J149" i="18"/>
  <c r="F149" i="18"/>
  <c r="F104" i="18"/>
  <c r="J104" i="18"/>
  <c r="G281" i="66"/>
  <c r="E33" i="53"/>
  <c r="F33" i="53" s="1"/>
  <c r="J144" i="18"/>
  <c r="F144" i="18"/>
  <c r="J396" i="18"/>
  <c r="F396" i="18"/>
  <c r="G222" i="66"/>
  <c r="D61" i="57"/>
  <c r="AA111" i="66"/>
  <c r="I212" i="41"/>
  <c r="G83" i="66"/>
  <c r="E16" i="53"/>
  <c r="F16" i="53" s="1"/>
  <c r="D27" i="57"/>
  <c r="I390" i="41"/>
  <c r="J364" i="18"/>
  <c r="F364" i="18"/>
  <c r="I188" i="41"/>
  <c r="F101" i="18"/>
  <c r="J101" i="18"/>
  <c r="G137" i="66"/>
  <c r="J494" i="41"/>
  <c r="E27" i="53"/>
  <c r="F27" i="53" s="1"/>
  <c r="F147" i="18"/>
  <c r="J147" i="18"/>
  <c r="I417" i="41"/>
  <c r="G68" i="66"/>
  <c r="E14" i="53"/>
  <c r="I146" i="41"/>
  <c r="F106" i="18"/>
  <c r="J106" i="18"/>
  <c r="J365" i="18"/>
  <c r="F365" i="18"/>
  <c r="I179" i="41"/>
  <c r="Z130" i="66"/>
  <c r="G74" i="66"/>
  <c r="D15" i="57"/>
  <c r="I145" i="41"/>
  <c r="L48" i="39" s="1"/>
  <c r="F155" i="18"/>
  <c r="J155" i="18"/>
  <c r="I326" i="41"/>
  <c r="I203" i="41"/>
  <c r="F404" i="18"/>
  <c r="J404" i="18"/>
  <c r="G62" i="66"/>
  <c r="I349" i="41"/>
  <c r="D25" i="57"/>
  <c r="I231" i="41"/>
  <c r="F357" i="18"/>
  <c r="J357" i="18"/>
  <c r="I184" i="41"/>
  <c r="F146" i="18"/>
  <c r="J146" i="18"/>
  <c r="J107" i="18"/>
  <c r="F107" i="18"/>
  <c r="H28" i="53"/>
  <c r="G28" i="53" s="1"/>
  <c r="I148" i="41"/>
  <c r="C15" i="63"/>
  <c r="I493" i="37"/>
  <c r="G87" i="66"/>
  <c r="I494" i="37"/>
  <c r="I325" i="41"/>
  <c r="E393" i="38"/>
  <c r="D17" i="57"/>
  <c r="I202" i="41"/>
  <c r="I307" i="41"/>
  <c r="J145" i="18"/>
  <c r="F145" i="18"/>
  <c r="I351" i="41"/>
  <c r="G209" i="66"/>
  <c r="D57" i="57"/>
  <c r="G53" i="66"/>
  <c r="G53" i="74" s="1"/>
  <c r="I229" i="41"/>
  <c r="D16" i="57"/>
  <c r="F353" i="18"/>
  <c r="J353" i="18"/>
  <c r="G67" i="66"/>
  <c r="G67" i="74" s="1"/>
  <c r="D19" i="57"/>
  <c r="I168" i="41"/>
  <c r="F406" i="18"/>
  <c r="J406" i="18"/>
  <c r="J143" i="18"/>
  <c r="F143" i="18"/>
  <c r="J109" i="18"/>
  <c r="F109" i="18"/>
  <c r="I327" i="41"/>
  <c r="I201" i="41"/>
  <c r="G78" i="66"/>
  <c r="I306" i="41"/>
  <c r="L50" i="39" s="1"/>
  <c r="E165" i="38" s="1"/>
  <c r="D22" i="57"/>
  <c r="I350" i="41"/>
  <c r="I232" i="41"/>
  <c r="F363" i="18"/>
  <c r="J363" i="18"/>
  <c r="I316" i="41"/>
  <c r="I170" i="41"/>
  <c r="I159" i="41"/>
  <c r="O8" i="41"/>
  <c r="J100" i="18"/>
  <c r="F100" i="18"/>
  <c r="I328" i="41"/>
  <c r="J394" i="18"/>
  <c r="F394" i="18"/>
  <c r="I308" i="41"/>
  <c r="AA255" i="66" l="1"/>
  <c r="G62" i="74"/>
  <c r="Z110" i="66"/>
  <c r="AC130" i="74"/>
  <c r="G136" i="74"/>
  <c r="AA254" i="66"/>
  <c r="G78" i="74"/>
  <c r="Z255" i="66"/>
  <c r="Z115" i="66"/>
  <c r="G72" i="74"/>
  <c r="O72" i="74" s="1"/>
  <c r="N135" i="74"/>
  <c r="Z274" i="66"/>
  <c r="AA130" i="66"/>
  <c r="AA274" i="66"/>
  <c r="G63" i="74"/>
  <c r="AC63" i="74" s="1"/>
  <c r="AD63" i="74" s="1"/>
  <c r="O135" i="66"/>
  <c r="AA135" i="66" s="1"/>
  <c r="G87" i="74"/>
  <c r="G83" i="74"/>
  <c r="AB135" i="66"/>
  <c r="AC135" i="66" s="1"/>
  <c r="O120" i="74"/>
  <c r="AD130" i="74"/>
  <c r="C13" i="75" s="1"/>
  <c r="C28" i="75"/>
  <c r="AD115" i="74"/>
  <c r="C7" i="75" s="1"/>
  <c r="C22" i="75"/>
  <c r="AD111" i="74"/>
  <c r="C6" i="75" s="1"/>
  <c r="C21" i="75"/>
  <c r="G82" i="74"/>
  <c r="O82" i="74" s="1"/>
  <c r="G90" i="74"/>
  <c r="G73" i="74"/>
  <c r="G65" i="74"/>
  <c r="G137" i="74"/>
  <c r="AB279" i="66"/>
  <c r="AC279" i="66" s="1"/>
  <c r="G74" i="74"/>
  <c r="N231" i="66"/>
  <c r="O231" i="66" s="1"/>
  <c r="K282" i="66"/>
  <c r="Q282" i="66" s="1"/>
  <c r="N87" i="66"/>
  <c r="AB87" i="66" s="1"/>
  <c r="AC87" i="66" s="1"/>
  <c r="K113" i="66"/>
  <c r="J457" i="58"/>
  <c r="G232" i="66"/>
  <c r="K126" i="66"/>
  <c r="K126" i="74" s="1"/>
  <c r="AC62" i="74"/>
  <c r="AD62" i="74" s="1"/>
  <c r="O62" i="74"/>
  <c r="O67" i="74"/>
  <c r="AC67" i="74"/>
  <c r="AD67" i="74" s="1"/>
  <c r="Z259" i="66"/>
  <c r="Z254" i="66"/>
  <c r="AB136" i="66"/>
  <c r="AC136" i="66" s="1"/>
  <c r="AB216" i="66"/>
  <c r="AC216" i="66" s="1"/>
  <c r="AB206" i="66"/>
  <c r="AC206" i="66" s="1"/>
  <c r="J464" i="37"/>
  <c r="J464" i="41" s="1"/>
  <c r="AB63" i="66"/>
  <c r="AC63" i="66" s="1"/>
  <c r="Z120" i="66"/>
  <c r="AB53" i="66"/>
  <c r="AC53" i="66" s="1"/>
  <c r="AB62" i="66"/>
  <c r="AC62" i="66" s="1"/>
  <c r="AB211" i="66"/>
  <c r="AC211" i="66" s="1"/>
  <c r="AB207" i="66"/>
  <c r="AC207" i="66" s="1"/>
  <c r="AB226" i="66"/>
  <c r="AC226" i="66" s="1"/>
  <c r="AB67" i="66"/>
  <c r="AC67" i="66" s="1"/>
  <c r="AB72" i="66"/>
  <c r="AC72" i="66" s="1"/>
  <c r="AB73" i="66"/>
  <c r="AC73" i="66" s="1"/>
  <c r="AB82" i="66"/>
  <c r="AC82" i="66" s="1"/>
  <c r="F17" i="8"/>
  <c r="AA115" i="66"/>
  <c r="AA259" i="66"/>
  <c r="O53" i="66"/>
  <c r="O63" i="66"/>
  <c r="O206" i="66"/>
  <c r="O82" i="66"/>
  <c r="O226" i="66"/>
  <c r="Z264" i="66"/>
  <c r="O211" i="66"/>
  <c r="O207" i="66"/>
  <c r="O67" i="66"/>
  <c r="AA264" i="66"/>
  <c r="O72" i="66"/>
  <c r="AA120" i="66"/>
  <c r="O73" i="66"/>
  <c r="O62" i="66"/>
  <c r="O136" i="66"/>
  <c r="O216" i="66"/>
  <c r="K257" i="66"/>
  <c r="J457" i="37"/>
  <c r="L49" i="39"/>
  <c r="E164" i="38" s="1"/>
  <c r="I457" i="58" s="1"/>
  <c r="D50" i="39"/>
  <c r="E114" i="38" s="1"/>
  <c r="D51" i="39"/>
  <c r="E115" i="38" s="1"/>
  <c r="D49" i="39"/>
  <c r="E113" i="38" s="1"/>
  <c r="L51" i="39"/>
  <c r="E166" i="38" s="1"/>
  <c r="E163" i="38"/>
  <c r="E328" i="38"/>
  <c r="E334" i="38"/>
  <c r="I464" i="58"/>
  <c r="K222" i="66"/>
  <c r="G89" i="66"/>
  <c r="E15" i="53"/>
  <c r="F15" i="53" s="1"/>
  <c r="I494" i="41"/>
  <c r="J465" i="37"/>
  <c r="J465" i="41" s="1"/>
  <c r="K138" i="66"/>
  <c r="K138" i="74" s="1"/>
  <c r="Q138" i="74" s="1"/>
  <c r="N8" i="41"/>
  <c r="H27" i="53"/>
  <c r="G27" i="53" s="1"/>
  <c r="E346" i="38"/>
  <c r="E340" i="38"/>
  <c r="K266" i="66"/>
  <c r="J456" i="58"/>
  <c r="D48" i="39"/>
  <c r="H22" i="53"/>
  <c r="G22" i="53" s="1"/>
  <c r="Z62" i="66"/>
  <c r="AA62" i="66"/>
  <c r="H33" i="53"/>
  <c r="G33" i="53" s="1"/>
  <c r="G233" i="66"/>
  <c r="E21" i="53"/>
  <c r="F21" i="53" s="1"/>
  <c r="N7" i="41"/>
  <c r="N9" i="41"/>
  <c r="K122" i="66"/>
  <c r="J456" i="37"/>
  <c r="G88" i="66"/>
  <c r="G88" i="74" s="1"/>
  <c r="I493" i="41"/>
  <c r="H16" i="53"/>
  <c r="G16" i="53" s="1"/>
  <c r="X270" i="66"/>
  <c r="T270" i="66"/>
  <c r="Q270" i="66"/>
  <c r="Q126" i="66" l="1"/>
  <c r="X126" i="66"/>
  <c r="O126" i="66"/>
  <c r="T126" i="66"/>
  <c r="Z135" i="66"/>
  <c r="AC72" i="74"/>
  <c r="AD72" i="74" s="1"/>
  <c r="T282" i="66"/>
  <c r="X282" i="66"/>
  <c r="O63" i="74"/>
  <c r="AA63" i="74" s="1"/>
  <c r="O87" i="66"/>
  <c r="Z87" i="66" s="1"/>
  <c r="AA279" i="66"/>
  <c r="Z206" i="66"/>
  <c r="Z279" i="66"/>
  <c r="AB231" i="66"/>
  <c r="AC231" i="66" s="1"/>
  <c r="K122" i="74"/>
  <c r="X122" i="74" s="1"/>
  <c r="N87" i="74"/>
  <c r="K113" i="74"/>
  <c r="X113" i="74" s="1"/>
  <c r="J457" i="41"/>
  <c r="G89" i="74"/>
  <c r="AC82" i="74"/>
  <c r="AD82" i="74" s="1"/>
  <c r="AB126" i="66"/>
  <c r="AC126" i="66" s="1"/>
  <c r="T113" i="66"/>
  <c r="AA216" i="66"/>
  <c r="Q113" i="66"/>
  <c r="X113" i="66"/>
  <c r="AB113" i="66"/>
  <c r="AC113" i="66" s="1"/>
  <c r="T138" i="74"/>
  <c r="X138" i="74"/>
  <c r="O113" i="66"/>
  <c r="I465" i="37"/>
  <c r="Z67" i="74"/>
  <c r="AA67" i="74"/>
  <c r="I464" i="37"/>
  <c r="I464" i="41" s="1"/>
  <c r="K209" i="66"/>
  <c r="Q209" i="66" s="1"/>
  <c r="Z67" i="66"/>
  <c r="Z82" i="74"/>
  <c r="AA82" i="74"/>
  <c r="AA72" i="74"/>
  <c r="Z72" i="74"/>
  <c r="X126" i="74"/>
  <c r="Q126" i="74"/>
  <c r="T126" i="74"/>
  <c r="N275" i="66"/>
  <c r="I465" i="58"/>
  <c r="Z62" i="74"/>
  <c r="AA62" i="74"/>
  <c r="I457" i="37"/>
  <c r="I457" i="41" s="1"/>
  <c r="AA206" i="66"/>
  <c r="Z63" i="66"/>
  <c r="AA67" i="66"/>
  <c r="AA226" i="66"/>
  <c r="AA72" i="66"/>
  <c r="Z211" i="66"/>
  <c r="AA82" i="66"/>
  <c r="Z226" i="66"/>
  <c r="Z82" i="66"/>
  <c r="AB122" i="66"/>
  <c r="AC122" i="66" s="1"/>
  <c r="Z216" i="66"/>
  <c r="K78" i="66"/>
  <c r="K78" i="74" s="1"/>
  <c r="AB138" i="66"/>
  <c r="AC138" i="66" s="1"/>
  <c r="AB88" i="66"/>
  <c r="AC88" i="66" s="1"/>
  <c r="AA211" i="66"/>
  <c r="X257" i="66"/>
  <c r="O88" i="66"/>
  <c r="AA63" i="66"/>
  <c r="T257" i="66"/>
  <c r="Z72" i="66"/>
  <c r="AA207" i="66"/>
  <c r="Q257" i="66"/>
  <c r="Z207" i="66"/>
  <c r="K90" i="66"/>
  <c r="K65" i="66"/>
  <c r="J456" i="41"/>
  <c r="K234" i="66"/>
  <c r="E304" i="38"/>
  <c r="E310" i="38"/>
  <c r="E345" i="38"/>
  <c r="E339" i="38"/>
  <c r="E112" i="38"/>
  <c r="Q122" i="66"/>
  <c r="X122" i="66"/>
  <c r="T122" i="66"/>
  <c r="O122" i="66"/>
  <c r="H15" i="53"/>
  <c r="G15" i="53" s="1"/>
  <c r="X222" i="66"/>
  <c r="T222" i="66"/>
  <c r="Q222" i="66"/>
  <c r="X266" i="66"/>
  <c r="T266" i="66"/>
  <c r="Q266" i="66"/>
  <c r="D18" i="8"/>
  <c r="N131" i="66"/>
  <c r="N131" i="74" s="1"/>
  <c r="J483" i="37"/>
  <c r="M131" i="66"/>
  <c r="E333" i="38"/>
  <c r="E327" i="38"/>
  <c r="H21" i="53"/>
  <c r="G21" i="53" s="1"/>
  <c r="E316" i="38"/>
  <c r="E322" i="38"/>
  <c r="T138" i="66"/>
  <c r="X138" i="66"/>
  <c r="Q138" i="66"/>
  <c r="O138" i="66"/>
  <c r="M275" i="66"/>
  <c r="J483" i="58"/>
  <c r="Z231" i="66"/>
  <c r="AA231" i="66"/>
  <c r="AA87" i="66"/>
  <c r="K218" i="66"/>
  <c r="I456" i="58"/>
  <c r="Z63" i="74" l="1"/>
  <c r="T78" i="66"/>
  <c r="I465" i="41"/>
  <c r="Q113" i="74"/>
  <c r="Q122" i="74"/>
  <c r="T122" i="74"/>
  <c r="X78" i="66"/>
  <c r="X209" i="66"/>
  <c r="M131" i="74"/>
  <c r="Q131" i="74" s="1"/>
  <c r="AC87" i="74"/>
  <c r="AD87" i="74" s="1"/>
  <c r="O87" i="74"/>
  <c r="AA87" i="74" s="1"/>
  <c r="T113" i="74"/>
  <c r="T209" i="66"/>
  <c r="K65" i="74"/>
  <c r="Q65" i="74" s="1"/>
  <c r="Q78" i="66"/>
  <c r="X65" i="66"/>
  <c r="X90" i="66"/>
  <c r="K90" i="74"/>
  <c r="T90" i="74" s="1"/>
  <c r="X78" i="74"/>
  <c r="Q78" i="74"/>
  <c r="T78" i="74"/>
  <c r="AA115" i="74"/>
  <c r="AA120" i="74"/>
  <c r="Z120" i="74"/>
  <c r="AA110" i="74"/>
  <c r="Z110" i="74"/>
  <c r="Z115" i="74"/>
  <c r="N227" i="66"/>
  <c r="N281" i="66"/>
  <c r="AA111" i="74"/>
  <c r="Z111" i="74"/>
  <c r="O135" i="74"/>
  <c r="AC135" i="74"/>
  <c r="AD135" i="74" s="1"/>
  <c r="Z130" i="74"/>
  <c r="AA130" i="74"/>
  <c r="T90" i="66"/>
  <c r="AB131" i="66"/>
  <c r="AC131" i="66" s="1"/>
  <c r="AB275" i="66"/>
  <c r="AC275" i="66" s="1"/>
  <c r="AB65" i="66"/>
  <c r="AC65" i="66" s="1"/>
  <c r="AB90" i="66"/>
  <c r="AC90" i="66" s="1"/>
  <c r="O78" i="66"/>
  <c r="AB78" i="66"/>
  <c r="AC78" i="66" s="1"/>
  <c r="O90" i="66"/>
  <c r="Q234" i="66"/>
  <c r="Q90" i="66"/>
  <c r="T65" i="66"/>
  <c r="X234" i="66"/>
  <c r="Q65" i="66"/>
  <c r="T234" i="66"/>
  <c r="O65" i="66"/>
  <c r="E303" i="38"/>
  <c r="E309" i="38"/>
  <c r="E321" i="38"/>
  <c r="E315" i="38"/>
  <c r="K74" i="66"/>
  <c r="K74" i="74" s="1"/>
  <c r="T74" i="74" s="1"/>
  <c r="I456" i="37"/>
  <c r="I456" i="41" s="1"/>
  <c r="X218" i="66"/>
  <c r="Q218" i="66"/>
  <c r="T218" i="66"/>
  <c r="J482" i="37"/>
  <c r="M137" i="66"/>
  <c r="J482" i="58"/>
  <c r="M281" i="66"/>
  <c r="D17" i="8"/>
  <c r="N137" i="66"/>
  <c r="Q131" i="66"/>
  <c r="O131" i="66"/>
  <c r="J483" i="41"/>
  <c r="M227" i="66"/>
  <c r="I483" i="58"/>
  <c r="Q275" i="66"/>
  <c r="O275" i="66"/>
  <c r="N83" i="66"/>
  <c r="C18" i="8"/>
  <c r="M83" i="66"/>
  <c r="I483" i="37"/>
  <c r="Z87" i="74" l="1"/>
  <c r="N137" i="74"/>
  <c r="M83" i="74"/>
  <c r="Q83" i="74" s="1"/>
  <c r="AC131" i="74"/>
  <c r="AD131" i="74" s="1"/>
  <c r="T65" i="74"/>
  <c r="Q90" i="74"/>
  <c r="X65" i="74"/>
  <c r="O131" i="74"/>
  <c r="P131" i="74" s="1"/>
  <c r="N83" i="74"/>
  <c r="M137" i="74"/>
  <c r="Q74" i="74"/>
  <c r="X90" i="74"/>
  <c r="X74" i="74"/>
  <c r="AA135" i="74"/>
  <c r="Z135" i="74"/>
  <c r="AA131" i="74"/>
  <c r="N233" i="66"/>
  <c r="AB137" i="66"/>
  <c r="AC137" i="66" s="1"/>
  <c r="AB227" i="66"/>
  <c r="AC227" i="66" s="1"/>
  <c r="AB83" i="66"/>
  <c r="AC83" i="66" s="1"/>
  <c r="AB74" i="66"/>
  <c r="AC74" i="66" s="1"/>
  <c r="AB281" i="66"/>
  <c r="AC281" i="66" s="1"/>
  <c r="I483" i="41"/>
  <c r="J482" i="41"/>
  <c r="Q137" i="66"/>
  <c r="O137" i="66"/>
  <c r="Q83" i="66"/>
  <c r="O83" i="66"/>
  <c r="I482" i="58"/>
  <c r="M233" i="66"/>
  <c r="Q227" i="66"/>
  <c r="O227" i="66"/>
  <c r="C17" i="8"/>
  <c r="N89" i="66"/>
  <c r="I482" i="37"/>
  <c r="M89" i="66"/>
  <c r="P131" i="66"/>
  <c r="Z275" i="66"/>
  <c r="AA275" i="66"/>
  <c r="Z131" i="66"/>
  <c r="AA131" i="66"/>
  <c r="P275" i="66"/>
  <c r="Q281" i="66"/>
  <c r="O281" i="66"/>
  <c r="X74" i="66"/>
  <c r="Q74" i="66"/>
  <c r="T74" i="66"/>
  <c r="O74" i="66"/>
  <c r="Z131" i="74" l="1"/>
  <c r="AC83" i="74"/>
  <c r="AD83" i="74" s="1"/>
  <c r="O137" i="74"/>
  <c r="P137" i="74" s="1"/>
  <c r="M89" i="74"/>
  <c r="Q89" i="74" s="1"/>
  <c r="O83" i="74"/>
  <c r="P83" i="74" s="1"/>
  <c r="V83" i="74" s="1"/>
  <c r="AC137" i="74"/>
  <c r="Q137" i="74"/>
  <c r="N89" i="74"/>
  <c r="T104" i="74"/>
  <c r="X104" i="74"/>
  <c r="X103" i="74"/>
  <c r="T103" i="74"/>
  <c r="U103" i="74" s="1"/>
  <c r="S104" i="74"/>
  <c r="Q104" i="74"/>
  <c r="W104" i="74" s="1"/>
  <c r="X56" i="74"/>
  <c r="T56" i="74"/>
  <c r="T55" i="74"/>
  <c r="U55" i="74" s="1"/>
  <c r="X55" i="74"/>
  <c r="V131" i="74"/>
  <c r="W131" i="74"/>
  <c r="Y131" i="74" s="1"/>
  <c r="R131" i="74"/>
  <c r="S131" i="74" s="1"/>
  <c r="U131" i="74" s="1"/>
  <c r="AB89" i="66"/>
  <c r="AC89" i="66" s="1"/>
  <c r="AB233" i="66"/>
  <c r="AC233" i="66" s="1"/>
  <c r="P281" i="66"/>
  <c r="W281" i="66" s="1"/>
  <c r="Y281" i="66" s="1"/>
  <c r="R131" i="66"/>
  <c r="S131" i="66" s="1"/>
  <c r="U131" i="66" s="1"/>
  <c r="W131" i="66"/>
  <c r="Y131" i="66" s="1"/>
  <c r="V131" i="66"/>
  <c r="Q89" i="66"/>
  <c r="O89" i="66"/>
  <c r="AA281" i="66"/>
  <c r="Z137" i="66"/>
  <c r="P137" i="66"/>
  <c r="AA137" i="66"/>
  <c r="Z281" i="66"/>
  <c r="I482" i="41"/>
  <c r="Q233" i="66"/>
  <c r="O233" i="66"/>
  <c r="P83" i="66"/>
  <c r="AA83" i="66"/>
  <c r="Z83" i="66"/>
  <c r="AA227" i="66"/>
  <c r="Z227" i="66"/>
  <c r="R275" i="66"/>
  <c r="S275" i="66" s="1"/>
  <c r="U275" i="66" s="1"/>
  <c r="V275" i="66"/>
  <c r="W275" i="66"/>
  <c r="Y275" i="66" s="1"/>
  <c r="P227" i="66"/>
  <c r="W137" i="74" l="1"/>
  <c r="Y137" i="74" s="1"/>
  <c r="R137" i="74"/>
  <c r="S137" i="74" s="1"/>
  <c r="U137" i="74" s="1"/>
  <c r="Z137" i="74"/>
  <c r="V137" i="74"/>
  <c r="AA137" i="74"/>
  <c r="O89" i="74"/>
  <c r="P89" i="74" s="1"/>
  <c r="V89" i="74" s="1"/>
  <c r="AD137" i="74"/>
  <c r="W83" i="74"/>
  <c r="Y83" i="74" s="1"/>
  <c r="R83" i="74"/>
  <c r="S83" i="74" s="1"/>
  <c r="U83" i="74" s="1"/>
  <c r="AA83" i="74"/>
  <c r="Z83" i="74"/>
  <c r="AC89" i="74"/>
  <c r="AD89" i="74" s="1"/>
  <c r="U104" i="74"/>
  <c r="Y104" i="74"/>
  <c r="S56" i="74"/>
  <c r="U56" i="74" s="1"/>
  <c r="Q56" i="74"/>
  <c r="W56" i="74" s="1"/>
  <c r="Y56" i="74" s="1"/>
  <c r="R281" i="66"/>
  <c r="S281" i="66" s="1"/>
  <c r="U281" i="66" s="1"/>
  <c r="P233" i="66"/>
  <c r="R233" i="66" s="1"/>
  <c r="S233" i="66" s="1"/>
  <c r="U233" i="66" s="1"/>
  <c r="V281" i="66"/>
  <c r="R83" i="66"/>
  <c r="S83" i="66" s="1"/>
  <c r="U83" i="66" s="1"/>
  <c r="W83" i="66"/>
  <c r="Y83" i="66" s="1"/>
  <c r="V83" i="66"/>
  <c r="R227" i="66"/>
  <c r="S227" i="66" s="1"/>
  <c r="U227" i="66" s="1"/>
  <c r="W227" i="66"/>
  <c r="Y227" i="66" s="1"/>
  <c r="V227" i="66"/>
  <c r="P89" i="66"/>
  <c r="Z233" i="66"/>
  <c r="AA233" i="66"/>
  <c r="Z89" i="66"/>
  <c r="AA89" i="66"/>
  <c r="R137" i="66"/>
  <c r="S137" i="66" s="1"/>
  <c r="U137" i="66" s="1"/>
  <c r="W137" i="66"/>
  <c r="Y137" i="66" s="1"/>
  <c r="V137" i="66"/>
  <c r="Z89" i="74" l="1"/>
  <c r="AA89" i="74"/>
  <c r="W89" i="74"/>
  <c r="Y89" i="74" s="1"/>
  <c r="R89" i="74"/>
  <c r="S89" i="74" s="1"/>
  <c r="U89" i="74" s="1"/>
  <c r="V233" i="66"/>
  <c r="W233" i="66"/>
  <c r="Y233" i="66" s="1"/>
  <c r="R89" i="66"/>
  <c r="S89" i="66" s="1"/>
  <c r="U89" i="66" s="1"/>
  <c r="V89" i="66"/>
  <c r="W89" i="66"/>
  <c r="Y89" i="66" s="1"/>
  <c r="K93" i="66" l="1"/>
  <c r="K141" i="66"/>
  <c r="K76" i="66" l="1"/>
  <c r="K124" i="66"/>
  <c r="AB141" i="66"/>
  <c r="AC141" i="66" s="1"/>
  <c r="Q141" i="66"/>
  <c r="T141" i="66"/>
  <c r="O141" i="66"/>
  <c r="X141" i="66"/>
  <c r="L76" i="66"/>
  <c r="L124" i="66"/>
  <c r="O93" i="66"/>
  <c r="AB93" i="66"/>
  <c r="AC93" i="66" s="1"/>
  <c r="Q93" i="66"/>
  <c r="T93" i="66"/>
  <c r="X93" i="66"/>
  <c r="T124" i="66" l="1"/>
  <c r="Q124" i="66"/>
  <c r="O124" i="66"/>
  <c r="AB124" i="66"/>
  <c r="AC124" i="66" s="1"/>
  <c r="X124" i="66"/>
  <c r="T76" i="66"/>
  <c r="Q76" i="66"/>
  <c r="AB76" i="66"/>
  <c r="AC76" i="66" s="1"/>
  <c r="O76" i="66"/>
  <c r="X76" i="66"/>
  <c r="G158" i="72" l="1"/>
  <c r="G127" i="72"/>
  <c r="G65" i="72"/>
  <c r="G96" i="72"/>
  <c r="G282" i="72"/>
  <c r="G251" i="72"/>
  <c r="G189" i="72"/>
  <c r="G220" i="72"/>
  <c r="G34" i="72"/>
  <c r="G3" i="72"/>
  <c r="J4" i="58"/>
  <c r="J4" i="37"/>
  <c r="I4" i="58"/>
  <c r="I4" i="37"/>
  <c r="E220" i="72" l="1"/>
  <c r="F220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E19" i="53"/>
  <c r="G54" i="66"/>
  <c r="E251" i="72"/>
  <c r="F25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" i="53"/>
  <c r="G198" i="66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E31" i="53"/>
  <c r="G102" i="66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E37" i="53"/>
  <c r="G246" i="66"/>
  <c r="E65" i="72"/>
  <c r="F65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E127" i="72"/>
  <c r="F127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J4" i="41"/>
  <c r="E45" i="39" s="1"/>
  <c r="E124" i="38" s="1"/>
  <c r="I4" i="41"/>
  <c r="D45" i="39" s="1"/>
  <c r="E107" i="38" s="1"/>
  <c r="H4" i="37"/>
  <c r="H4" i="58"/>
  <c r="N4" i="58"/>
  <c r="O4" i="58"/>
  <c r="L45" i="39" l="1"/>
  <c r="E158" i="38" s="1"/>
  <c r="I466" i="58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6" i="66"/>
  <c r="E7" i="53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I466" i="37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102" i="74"/>
  <c r="G54" i="74"/>
  <c r="J466" i="37"/>
  <c r="M45" i="39"/>
  <c r="E175" i="38" s="1"/>
  <c r="J466" i="58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3" i="53"/>
  <c r="G150" i="66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H97" i="58"/>
  <c r="I97" i="58"/>
  <c r="J97" i="58"/>
  <c r="M4" i="58"/>
  <c r="I97" i="37"/>
  <c r="G58" i="66" s="1"/>
  <c r="J97" i="37"/>
  <c r="G106" i="66" s="1"/>
  <c r="H4" i="41"/>
  <c r="K45" i="39" s="1"/>
  <c r="E141" i="38" s="1"/>
  <c r="H466" i="58" s="1"/>
  <c r="H97" i="37"/>
  <c r="G10" i="66" s="1"/>
  <c r="I466" i="41" l="1"/>
  <c r="E159" i="72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C45" i="39"/>
  <c r="E90" i="38" s="1"/>
  <c r="H466" i="37" s="1"/>
  <c r="H466" i="41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E35" i="72"/>
  <c r="F35" i="72" s="1"/>
  <c r="G36" i="72" s="1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252" i="72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E128" i="72"/>
  <c r="F128" i="72" s="1"/>
  <c r="E4" i="72"/>
  <c r="F4" i="72" s="1"/>
  <c r="J466" i="41"/>
  <c r="G6" i="74"/>
  <c r="E66" i="72"/>
  <c r="F66" i="72" s="1"/>
  <c r="E283" i="72"/>
  <c r="F283" i="72" s="1"/>
  <c r="H97" i="41"/>
  <c r="D25" i="53"/>
  <c r="F25" i="53" s="1"/>
  <c r="D37" i="53"/>
  <c r="F37" i="53" s="1"/>
  <c r="K246" i="66"/>
  <c r="K198" i="66"/>
  <c r="D13" i="53"/>
  <c r="F13" i="53" s="1"/>
  <c r="K150" i="66"/>
  <c r="J97" i="41"/>
  <c r="E43" i="39"/>
  <c r="E126" i="38" s="1"/>
  <c r="J463" i="37" s="1"/>
  <c r="J478" i="37"/>
  <c r="I478" i="37"/>
  <c r="D43" i="39"/>
  <c r="I97" i="41"/>
  <c r="D19" i="53"/>
  <c r="F19" i="53" s="1"/>
  <c r="H25" i="53" s="1"/>
  <c r="K102" i="66"/>
  <c r="D31" i="53"/>
  <c r="F31" i="53" s="1"/>
  <c r="H37" i="53" s="1"/>
  <c r="K54" i="66"/>
  <c r="D7" i="53" l="1"/>
  <c r="F7" i="53" s="1"/>
  <c r="H13" i="53" s="1"/>
  <c r="G13" i="53" s="1"/>
  <c r="K6" i="66"/>
  <c r="T6" i="66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09" i="38"/>
  <c r="I463" i="37" s="1"/>
  <c r="E160" i="72"/>
  <c r="F160" i="72" s="1"/>
  <c r="G37" i="53"/>
  <c r="E365" i="38"/>
  <c r="L106" i="66" s="1"/>
  <c r="G25" i="53"/>
  <c r="E98" i="72"/>
  <c r="F98" i="72" s="1"/>
  <c r="E359" i="38"/>
  <c r="L58" i="66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E191" i="72"/>
  <c r="F191" i="72" s="1"/>
  <c r="E253" i="72"/>
  <c r="F253" i="72" s="1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E36" i="72"/>
  <c r="F3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T150" i="66"/>
  <c r="X150" i="66"/>
  <c r="H7" i="53"/>
  <c r="H19" i="53"/>
  <c r="G19" i="53" s="1"/>
  <c r="H31" i="53"/>
  <c r="G31" i="53" s="1"/>
  <c r="K102" i="74"/>
  <c r="K54" i="74"/>
  <c r="T198" i="66"/>
  <c r="X198" i="66"/>
  <c r="T102" i="66"/>
  <c r="X102" i="66"/>
  <c r="T246" i="66"/>
  <c r="X246" i="66"/>
  <c r="X54" i="66"/>
  <c r="T54" i="66"/>
  <c r="E5" i="72" l="1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X6" i="66"/>
  <c r="G7" i="53"/>
  <c r="E289" i="38" s="1"/>
  <c r="K6" i="74"/>
  <c r="T6" i="74" s="1"/>
  <c r="E129" i="72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284" i="72"/>
  <c r="F284" i="72" s="1"/>
  <c r="E223" i="72"/>
  <c r="F223" i="72" s="1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67" i="72"/>
  <c r="F67" i="72" s="1"/>
  <c r="E307" i="38"/>
  <c r="I486" i="37" s="1"/>
  <c r="E331" i="38"/>
  <c r="J486" i="37" s="1"/>
  <c r="E337" i="38"/>
  <c r="E313" i="38"/>
  <c r="X54" i="74"/>
  <c r="T54" i="74"/>
  <c r="X102" i="74"/>
  <c r="T102" i="74"/>
  <c r="E349" i="38"/>
  <c r="N246" i="66" s="1"/>
  <c r="E343" i="38"/>
  <c r="J486" i="58" s="1"/>
  <c r="E325" i="38"/>
  <c r="N198" i="66" s="1"/>
  <c r="E319" i="38"/>
  <c r="I486" i="58" s="1"/>
  <c r="E295" i="38"/>
  <c r="H486" i="58" s="1"/>
  <c r="E301" i="38"/>
  <c r="N150" i="66" s="1"/>
  <c r="E283" i="38" l="1"/>
  <c r="H486" i="37" s="1"/>
  <c r="H486" i="41" s="1"/>
  <c r="X6" i="74"/>
  <c r="J486" i="41"/>
  <c r="E254" i="72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I486" i="41"/>
  <c r="E6" i="72"/>
  <c r="F6" i="72" s="1"/>
  <c r="G7" i="72" s="1"/>
  <c r="E161" i="72"/>
  <c r="F161" i="72" s="1"/>
  <c r="E130" i="72"/>
  <c r="F130" i="72" s="1"/>
  <c r="E99" i="72"/>
  <c r="F99" i="72" s="1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192" i="72"/>
  <c r="F192" i="72" s="1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37" i="72"/>
  <c r="F37" i="72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N54" i="66"/>
  <c r="F18" i="39" s="1"/>
  <c r="C20" i="8"/>
  <c r="D20" i="8"/>
  <c r="N102" i="66"/>
  <c r="G18" i="39" s="1"/>
  <c r="B20" i="8"/>
  <c r="N6" i="66"/>
  <c r="M246" i="66"/>
  <c r="M198" i="66"/>
  <c r="M150" i="66"/>
  <c r="M102" i="66"/>
  <c r="M54" i="66"/>
  <c r="M6" i="66"/>
  <c r="K106" i="66"/>
  <c r="K58" i="66"/>
  <c r="H8" i="72" l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7" i="72"/>
  <c r="F7" i="72" s="1"/>
  <c r="G8" i="72" s="1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255" i="72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O246" i="66"/>
  <c r="AB246" i="66"/>
  <c r="AC246" i="66" s="1"/>
  <c r="Q246" i="66"/>
  <c r="S150" i="66"/>
  <c r="U150" i="66" s="1"/>
  <c r="Q150" i="66"/>
  <c r="W150" i="66" s="1"/>
  <c r="Y150" i="66" s="1"/>
  <c r="O150" i="66"/>
  <c r="AB150" i="66"/>
  <c r="AC150" i="66" s="1"/>
  <c r="O54" i="66"/>
  <c r="AB54" i="66"/>
  <c r="AC54" i="66" s="1"/>
  <c r="Q54" i="66"/>
  <c r="O102" i="66"/>
  <c r="AB102" i="66"/>
  <c r="AC102" i="66" s="1"/>
  <c r="Q102" i="66"/>
  <c r="AB198" i="66"/>
  <c r="AC198" i="66" s="1"/>
  <c r="Q198" i="66"/>
  <c r="O198" i="66"/>
  <c r="E68" i="72"/>
  <c r="F68" i="72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Q6" i="66"/>
  <c r="W6" i="66" s="1"/>
  <c r="Y6" i="66" s="1"/>
  <c r="AB6" i="66"/>
  <c r="AC6" i="66" s="1"/>
  <c r="O6" i="66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N6" i="74"/>
  <c r="N102" i="74"/>
  <c r="N54" i="74"/>
  <c r="M102" i="74"/>
  <c r="M54" i="74"/>
  <c r="M6" i="74"/>
  <c r="S6" i="66"/>
  <c r="U6" i="66" s="1"/>
  <c r="Q58" i="66"/>
  <c r="T58" i="66"/>
  <c r="X58" i="66"/>
  <c r="O58" i="66"/>
  <c r="AB58" i="66"/>
  <c r="AC58" i="66" s="1"/>
  <c r="Q106" i="66"/>
  <c r="T106" i="66"/>
  <c r="X106" i="66"/>
  <c r="AB106" i="66"/>
  <c r="AC106" i="66" s="1"/>
  <c r="O106" i="66"/>
  <c r="E286" i="72" l="1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E131" i="72"/>
  <c r="F131" i="72" s="1"/>
  <c r="G132" i="72" s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38" i="72"/>
  <c r="F38" i="72" s="1"/>
  <c r="G39" i="72" s="1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93" i="72"/>
  <c r="F193" i="72" s="1"/>
  <c r="Z150" i="66"/>
  <c r="AA6" i="66"/>
  <c r="AA150" i="66"/>
  <c r="Z6" i="66"/>
  <c r="P6" i="66"/>
  <c r="E225" i="72"/>
  <c r="F225" i="72" s="1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256" i="72"/>
  <c r="F256" i="72" s="1"/>
  <c r="P102" i="66"/>
  <c r="AA246" i="66"/>
  <c r="AA102" i="66"/>
  <c r="Z102" i="66"/>
  <c r="Z246" i="66"/>
  <c r="S6" i="74"/>
  <c r="U6" i="74" s="1"/>
  <c r="Q6" i="74"/>
  <c r="W6" i="74" s="1"/>
  <c r="Y6" i="74" s="1"/>
  <c r="O6" i="74"/>
  <c r="AC6" i="74"/>
  <c r="P246" i="66"/>
  <c r="Q54" i="74"/>
  <c r="AC54" i="74"/>
  <c r="AD54" i="74" s="1"/>
  <c r="O54" i="74"/>
  <c r="E162" i="72"/>
  <c r="F162" i="72" s="1"/>
  <c r="P198" i="66"/>
  <c r="O102" i="74"/>
  <c r="AC102" i="74"/>
  <c r="Q102" i="74"/>
  <c r="E8" i="72"/>
  <c r="F8" i="72" s="1"/>
  <c r="P54" i="66"/>
  <c r="Z54" i="66"/>
  <c r="AA198" i="66"/>
  <c r="AA54" i="66"/>
  <c r="Z198" i="66"/>
  <c r="P150" i="66"/>
  <c r="AD102" i="74" l="1"/>
  <c r="AD6" i="74"/>
  <c r="E287" i="72"/>
  <c r="F287" i="72" s="1"/>
  <c r="G288" i="72" s="1"/>
  <c r="P102" i="74"/>
  <c r="Z102" i="74"/>
  <c r="AA102" i="74"/>
  <c r="W246" i="66"/>
  <c r="Y246" i="66" s="1"/>
  <c r="V246" i="66"/>
  <c r="R246" i="66"/>
  <c r="S246" i="66" s="1"/>
  <c r="U246" i="66" s="1"/>
  <c r="E69" i="72"/>
  <c r="F69" i="72" s="1"/>
  <c r="E39" i="72"/>
  <c r="F39" i="72" s="1"/>
  <c r="W198" i="66"/>
  <c r="Y198" i="66" s="1"/>
  <c r="V198" i="66"/>
  <c r="R198" i="66"/>
  <c r="S198" i="66" s="1"/>
  <c r="U198" i="66" s="1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W54" i="66"/>
  <c r="Y54" i="66" s="1"/>
  <c r="R54" i="66"/>
  <c r="S54" i="66" s="1"/>
  <c r="U54" i="66" s="1"/>
  <c r="V54" i="66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V6" i="66"/>
  <c r="R6" i="66"/>
  <c r="W102" i="66"/>
  <c r="Y102" i="66" s="1"/>
  <c r="R102" i="66"/>
  <c r="S102" i="66" s="1"/>
  <c r="U102" i="66" s="1"/>
  <c r="V102" i="66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P54" i="74"/>
  <c r="AA54" i="74"/>
  <c r="Z54" i="74"/>
  <c r="P6" i="74"/>
  <c r="Z6" i="74"/>
  <c r="AA6" i="74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132" i="72"/>
  <c r="F132" i="72" s="1"/>
  <c r="R150" i="66"/>
  <c r="V150" i="66"/>
  <c r="E101" i="72"/>
  <c r="F101" i="72" s="1"/>
  <c r="H289" i="72" l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257" i="72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9" i="72"/>
  <c r="F9" i="72" s="1"/>
  <c r="G10" i="72" s="1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226" i="72"/>
  <c r="F226" i="72" s="1"/>
  <c r="W54" i="74"/>
  <c r="Y54" i="74" s="1"/>
  <c r="R54" i="74"/>
  <c r="S54" i="74" s="1"/>
  <c r="U54" i="74" s="1"/>
  <c r="V54" i="74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R6" i="74"/>
  <c r="V6" i="74"/>
  <c r="E163" i="72"/>
  <c r="F163" i="72" s="1"/>
  <c r="W102" i="74"/>
  <c r="Y102" i="74" s="1"/>
  <c r="V102" i="74"/>
  <c r="R102" i="74"/>
  <c r="S102" i="74" s="1"/>
  <c r="U102" i="74" s="1"/>
  <c r="E133" i="72" l="1"/>
  <c r="F133" i="72" s="1"/>
  <c r="G134" i="72" s="1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289" i="72"/>
  <c r="F289" i="72" s="1"/>
  <c r="E10" i="72"/>
  <c r="F10" i="72" s="1"/>
  <c r="E70" i="72"/>
  <c r="F70" i="72" s="1"/>
  <c r="E195" i="72"/>
  <c r="F195" i="72" s="1"/>
  <c r="E102" i="72"/>
  <c r="F102" i="72" s="1"/>
  <c r="E40" i="72"/>
  <c r="F40" i="72" s="1"/>
  <c r="E258" i="72"/>
  <c r="F258" i="72" s="1"/>
  <c r="E134" i="72" l="1"/>
  <c r="F134" i="72" s="1"/>
  <c r="G135" i="72" s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227" i="72"/>
  <c r="F227" i="72" s="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64" i="72"/>
  <c r="F164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11" i="72" l="1"/>
  <c r="F11" i="72" s="1"/>
  <c r="G12" i="72" s="1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3" i="72"/>
  <c r="F103" i="72" s="1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41" i="72"/>
  <c r="F41" i="72" s="1"/>
  <c r="E135" i="72"/>
  <c r="F135" i="72" s="1"/>
  <c r="E290" i="72"/>
  <c r="F290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196" i="72"/>
  <c r="F196" i="72" s="1"/>
  <c r="E259" i="72"/>
  <c r="F259" i="72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72" i="72" l="1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165" i="72"/>
  <c r="F165" i="72" s="1"/>
  <c r="G166" i="72" s="1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12" i="72"/>
  <c r="F12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4" i="72"/>
  <c r="F104" i="72" s="1"/>
  <c r="E228" i="72"/>
  <c r="F228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73" i="72" l="1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260" i="72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42" i="72"/>
  <c r="F42" i="72" s="1"/>
  <c r="G43" i="72" s="1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136" i="72"/>
  <c r="F136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197" i="72"/>
  <c r="F197" i="72" s="1"/>
  <c r="E291" i="72"/>
  <c r="F291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66" i="72"/>
  <c r="F166" i="72" s="1"/>
  <c r="E43" i="72" l="1"/>
  <c r="F43" i="72" s="1"/>
  <c r="G44" i="72" s="1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3" i="72"/>
  <c r="F13" i="72" s="1"/>
  <c r="G14" i="72" s="1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5" i="72"/>
  <c r="F105" i="72" s="1"/>
  <c r="E261" i="72"/>
  <c r="F261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229" i="72"/>
  <c r="F229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137" i="72" l="1"/>
  <c r="F137" i="72" s="1"/>
  <c r="G138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44" i="72"/>
  <c r="F44" i="72" s="1"/>
  <c r="G45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14" i="72"/>
  <c r="F14" i="72" s="1"/>
  <c r="E167" i="72"/>
  <c r="F167" i="72" s="1"/>
  <c r="E292" i="72"/>
  <c r="F292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198" i="72"/>
  <c r="F198" i="72" s="1"/>
  <c r="H46" i="72" l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45" i="72"/>
  <c r="F45" i="72" s="1"/>
  <c r="G46" i="72" s="1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H139" i="72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8" i="72"/>
  <c r="F138" i="72" s="1"/>
  <c r="G139" i="72" s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06" i="72"/>
  <c r="F106" i="72" s="1"/>
  <c r="G107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262" i="72"/>
  <c r="F262" i="72" s="1"/>
  <c r="E230" i="72"/>
  <c r="F230" i="72" s="1"/>
  <c r="E139" i="72" l="1"/>
  <c r="F139" i="72" s="1"/>
  <c r="H108" i="72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168" i="72"/>
  <c r="F168" i="72" s="1"/>
  <c r="G169" i="72" s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46" i="72"/>
  <c r="F46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199" i="72"/>
  <c r="F199" i="72" s="1"/>
  <c r="E77" i="72"/>
  <c r="F77" i="72" s="1"/>
  <c r="E15" i="72"/>
  <c r="F15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108" i="72" l="1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140" i="72"/>
  <c r="F140" i="72" s="1"/>
  <c r="G141" i="72" s="1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263" i="72"/>
  <c r="F263" i="72" s="1"/>
  <c r="E231" i="72"/>
  <c r="F231" i="72" s="1"/>
  <c r="E169" i="72"/>
  <c r="F169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295" i="72" l="1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47" i="72"/>
  <c r="F47" i="72" s="1"/>
  <c r="G48" i="72" s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141" i="72"/>
  <c r="F141" i="72" s="1"/>
  <c r="G142" i="72" s="1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109" i="72"/>
  <c r="F109" i="72" s="1"/>
  <c r="E16" i="72"/>
  <c r="F16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00" i="72"/>
  <c r="F200" i="72" s="1"/>
  <c r="E142" i="72" l="1"/>
  <c r="F142" i="72" s="1"/>
  <c r="G143" i="72" s="1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264" i="72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170" i="72"/>
  <c r="F170" i="72" s="1"/>
  <c r="G171" i="72" s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79" i="72"/>
  <c r="F79" i="72" s="1"/>
  <c r="E48" i="72"/>
  <c r="F48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232" i="72"/>
  <c r="F232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171" i="72" l="1"/>
  <c r="F171" i="72" s="1"/>
  <c r="G172" i="72" s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297" i="72"/>
  <c r="F297" i="72" s="1"/>
  <c r="E17" i="72"/>
  <c r="F17" i="72" s="1"/>
  <c r="E143" i="72"/>
  <c r="F143" i="72" s="1"/>
  <c r="E201" i="72"/>
  <c r="F201" i="72" s="1"/>
  <c r="E265" i="72"/>
  <c r="F265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80" i="72" l="1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49" i="72"/>
  <c r="F49" i="72" s="1"/>
  <c r="E172" i="72"/>
  <c r="F172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233" i="72"/>
  <c r="F233" i="72" s="1"/>
  <c r="E144" i="72" l="1"/>
  <c r="F144" i="72" s="1"/>
  <c r="G145" i="72" s="1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18" i="72"/>
  <c r="F18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02" i="72"/>
  <c r="F202" i="72" s="1"/>
  <c r="E298" i="72"/>
  <c r="F298" i="72" s="1"/>
  <c r="E112" i="72"/>
  <c r="F112" i="72" s="1"/>
  <c r="E266" i="72"/>
  <c r="F266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82" i="72" l="1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173" i="72"/>
  <c r="F173" i="72" s="1"/>
  <c r="G174" i="72" s="1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234" i="72"/>
  <c r="F234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145" i="72"/>
  <c r="F145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50" i="72"/>
  <c r="F50" i="72" s="1"/>
  <c r="E113" i="72" l="1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19" i="72"/>
  <c r="F19" i="72" s="1"/>
  <c r="E174" i="72"/>
  <c r="F174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203" i="72"/>
  <c r="F203" i="72" s="1"/>
  <c r="E83" i="72"/>
  <c r="F83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299" i="72"/>
  <c r="F299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51" i="72" l="1"/>
  <c r="F51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235" i="72"/>
  <c r="F235" i="72" s="1"/>
  <c r="E114" i="72"/>
  <c r="F114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68" i="72"/>
  <c r="F268" i="72" s="1"/>
  <c r="E146" i="72"/>
  <c r="F146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20" i="72" l="1"/>
  <c r="F20" i="72" s="1"/>
  <c r="E204" i="72"/>
  <c r="F204" i="72" s="1"/>
  <c r="E175" i="72"/>
  <c r="F175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E84" i="72"/>
  <c r="F84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300" i="72"/>
  <c r="F300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269" i="72" l="1"/>
  <c r="F269" i="72" s="1"/>
  <c r="G270" i="72" s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147" i="72"/>
  <c r="F147" i="72" s="1"/>
  <c r="G148" i="72" s="1"/>
  <c r="H149" i="72" s="1"/>
  <c r="I150" i="72" s="1"/>
  <c r="J151" i="72" s="1"/>
  <c r="K152" i="72" s="1"/>
  <c r="L153" i="72" s="1"/>
  <c r="M154" i="72" s="1"/>
  <c r="N155" i="72" s="1"/>
  <c r="O156" i="72" s="1"/>
  <c r="E52" i="72"/>
  <c r="F52" i="72" s="1"/>
  <c r="G53" i="72" s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236" i="72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115" i="72"/>
  <c r="F115" i="72" s="1"/>
  <c r="E270" i="72" l="1"/>
  <c r="F270" i="72" s="1"/>
  <c r="G271" i="72" s="1"/>
  <c r="H272" i="72" s="1"/>
  <c r="I273" i="72" s="1"/>
  <c r="J274" i="72" s="1"/>
  <c r="K275" i="72" s="1"/>
  <c r="L276" i="72" s="1"/>
  <c r="M277" i="72" s="1"/>
  <c r="N278" i="72" s="1"/>
  <c r="O279" i="72" s="1"/>
  <c r="P280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148" i="72"/>
  <c r="F148" i="72" s="1"/>
  <c r="G149" i="72" s="1"/>
  <c r="H150" i="72" s="1"/>
  <c r="I151" i="72" s="1"/>
  <c r="J152" i="72" s="1"/>
  <c r="K153" i="72" s="1"/>
  <c r="L154" i="72" s="1"/>
  <c r="M155" i="72" s="1"/>
  <c r="N156" i="72" s="1"/>
  <c r="E21" i="72"/>
  <c r="F21" i="72" s="1"/>
  <c r="G22" i="72" s="1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237" i="72"/>
  <c r="F237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E85" i="72"/>
  <c r="F85" i="72" s="1"/>
  <c r="E53" i="72"/>
  <c r="F53" i="72" s="1"/>
  <c r="E176" i="72"/>
  <c r="F176" i="72" s="1"/>
  <c r="E205" i="72"/>
  <c r="F205" i="72" s="1"/>
  <c r="E271" i="72" l="1"/>
  <c r="F271" i="72" s="1"/>
  <c r="G272" i="72" s="1"/>
  <c r="H273" i="72" s="1"/>
  <c r="I274" i="72" s="1"/>
  <c r="J275" i="72" s="1"/>
  <c r="K276" i="72" s="1"/>
  <c r="L277" i="72" s="1"/>
  <c r="M278" i="72" s="1"/>
  <c r="N279" i="72" s="1"/>
  <c r="O280" i="72" s="1"/>
  <c r="E149" i="72"/>
  <c r="F149" i="72" s="1"/>
  <c r="G150" i="72" s="1"/>
  <c r="H151" i="72" s="1"/>
  <c r="I152" i="72" s="1"/>
  <c r="J153" i="72" s="1"/>
  <c r="K154" i="72" s="1"/>
  <c r="L155" i="72" s="1"/>
  <c r="M156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16" i="72"/>
  <c r="F116" i="72" s="1"/>
  <c r="E22" i="72"/>
  <c r="F22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302" i="72"/>
  <c r="F302" i="72" s="1"/>
  <c r="G86" i="72"/>
  <c r="H87" i="72" s="1"/>
  <c r="I88" i="72" s="1"/>
  <c r="J89" i="72" s="1"/>
  <c r="K90" i="72" s="1"/>
  <c r="L91" i="72" s="1"/>
  <c r="M92" i="72" s="1"/>
  <c r="N93" i="72" s="1"/>
  <c r="O94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206" i="72"/>
  <c r="F206" i="72" s="1"/>
  <c r="E272" i="72"/>
  <c r="F272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E177" i="72"/>
  <c r="F177" i="72" s="1"/>
  <c r="E150" i="72"/>
  <c r="F150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54" i="72"/>
  <c r="F54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E117" i="72" l="1"/>
  <c r="F117" i="72" s="1"/>
  <c r="G118" i="72" s="1"/>
  <c r="H119" i="72" s="1"/>
  <c r="I120" i="72" s="1"/>
  <c r="J121" i="72" s="1"/>
  <c r="K122" i="72" s="1"/>
  <c r="L123" i="72" s="1"/>
  <c r="M124" i="72" s="1"/>
  <c r="N125" i="72" s="1"/>
  <c r="E239" i="72"/>
  <c r="F239" i="72" s="1"/>
  <c r="G55" i="72"/>
  <c r="H56" i="72" s="1"/>
  <c r="I57" i="72" s="1"/>
  <c r="J58" i="72" s="1"/>
  <c r="K59" i="72" s="1"/>
  <c r="L60" i="72" s="1"/>
  <c r="M61" i="72" s="1"/>
  <c r="N62" i="72" s="1"/>
  <c r="O63" i="72" s="1"/>
  <c r="E23" i="72"/>
  <c r="F23" i="72" s="1"/>
  <c r="E303" i="72"/>
  <c r="F303" i="72" s="1"/>
  <c r="E87" i="72"/>
  <c r="F87" i="72" s="1"/>
  <c r="G273" i="72"/>
  <c r="H274" i="72" s="1"/>
  <c r="I275" i="72" s="1"/>
  <c r="J276" i="72" s="1"/>
  <c r="K277" i="72" s="1"/>
  <c r="L278" i="72" s="1"/>
  <c r="M279" i="72" s="1"/>
  <c r="N280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G151" i="72"/>
  <c r="H152" i="72" s="1"/>
  <c r="I153" i="72" s="1"/>
  <c r="J154" i="72" s="1"/>
  <c r="K155" i="72" s="1"/>
  <c r="L156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E151" i="72" l="1"/>
  <c r="F151" i="72" s="1"/>
  <c r="G152" i="72" s="1"/>
  <c r="H153" i="72" s="1"/>
  <c r="I154" i="72" s="1"/>
  <c r="J155" i="72" s="1"/>
  <c r="K156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273" i="72"/>
  <c r="F273" i="72" s="1"/>
  <c r="E178" i="72"/>
  <c r="F178" i="72" s="1"/>
  <c r="G88" i="72"/>
  <c r="H89" i="72" s="1"/>
  <c r="I90" i="72" s="1"/>
  <c r="J91" i="72" s="1"/>
  <c r="K92" i="72" s="1"/>
  <c r="L93" i="72" s="1"/>
  <c r="M94" i="72" s="1"/>
  <c r="G304" i="72"/>
  <c r="H305" i="72" s="1"/>
  <c r="I306" i="72" s="1"/>
  <c r="J307" i="72" s="1"/>
  <c r="K308" i="72" s="1"/>
  <c r="L309" i="72" s="1"/>
  <c r="M310" i="72" s="1"/>
  <c r="N311" i="72" s="1"/>
  <c r="G24" i="72"/>
  <c r="H25" i="72" s="1"/>
  <c r="I26" i="72" s="1"/>
  <c r="J27" i="72" s="1"/>
  <c r="K28" i="72" s="1"/>
  <c r="L29" i="72" s="1"/>
  <c r="M30" i="72" s="1"/>
  <c r="N31" i="72" s="1"/>
  <c r="O32" i="72" s="1"/>
  <c r="E55" i="72"/>
  <c r="F55" i="72" s="1"/>
  <c r="E118" i="72"/>
  <c r="F118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E304" i="72" l="1"/>
  <c r="F304" i="72" s="1"/>
  <c r="E88" i="72"/>
  <c r="F88" i="72" s="1"/>
  <c r="E24" i="72"/>
  <c r="F24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G119" i="72"/>
  <c r="H120" i="72" s="1"/>
  <c r="I121" i="72" s="1"/>
  <c r="J122" i="72" s="1"/>
  <c r="K123" i="72" s="1"/>
  <c r="L124" i="72" s="1"/>
  <c r="M125" i="72" s="1"/>
  <c r="G274" i="72"/>
  <c r="H275" i="72" s="1"/>
  <c r="I276" i="72" s="1"/>
  <c r="J277" i="72" s="1"/>
  <c r="K278" i="72" s="1"/>
  <c r="L279" i="72" s="1"/>
  <c r="M280" i="72" s="1"/>
  <c r="E152" i="72"/>
  <c r="F152" i="72" s="1"/>
  <c r="E208" i="72"/>
  <c r="F208" i="72" s="1"/>
  <c r="G56" i="72"/>
  <c r="H57" i="72" s="1"/>
  <c r="I58" i="72" s="1"/>
  <c r="J59" i="72" s="1"/>
  <c r="K60" i="72" s="1"/>
  <c r="L61" i="72" s="1"/>
  <c r="M62" i="72" s="1"/>
  <c r="N63" i="72" s="1"/>
  <c r="E240" i="72"/>
  <c r="F240" i="72" s="1"/>
  <c r="E274" i="72" l="1"/>
  <c r="F274" i="72" s="1"/>
  <c r="G275" i="72" s="1"/>
  <c r="H276" i="72" s="1"/>
  <c r="I277" i="72" s="1"/>
  <c r="J278" i="72" s="1"/>
  <c r="K279" i="72" s="1"/>
  <c r="L280" i="72" s="1"/>
  <c r="E119" i="72"/>
  <c r="F119" i="72" s="1"/>
  <c r="G120" i="72" s="1"/>
  <c r="H121" i="72" s="1"/>
  <c r="I122" i="72" s="1"/>
  <c r="J123" i="72" s="1"/>
  <c r="K124" i="72" s="1"/>
  <c r="L125" i="72" s="1"/>
  <c r="E56" i="72"/>
  <c r="F56" i="72" s="1"/>
  <c r="E179" i="72"/>
  <c r="F179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G25" i="72"/>
  <c r="H26" i="72" s="1"/>
  <c r="I27" i="72" s="1"/>
  <c r="J28" i="72" s="1"/>
  <c r="K29" i="72" s="1"/>
  <c r="L30" i="72" s="1"/>
  <c r="M31" i="72" s="1"/>
  <c r="N32" i="72" s="1"/>
  <c r="G153" i="72"/>
  <c r="H154" i="72" s="1"/>
  <c r="I155" i="72" s="1"/>
  <c r="J156" i="72" s="1"/>
  <c r="G89" i="72"/>
  <c r="H90" i="72" s="1"/>
  <c r="I91" i="72" s="1"/>
  <c r="J92" i="72" s="1"/>
  <c r="K93" i="72" s="1"/>
  <c r="L94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G305" i="72"/>
  <c r="H306" i="72" s="1"/>
  <c r="I307" i="72" s="1"/>
  <c r="J308" i="72" s="1"/>
  <c r="K309" i="72" s="1"/>
  <c r="L310" i="72" s="1"/>
  <c r="M311" i="72" s="1"/>
  <c r="E305" i="72" l="1"/>
  <c r="F305" i="72" s="1"/>
  <c r="G306" i="72" s="1"/>
  <c r="H307" i="72" s="1"/>
  <c r="I308" i="72" s="1"/>
  <c r="J309" i="72" s="1"/>
  <c r="K310" i="72" s="1"/>
  <c r="L311" i="72" s="1"/>
  <c r="E153" i="72"/>
  <c r="F153" i="72" s="1"/>
  <c r="G154" i="72" s="1"/>
  <c r="H155" i="72" s="1"/>
  <c r="I156" i="72" s="1"/>
  <c r="E241" i="72"/>
  <c r="F241" i="72" s="1"/>
  <c r="G242" i="72" s="1"/>
  <c r="H243" i="72" s="1"/>
  <c r="I244" i="72" s="1"/>
  <c r="J245" i="72" s="1"/>
  <c r="K246" i="72" s="1"/>
  <c r="L247" i="72" s="1"/>
  <c r="M248" i="72" s="1"/>
  <c r="N249" i="72" s="1"/>
  <c r="E120" i="72"/>
  <c r="F120" i="72" s="1"/>
  <c r="G121" i="72" s="1"/>
  <c r="H122" i="72" s="1"/>
  <c r="I123" i="72" s="1"/>
  <c r="J124" i="72" s="1"/>
  <c r="K125" i="72" s="1"/>
  <c r="E89" i="72"/>
  <c r="F89" i="72" s="1"/>
  <c r="E25" i="72"/>
  <c r="F25" i="72" s="1"/>
  <c r="E275" i="72"/>
  <c r="F275" i="72" s="1"/>
  <c r="E209" i="72"/>
  <c r="F209" i="72" s="1"/>
  <c r="G180" i="72"/>
  <c r="H181" i="72" s="1"/>
  <c r="I182" i="72" s="1"/>
  <c r="J183" i="72" s="1"/>
  <c r="K184" i="72" s="1"/>
  <c r="L185" i="72" s="1"/>
  <c r="M186" i="72" s="1"/>
  <c r="N187" i="72" s="1"/>
  <c r="G57" i="72"/>
  <c r="H58" i="72" s="1"/>
  <c r="I59" i="72" s="1"/>
  <c r="J60" i="72" s="1"/>
  <c r="K61" i="72" s="1"/>
  <c r="L62" i="72" s="1"/>
  <c r="M63" i="72" s="1"/>
  <c r="E121" i="72" l="1"/>
  <c r="F121" i="72" s="1"/>
  <c r="G122" i="72" s="1"/>
  <c r="H123" i="72" s="1"/>
  <c r="I124" i="72" s="1"/>
  <c r="J125" i="72" s="1"/>
  <c r="E180" i="72"/>
  <c r="F180" i="72" s="1"/>
  <c r="G181" i="72" s="1"/>
  <c r="H182" i="72" s="1"/>
  <c r="I183" i="72" s="1"/>
  <c r="J184" i="72" s="1"/>
  <c r="K185" i="72" s="1"/>
  <c r="L186" i="72" s="1"/>
  <c r="M187" i="72" s="1"/>
  <c r="E154" i="72"/>
  <c r="F154" i="72" s="1"/>
  <c r="G155" i="72" s="1"/>
  <c r="H156" i="72" s="1"/>
  <c r="E57" i="72"/>
  <c r="F57" i="72" s="1"/>
  <c r="G58" i="72" s="1"/>
  <c r="H59" i="72" s="1"/>
  <c r="I60" i="72" s="1"/>
  <c r="J61" i="72" s="1"/>
  <c r="K62" i="72" s="1"/>
  <c r="L63" i="72" s="1"/>
  <c r="E306" i="72"/>
  <c r="F306" i="72" s="1"/>
  <c r="G307" i="72" s="1"/>
  <c r="H308" i="72" s="1"/>
  <c r="I309" i="72" s="1"/>
  <c r="J310" i="72" s="1"/>
  <c r="K311" i="72" s="1"/>
  <c r="E242" i="72"/>
  <c r="F242" i="72" s="1"/>
  <c r="G26" i="72"/>
  <c r="H27" i="72" s="1"/>
  <c r="I28" i="72" s="1"/>
  <c r="J29" i="72" s="1"/>
  <c r="K30" i="72" s="1"/>
  <c r="L31" i="72" s="1"/>
  <c r="M32" i="72" s="1"/>
  <c r="G276" i="72"/>
  <c r="H277" i="72" s="1"/>
  <c r="I278" i="72" s="1"/>
  <c r="J279" i="72" s="1"/>
  <c r="K280" i="72" s="1"/>
  <c r="G90" i="72"/>
  <c r="H91" i="72" s="1"/>
  <c r="I92" i="72" s="1"/>
  <c r="J93" i="72" s="1"/>
  <c r="K94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E58" i="72" l="1"/>
  <c r="F58" i="72" s="1"/>
  <c r="G59" i="72" s="1"/>
  <c r="H60" i="72" s="1"/>
  <c r="I61" i="72" s="1"/>
  <c r="J62" i="72" s="1"/>
  <c r="K63" i="72" s="1"/>
  <c r="E122" i="72"/>
  <c r="F122" i="72" s="1"/>
  <c r="E181" i="72"/>
  <c r="F181" i="72" s="1"/>
  <c r="G182" i="72" s="1"/>
  <c r="H183" i="72" s="1"/>
  <c r="I184" i="72" s="1"/>
  <c r="J185" i="72" s="1"/>
  <c r="K186" i="72" s="1"/>
  <c r="L187" i="72" s="1"/>
  <c r="E155" i="72"/>
  <c r="F155" i="72" s="1"/>
  <c r="G156" i="72" s="1"/>
  <c r="E156" i="72" s="1"/>
  <c r="F156" i="72" s="1"/>
  <c r="E276" i="72"/>
  <c r="F276" i="72" s="1"/>
  <c r="E307" i="72"/>
  <c r="F307" i="72" s="1"/>
  <c r="E210" i="72"/>
  <c r="F210" i="72" s="1"/>
  <c r="E90" i="72"/>
  <c r="F90" i="72" s="1"/>
  <c r="E26" i="72"/>
  <c r="F26" i="72" s="1"/>
  <c r="G243" i="72"/>
  <c r="H244" i="72" s="1"/>
  <c r="I245" i="72" s="1"/>
  <c r="J246" i="72" s="1"/>
  <c r="K247" i="72" s="1"/>
  <c r="L248" i="72" s="1"/>
  <c r="M249" i="72" s="1"/>
  <c r="G277" i="72" l="1"/>
  <c r="H278" i="72" s="1"/>
  <c r="I279" i="72" s="1"/>
  <c r="J280" i="72" s="1"/>
  <c r="G123" i="72"/>
  <c r="H124" i="72" s="1"/>
  <c r="I125" i="72" s="1"/>
  <c r="E243" i="72"/>
  <c r="F243" i="72" s="1"/>
  <c r="G244" i="72" s="1"/>
  <c r="H245" i="72" s="1"/>
  <c r="I246" i="72" s="1"/>
  <c r="J247" i="72" s="1"/>
  <c r="K248" i="72" s="1"/>
  <c r="L249" i="72" s="1"/>
  <c r="E59" i="72"/>
  <c r="F59" i="72" s="1"/>
  <c r="G60" i="72" s="1"/>
  <c r="H61" i="72" s="1"/>
  <c r="I62" i="72" s="1"/>
  <c r="J63" i="72" s="1"/>
  <c r="G91" i="72"/>
  <c r="H92" i="72" s="1"/>
  <c r="I93" i="72" s="1"/>
  <c r="J94" i="72" s="1"/>
  <c r="G211" i="72"/>
  <c r="H212" i="72" s="1"/>
  <c r="I213" i="72" s="1"/>
  <c r="J214" i="72" s="1"/>
  <c r="K215" i="72" s="1"/>
  <c r="L216" i="72" s="1"/>
  <c r="M217" i="72" s="1"/>
  <c r="N218" i="72" s="1"/>
  <c r="E182" i="72"/>
  <c r="F182" i="72" s="1"/>
  <c r="G27" i="72"/>
  <c r="H28" i="72" s="1"/>
  <c r="I29" i="72" s="1"/>
  <c r="J30" i="72" s="1"/>
  <c r="K31" i="72" s="1"/>
  <c r="L32" i="72" s="1"/>
  <c r="G308" i="72"/>
  <c r="H309" i="72" s="1"/>
  <c r="I310" i="72" s="1"/>
  <c r="J311" i="72" s="1"/>
  <c r="E211" i="72" l="1"/>
  <c r="F211" i="72" s="1"/>
  <c r="G212" i="72" s="1"/>
  <c r="H213" i="72" s="1"/>
  <c r="I214" i="72" s="1"/>
  <c r="J215" i="72" s="1"/>
  <c r="K216" i="72" s="1"/>
  <c r="L217" i="72" s="1"/>
  <c r="M218" i="72" s="1"/>
  <c r="E27" i="72"/>
  <c r="F27" i="72" s="1"/>
  <c r="G28" i="72" s="1"/>
  <c r="H29" i="72" s="1"/>
  <c r="I30" i="72" s="1"/>
  <c r="J31" i="72" s="1"/>
  <c r="K32" i="72" s="1"/>
  <c r="E123" i="72"/>
  <c r="F123" i="72" s="1"/>
  <c r="G124" i="72" s="1"/>
  <c r="H125" i="72" s="1"/>
  <c r="E277" i="72"/>
  <c r="F277" i="72" s="1"/>
  <c r="G278" i="72" s="1"/>
  <c r="H279" i="72" s="1"/>
  <c r="I280" i="72" s="1"/>
  <c r="E60" i="72"/>
  <c r="F60" i="72" s="1"/>
  <c r="E91" i="72"/>
  <c r="F91" i="72" s="1"/>
  <c r="G183" i="72"/>
  <c r="H184" i="72" s="1"/>
  <c r="I185" i="72" s="1"/>
  <c r="J186" i="72" s="1"/>
  <c r="K187" i="72" s="1"/>
  <c r="E308" i="72"/>
  <c r="F308" i="72" s="1"/>
  <c r="E244" i="72"/>
  <c r="F244" i="72" s="1"/>
  <c r="E212" i="72" l="1"/>
  <c r="F212" i="72" s="1"/>
  <c r="G213" i="72" s="1"/>
  <c r="H214" i="72" s="1"/>
  <c r="I215" i="72" s="1"/>
  <c r="J216" i="72" s="1"/>
  <c r="K217" i="72" s="1"/>
  <c r="L218" i="72" s="1"/>
  <c r="E124" i="72"/>
  <c r="F124" i="72" s="1"/>
  <c r="G125" i="72" s="1"/>
  <c r="E125" i="72" s="1"/>
  <c r="F125" i="72" s="1"/>
  <c r="AL125" i="72" s="1"/>
  <c r="E278" i="72"/>
  <c r="F278" i="72" s="1"/>
  <c r="G279" i="72" s="1"/>
  <c r="H280" i="72" s="1"/>
  <c r="G92" i="72"/>
  <c r="H93" i="72" s="1"/>
  <c r="I94" i="72" s="1"/>
  <c r="G245" i="72"/>
  <c r="H246" i="72" s="1"/>
  <c r="I247" i="72" s="1"/>
  <c r="J248" i="72" s="1"/>
  <c r="K249" i="72" s="1"/>
  <c r="G61" i="72"/>
  <c r="H62" i="72" s="1"/>
  <c r="I63" i="72" s="1"/>
  <c r="E28" i="72"/>
  <c r="F28" i="72" s="1"/>
  <c r="E183" i="72"/>
  <c r="F183" i="72" s="1"/>
  <c r="G309" i="72"/>
  <c r="H310" i="72" s="1"/>
  <c r="I311" i="72" s="1"/>
  <c r="E245" i="72" l="1"/>
  <c r="F245" i="72" s="1"/>
  <c r="E309" i="72"/>
  <c r="F309" i="72" s="1"/>
  <c r="E92" i="72"/>
  <c r="F92" i="72" s="1"/>
  <c r="G184" i="72"/>
  <c r="H185" i="72" s="1"/>
  <c r="I186" i="72" s="1"/>
  <c r="J187" i="72" s="1"/>
  <c r="E279" i="72"/>
  <c r="F279" i="72" s="1"/>
  <c r="G280" i="72" s="1"/>
  <c r="E280" i="72" s="1"/>
  <c r="F280" i="72" s="1"/>
  <c r="G29" i="72"/>
  <c r="H30" i="72" s="1"/>
  <c r="I31" i="72" s="1"/>
  <c r="J32" i="72" s="1"/>
  <c r="E61" i="72"/>
  <c r="F61" i="72" s="1"/>
  <c r="E213" i="72"/>
  <c r="F213" i="72" s="1"/>
  <c r="E29" i="72" l="1"/>
  <c r="F29" i="72" s="1"/>
  <c r="G62" i="72"/>
  <c r="H63" i="72" s="1"/>
  <c r="G214" i="72"/>
  <c r="H215" i="72" s="1"/>
  <c r="I216" i="72" s="1"/>
  <c r="J217" i="72" s="1"/>
  <c r="K218" i="72" s="1"/>
  <c r="E184" i="72"/>
  <c r="F184" i="72" s="1"/>
  <c r="G93" i="72"/>
  <c r="H94" i="72" s="1"/>
  <c r="G310" i="72"/>
  <c r="H311" i="72" s="1"/>
  <c r="G246" i="72"/>
  <c r="H247" i="72" s="1"/>
  <c r="I248" i="72" s="1"/>
  <c r="J249" i="72" s="1"/>
  <c r="E93" i="72" l="1"/>
  <c r="F93" i="72" s="1"/>
  <c r="G94" i="72" s="1"/>
  <c r="E94" i="72" s="1"/>
  <c r="F94" i="72" s="1"/>
  <c r="AL94" i="72" s="1"/>
  <c r="AL127" i="72" s="1"/>
  <c r="G185" i="72"/>
  <c r="H186" i="72" s="1"/>
  <c r="I187" i="72" s="1"/>
  <c r="E246" i="72"/>
  <c r="F246" i="72" s="1"/>
  <c r="E310" i="72"/>
  <c r="F310" i="72" s="1"/>
  <c r="G311" i="72" s="1"/>
  <c r="E311" i="72" s="1"/>
  <c r="F311" i="72" s="1"/>
  <c r="E214" i="72"/>
  <c r="F214" i="72" s="1"/>
  <c r="E62" i="72"/>
  <c r="F62" i="72" s="1"/>
  <c r="G63" i="72" s="1"/>
  <c r="E63" i="72" s="1"/>
  <c r="F63" i="72" s="1"/>
  <c r="AL63" i="72" s="1"/>
  <c r="G30" i="72"/>
  <c r="H31" i="72" s="1"/>
  <c r="I32" i="72" s="1"/>
  <c r="E185" i="72" l="1"/>
  <c r="F185" i="72" s="1"/>
  <c r="G186" i="72" s="1"/>
  <c r="H187" i="72" s="1"/>
  <c r="G215" i="72"/>
  <c r="H216" i="72" s="1"/>
  <c r="I217" i="72" s="1"/>
  <c r="J218" i="72" s="1"/>
  <c r="G247" i="72"/>
  <c r="H248" i="72" s="1"/>
  <c r="I249" i="72" s="1"/>
  <c r="E30" i="72"/>
  <c r="F30" i="72" s="1"/>
  <c r="G31" i="72" l="1"/>
  <c r="H32" i="72" s="1"/>
  <c r="E186" i="72"/>
  <c r="F186" i="72" s="1"/>
  <c r="G187" i="72" s="1"/>
  <c r="E187" i="72" s="1"/>
  <c r="F187" i="72" s="1"/>
  <c r="E247" i="72"/>
  <c r="F247" i="72" s="1"/>
  <c r="E215" i="72"/>
  <c r="F215" i="72" s="1"/>
  <c r="G216" i="72" l="1"/>
  <c r="H217" i="72" s="1"/>
  <c r="I218" i="72" s="1"/>
  <c r="G248" i="72"/>
  <c r="H249" i="72" s="1"/>
  <c r="E31" i="72"/>
  <c r="F31" i="72" s="1"/>
  <c r="G32" i="72" l="1"/>
  <c r="E32" i="72" s="1"/>
  <c r="F32" i="72" s="1"/>
  <c r="AL32" i="72" s="1"/>
  <c r="E248" i="72"/>
  <c r="F248" i="72" s="1"/>
  <c r="E216" i="72"/>
  <c r="F216" i="72" s="1"/>
  <c r="G217" i="72" l="1"/>
  <c r="H218" i="72" s="1"/>
  <c r="G249" i="72"/>
  <c r="E249" i="72" s="1"/>
  <c r="F249" i="72" s="1"/>
  <c r="E217" i="72" l="1"/>
  <c r="F217" i="72" s="1"/>
  <c r="G218" i="72" l="1"/>
  <c r="E218" i="72" s="1"/>
  <c r="F218" i="72" s="1"/>
  <c r="E30" i="26" s="1" a="1"/>
  <c r="E30" i="26" s="1"/>
  <c r="I193" i="35" s="1"/>
  <c r="E28" i="26" a="1"/>
  <c r="E28" i="26" s="1"/>
  <c r="I191" i="35" s="1"/>
  <c r="F30" i="26" a="1"/>
  <c r="F30" i="26" s="1"/>
  <c r="G214" i="35" s="1"/>
  <c r="G26" i="26" a="1"/>
  <c r="G26" i="26" s="1"/>
  <c r="H210" i="35" s="1"/>
  <c r="E24" i="26" a="1"/>
  <c r="E24" i="26" s="1"/>
  <c r="I187" i="35" s="1"/>
  <c r="H36" i="26" a="1"/>
  <c r="H36" i="26" s="1"/>
  <c r="I220" i="35" s="1"/>
  <c r="F37" i="26" a="1"/>
  <c r="F37" i="26" s="1"/>
  <c r="G221" i="35" s="1"/>
  <c r="F34" i="26" a="1"/>
  <c r="F34" i="26" s="1"/>
  <c r="G218" i="35" s="1"/>
  <c r="H39" i="26" a="1"/>
  <c r="H39" i="26" s="1"/>
  <c r="G28" i="26" a="1"/>
  <c r="G28" i="26" s="1"/>
  <c r="H212" i="35" s="1"/>
  <c r="H34" i="26" a="1"/>
  <c r="H34" i="26" s="1"/>
  <c r="I218" i="35" s="1"/>
  <c r="H27" i="26" a="1"/>
  <c r="H27" i="26" s="1"/>
  <c r="D39" i="26" a="1"/>
  <c r="D39" i="26" s="1"/>
  <c r="E36" i="26" a="1"/>
  <c r="E36" i="26" s="1"/>
  <c r="I199" i="35" s="1"/>
  <c r="F41" i="26" a="1"/>
  <c r="F41" i="26" s="1"/>
  <c r="G225" i="35" s="1"/>
  <c r="F31" i="26" a="1"/>
  <c r="F31" i="26" s="1"/>
  <c r="F27" i="26" a="1"/>
  <c r="F27" i="26" s="1"/>
  <c r="D34" i="26" a="1"/>
  <c r="D34" i="26" s="1"/>
  <c r="H197" i="35" s="1"/>
  <c r="G33" i="26" a="1"/>
  <c r="G33" i="26" s="1"/>
  <c r="H217" i="35" s="1"/>
  <c r="D31" i="26" a="1"/>
  <c r="D31" i="26" s="1"/>
  <c r="D41" i="26" a="1"/>
  <c r="D41" i="26" s="1"/>
  <c r="H204" i="35" s="1"/>
  <c r="G36" i="26" a="1"/>
  <c r="G36" i="26" s="1"/>
  <c r="H220" i="35" s="1"/>
  <c r="H28" i="26" a="1"/>
  <c r="H28" i="26" s="1"/>
  <c r="I212" i="35" s="1"/>
  <c r="H42" i="26" a="1"/>
  <c r="H42" i="26" s="1"/>
  <c r="I226" i="35" s="1"/>
  <c r="H30" i="26" a="1"/>
  <c r="H30" i="26" s="1"/>
  <c r="I214" i="35" s="1"/>
  <c r="E41" i="26" a="1"/>
  <c r="E41" i="26" s="1"/>
  <c r="I204" i="35" s="1"/>
  <c r="E33" i="26" a="1"/>
  <c r="E33" i="26" s="1"/>
  <c r="I196" i="35" s="1"/>
  <c r="G42" i="26" a="1"/>
  <c r="G42" i="26" s="1"/>
  <c r="H226" i="35" s="1"/>
  <c r="H25" i="26" a="1"/>
  <c r="H25" i="26" s="1"/>
  <c r="I209" i="35" s="1"/>
  <c r="H33" i="26" a="1"/>
  <c r="H33" i="26" s="1"/>
  <c r="I217" i="35" s="1"/>
  <c r="E35" i="26" a="1"/>
  <c r="E35" i="26" s="1"/>
  <c r="H32" i="26" a="1"/>
  <c r="H32" i="26" s="1"/>
  <c r="I216" i="35" s="1"/>
  <c r="E27" i="26" a="1"/>
  <c r="E27" i="26" s="1"/>
  <c r="G40" i="26" a="1"/>
  <c r="G40" i="26" s="1"/>
  <c r="H224" i="35" s="1"/>
  <c r="D32" i="26" a="1"/>
  <c r="D32" i="26" s="1"/>
  <c r="H195" i="35" s="1"/>
  <c r="E32" i="26" a="1"/>
  <c r="E32" i="26" s="1"/>
  <c r="I195" i="35" s="1"/>
  <c r="H23" i="26" a="1"/>
  <c r="H23" i="26" s="1"/>
  <c r="D38" i="26" a="1"/>
  <c r="D38" i="26" s="1"/>
  <c r="H201" i="35" s="1"/>
  <c r="G34" i="26" a="1"/>
  <c r="G34" i="26" s="1"/>
  <c r="H218" i="35" s="1"/>
  <c r="E29" i="26" a="1"/>
  <c r="E29" i="26" s="1"/>
  <c r="I192" i="35" s="1"/>
  <c r="G32" i="26" a="1"/>
  <c r="G32" i="26" s="1"/>
  <c r="H216" i="35" s="1"/>
  <c r="F28" i="26" a="1"/>
  <c r="F28" i="26" s="1"/>
  <c r="G212" i="35" s="1"/>
  <c r="D37" i="26" a="1"/>
  <c r="D37" i="26" s="1"/>
  <c r="H200" i="35" s="1"/>
  <c r="F42" i="26" a="1"/>
  <c r="F42" i="26" s="1"/>
  <c r="G226" i="35" s="1"/>
  <c r="D40" i="26" a="1"/>
  <c r="D40" i="26" s="1"/>
  <c r="H203" i="35" s="1"/>
  <c r="F39" i="26" l="1" a="1"/>
  <c r="F39" i="26" s="1"/>
  <c r="H35" i="26" a="1"/>
  <c r="H35" i="26" s="1"/>
  <c r="E26" i="26" a="1"/>
  <c r="E26" i="26" s="1"/>
  <c r="I189" i="35" s="1"/>
  <c r="D26" i="26" a="1"/>
  <c r="D26" i="26" s="1"/>
  <c r="H189" i="35" s="1"/>
  <c r="H40" i="26" a="1"/>
  <c r="H40" i="26" s="1"/>
  <c r="I224" i="35" s="1"/>
  <c r="F35" i="26" a="1"/>
  <c r="F35" i="26" s="1"/>
  <c r="H26" i="26" a="1"/>
  <c r="H26" i="26" s="1"/>
  <c r="I210" i="35" s="1"/>
  <c r="G25" i="26" a="1"/>
  <c r="G25" i="26" s="1"/>
  <c r="H209" i="35" s="1"/>
  <c r="G39" i="26" a="1"/>
  <c r="G39" i="26" s="1"/>
  <c r="E31" i="26" a="1"/>
  <c r="E31" i="26" s="1"/>
  <c r="E34" i="26" a="1"/>
  <c r="E34" i="26" s="1"/>
  <c r="I197" i="35" s="1"/>
  <c r="D36" i="26" a="1"/>
  <c r="D36" i="26" s="1"/>
  <c r="H199" i="35" s="1"/>
  <c r="D35" i="26" a="1"/>
  <c r="D35" i="26" s="1"/>
  <c r="G41" i="26" a="1"/>
  <c r="G41" i="26" s="1"/>
  <c r="H225" i="35" s="1"/>
  <c r="G30" i="26" a="1"/>
  <c r="G30" i="26" s="1"/>
  <c r="H214" i="35" s="1"/>
  <c r="F25" i="26" a="1"/>
  <c r="F25" i="26" s="1"/>
  <c r="G209" i="35" s="1"/>
  <c r="F33" i="26" a="1"/>
  <c r="F33" i="26" s="1"/>
  <c r="G217" i="35" s="1"/>
  <c r="G35" i="26" a="1"/>
  <c r="G35" i="26" s="1"/>
  <c r="G24" i="26" a="1"/>
  <c r="G24" i="26" s="1"/>
  <c r="H208" i="35" s="1"/>
  <c r="E40" i="26" a="1"/>
  <c r="E40" i="26" s="1"/>
  <c r="I203" i="35" s="1"/>
  <c r="E23" i="26" a="1"/>
  <c r="E23" i="26" s="1"/>
  <c r="F32" i="26" a="1"/>
  <c r="F32" i="26" s="1"/>
  <c r="G216" i="35" s="1"/>
  <c r="E42" i="26" a="1"/>
  <c r="E42" i="26" s="1"/>
  <c r="I205" i="35" s="1"/>
  <c r="D27" i="26" a="1"/>
  <c r="D27" i="26" s="1"/>
  <c r="G23" i="26" a="1"/>
  <c r="G23" i="26" s="1"/>
  <c r="E38" i="26" a="1"/>
  <c r="E38" i="26" s="1"/>
  <c r="I201" i="35" s="1"/>
  <c r="E25" i="26" a="1"/>
  <c r="E25" i="26" s="1"/>
  <c r="I188" i="35" s="1"/>
  <c r="H29" i="26" a="1"/>
  <c r="H29" i="26" s="1"/>
  <c r="I213" i="35" s="1"/>
  <c r="H37" i="26" a="1"/>
  <c r="H37" i="26" s="1"/>
  <c r="I221" i="35" s="1"/>
  <c r="D30" i="26" a="1"/>
  <c r="D30" i="26" s="1"/>
  <c r="H193" i="35" s="1"/>
  <c r="H31" i="26" a="1"/>
  <c r="H31" i="26" s="1"/>
  <c r="H38" i="26" a="1"/>
  <c r="H38" i="26" s="1"/>
  <c r="I222" i="35" s="1"/>
  <c r="E37" i="26" a="1"/>
  <c r="E37" i="26" s="1"/>
  <c r="I200" i="35" s="1"/>
  <c r="G29" i="26" a="1"/>
  <c r="G29" i="26" s="1"/>
  <c r="H213" i="35" s="1"/>
  <c r="F29" i="26" a="1"/>
  <c r="F29" i="26" s="1"/>
  <c r="G213" i="35" s="1"/>
  <c r="E39" i="26" a="1"/>
  <c r="E39" i="26" s="1"/>
  <c r="D25" i="26" a="1"/>
  <c r="D25" i="26" s="1"/>
  <c r="H188" i="35" s="1"/>
  <c r="D24" i="26" a="1"/>
  <c r="D24" i="26" s="1"/>
  <c r="H187" i="35" s="1"/>
  <c r="F36" i="26" a="1"/>
  <c r="F36" i="26" s="1"/>
  <c r="G220" i="35" s="1"/>
  <c r="F38" i="26" a="1"/>
  <c r="F38" i="26" s="1"/>
  <c r="G222" i="35" s="1"/>
  <c r="F23" i="26" a="1"/>
  <c r="F23" i="26" s="1"/>
  <c r="G31" i="26" a="1"/>
  <c r="G31" i="26" s="1"/>
  <c r="D29" i="26" a="1"/>
  <c r="D29" i="26" s="1"/>
  <c r="H192" i="35" s="1"/>
  <c r="D42" i="26" a="1"/>
  <c r="D42" i="26" s="1"/>
  <c r="H205" i="35" s="1"/>
  <c r="F24" i="26" a="1"/>
  <c r="F24" i="26" s="1"/>
  <c r="G208" i="35" s="1"/>
  <c r="G37" i="26" a="1"/>
  <c r="G37" i="26" s="1"/>
  <c r="H221" i="35" s="1"/>
  <c r="D28" i="26" a="1"/>
  <c r="D28" i="26" s="1"/>
  <c r="H191" i="35" s="1"/>
  <c r="G27" i="26" a="1"/>
  <c r="G27" i="26" s="1"/>
  <c r="F40" i="26" a="1"/>
  <c r="F40" i="26" s="1"/>
  <c r="G224" i="35" s="1"/>
  <c r="F26" i="26" a="1"/>
  <c r="F26" i="26" s="1"/>
  <c r="G210" i="35" s="1"/>
  <c r="G38" i="26" a="1"/>
  <c r="G38" i="26" s="1"/>
  <c r="H222" i="35" s="1"/>
  <c r="D33" i="26" a="1"/>
  <c r="D33" i="26" s="1"/>
  <c r="H196" i="35" s="1"/>
  <c r="I58" i="37" s="1"/>
  <c r="D23" i="26" a="1"/>
  <c r="D23" i="26" s="1"/>
  <c r="H92" i="58"/>
  <c r="H92" i="41" s="1"/>
  <c r="H94" i="58"/>
  <c r="H94" i="41" s="1"/>
  <c r="H93" i="58"/>
  <c r="H93" i="41" s="1"/>
  <c r="H91" i="58"/>
  <c r="H91" i="41" s="1"/>
  <c r="I85" i="58"/>
  <c r="I83" i="58"/>
  <c r="I84" i="58"/>
  <c r="I86" i="58"/>
  <c r="J90" i="37"/>
  <c r="J87" i="37"/>
  <c r="J89" i="37"/>
  <c r="J88" i="37"/>
  <c r="I62" i="37"/>
  <c r="I60" i="37"/>
  <c r="I61" i="37"/>
  <c r="I59" i="37"/>
  <c r="I38" i="58"/>
  <c r="I37" i="58"/>
  <c r="I35" i="58"/>
  <c r="I36" i="58"/>
  <c r="H46" i="58"/>
  <c r="H43" i="58"/>
  <c r="H44" i="58"/>
  <c r="H45" i="58"/>
  <c r="I88" i="58"/>
  <c r="I87" i="58"/>
  <c r="I90" i="58"/>
  <c r="I89" i="58"/>
  <c r="I43" i="58"/>
  <c r="I45" i="58"/>
  <c r="I44" i="58"/>
  <c r="I46" i="58"/>
  <c r="H23" i="58"/>
  <c r="H24" i="58"/>
  <c r="H25" i="58"/>
  <c r="H26" i="58"/>
  <c r="H56" i="58"/>
  <c r="H56" i="41" s="1"/>
  <c r="H55" i="58"/>
  <c r="H55" i="41" s="1"/>
  <c r="H57" i="58"/>
  <c r="H57" i="41" s="1"/>
  <c r="H58" i="58"/>
  <c r="H58" i="41" s="1"/>
  <c r="F53" i="26"/>
  <c r="H219" i="35"/>
  <c r="H36" i="58"/>
  <c r="H38" i="58"/>
  <c r="H37" i="58"/>
  <c r="H35" i="58"/>
  <c r="I54" i="58"/>
  <c r="I53" i="58"/>
  <c r="I51" i="58"/>
  <c r="I52" i="58"/>
  <c r="D51" i="26"/>
  <c r="I190" i="35"/>
  <c r="J44" i="58"/>
  <c r="J46" i="58"/>
  <c r="J43" i="58"/>
  <c r="J45" i="58"/>
  <c r="E51" i="26"/>
  <c r="H51" i="26" s="1"/>
  <c r="G211" i="35"/>
  <c r="I223" i="35"/>
  <c r="I22" i="58"/>
  <c r="I20" i="58"/>
  <c r="I19" i="58"/>
  <c r="I21" i="58"/>
  <c r="J84" i="37"/>
  <c r="J85" i="37"/>
  <c r="J83" i="37"/>
  <c r="J86" i="37"/>
  <c r="D50" i="26"/>
  <c r="I186" i="35"/>
  <c r="H53" i="58"/>
  <c r="H53" i="41" s="1"/>
  <c r="H54" i="58"/>
  <c r="H54" i="41" s="1"/>
  <c r="H51" i="58"/>
  <c r="H51" i="41" s="1"/>
  <c r="H52" i="58"/>
  <c r="H52" i="41" s="1"/>
  <c r="J93" i="37"/>
  <c r="J94" i="37"/>
  <c r="J91" i="37"/>
  <c r="J92" i="37"/>
  <c r="C51" i="26"/>
  <c r="H190" i="35"/>
  <c r="H186" i="35"/>
  <c r="C50" i="26"/>
  <c r="J53" i="58"/>
  <c r="J54" i="58"/>
  <c r="J51" i="58"/>
  <c r="J52" i="58"/>
  <c r="J92" i="58"/>
  <c r="J94" i="58"/>
  <c r="J93" i="58"/>
  <c r="J91" i="58"/>
  <c r="E52" i="26"/>
  <c r="H52" i="26" s="1"/>
  <c r="G215" i="35"/>
  <c r="H59" i="58"/>
  <c r="H59" i="41" s="1"/>
  <c r="H61" i="58"/>
  <c r="H61" i="41" s="1"/>
  <c r="H60" i="58"/>
  <c r="H60" i="41" s="1"/>
  <c r="H62" i="58"/>
  <c r="H62" i="41" s="1"/>
  <c r="J38" i="37"/>
  <c r="J37" i="37"/>
  <c r="J35" i="37"/>
  <c r="J36" i="37"/>
  <c r="H207" i="35"/>
  <c r="F50" i="26"/>
  <c r="J78" i="37"/>
  <c r="J75" i="37"/>
  <c r="J76" i="37"/>
  <c r="J77" i="37"/>
  <c r="J23" i="37"/>
  <c r="J25" i="37"/>
  <c r="J24" i="37"/>
  <c r="J26" i="37"/>
  <c r="J41" i="58"/>
  <c r="J42" i="58"/>
  <c r="J40" i="58"/>
  <c r="J39" i="58"/>
  <c r="J71" i="58"/>
  <c r="J72" i="58"/>
  <c r="J74" i="58"/>
  <c r="J73" i="58"/>
  <c r="H83" i="58"/>
  <c r="H83" i="41" s="1"/>
  <c r="H86" i="58"/>
  <c r="H86" i="41" s="1"/>
  <c r="H85" i="58"/>
  <c r="H85" i="41" s="1"/>
  <c r="H84" i="58"/>
  <c r="H84" i="41" s="1"/>
  <c r="J40" i="37"/>
  <c r="J42" i="37"/>
  <c r="J41" i="37"/>
  <c r="J39" i="37"/>
  <c r="I59" i="58"/>
  <c r="I61" i="58"/>
  <c r="I62" i="58"/>
  <c r="I60" i="58"/>
  <c r="I198" i="35"/>
  <c r="D53" i="26"/>
  <c r="J37" i="58"/>
  <c r="J35" i="58"/>
  <c r="J36" i="58"/>
  <c r="J38" i="58"/>
  <c r="H89" i="58"/>
  <c r="H89" i="41" s="1"/>
  <c r="H88" i="58"/>
  <c r="H88" i="41" s="1"/>
  <c r="H87" i="58"/>
  <c r="H87" i="41" s="1"/>
  <c r="H90" i="58"/>
  <c r="H90" i="41" s="1"/>
  <c r="H71" i="58"/>
  <c r="H71" i="41" s="1"/>
  <c r="H72" i="58"/>
  <c r="H72" i="41" s="1"/>
  <c r="H73" i="58"/>
  <c r="H73" i="41" s="1"/>
  <c r="H74" i="58"/>
  <c r="H74" i="41" s="1"/>
  <c r="I44" i="37"/>
  <c r="I46" i="37"/>
  <c r="I43" i="37"/>
  <c r="I43" i="41" s="1"/>
  <c r="I45" i="37"/>
  <c r="G52" i="26"/>
  <c r="I215" i="35"/>
  <c r="J76" i="58"/>
  <c r="J77" i="58"/>
  <c r="J75" i="58"/>
  <c r="J78" i="58"/>
  <c r="J71" i="37"/>
  <c r="J71" i="41" s="1"/>
  <c r="J74" i="37"/>
  <c r="J72" i="37"/>
  <c r="J73" i="37"/>
  <c r="J73" i="41" s="1"/>
  <c r="I42" i="58"/>
  <c r="I39" i="58"/>
  <c r="I41" i="58"/>
  <c r="I40" i="58"/>
  <c r="H42" i="58"/>
  <c r="H41" i="58"/>
  <c r="H39" i="58"/>
  <c r="H40" i="58"/>
  <c r="J43" i="37"/>
  <c r="J46" i="37"/>
  <c r="J44" i="37"/>
  <c r="J44" i="41" s="1"/>
  <c r="J45" i="37"/>
  <c r="I76" i="37"/>
  <c r="I75" i="37"/>
  <c r="I78" i="37"/>
  <c r="I77" i="37"/>
  <c r="J55" i="58"/>
  <c r="J58" i="58"/>
  <c r="J56" i="58"/>
  <c r="J57" i="58"/>
  <c r="I70" i="58"/>
  <c r="I69" i="58"/>
  <c r="I68" i="58"/>
  <c r="I67" i="58"/>
  <c r="J67" i="37"/>
  <c r="J70" i="37"/>
  <c r="J69" i="37"/>
  <c r="J68" i="37"/>
  <c r="J68" i="58"/>
  <c r="J69" i="58"/>
  <c r="J70" i="58"/>
  <c r="J67" i="58"/>
  <c r="G223" i="35"/>
  <c r="E54" i="26"/>
  <c r="H54" i="26" s="1"/>
  <c r="J30" i="37"/>
  <c r="J28" i="37"/>
  <c r="J27" i="37"/>
  <c r="J29" i="37"/>
  <c r="I202" i="35"/>
  <c r="D54" i="26"/>
  <c r="I25" i="37"/>
  <c r="I23" i="37"/>
  <c r="I24" i="37"/>
  <c r="I26" i="37"/>
  <c r="I20" i="37"/>
  <c r="I20" i="41" s="1"/>
  <c r="I21" i="37"/>
  <c r="I21" i="41" s="1"/>
  <c r="I22" i="37"/>
  <c r="I19" i="37"/>
  <c r="H70" i="58"/>
  <c r="H70" i="41" s="1"/>
  <c r="H67" i="58"/>
  <c r="H67" i="41" s="1"/>
  <c r="H68" i="58"/>
  <c r="H68" i="41" s="1"/>
  <c r="H69" i="58"/>
  <c r="H69" i="41" s="1"/>
  <c r="H30" i="58"/>
  <c r="H27" i="58"/>
  <c r="H28" i="58"/>
  <c r="H29" i="58"/>
  <c r="I86" i="37"/>
  <c r="I84" i="37"/>
  <c r="I85" i="37"/>
  <c r="I85" i="41" s="1"/>
  <c r="I83" i="37"/>
  <c r="I207" i="35"/>
  <c r="J25" i="58"/>
  <c r="J24" i="58"/>
  <c r="J26" i="58"/>
  <c r="J23" i="58"/>
  <c r="I88" i="37"/>
  <c r="I88" i="41" s="1"/>
  <c r="I87" i="37"/>
  <c r="I89" i="37"/>
  <c r="I90" i="37"/>
  <c r="I90" i="41" s="1"/>
  <c r="C54" i="26"/>
  <c r="H202" i="35"/>
  <c r="J22" i="37"/>
  <c r="J21" i="37"/>
  <c r="J20" i="37"/>
  <c r="J19" i="37"/>
  <c r="H77" i="58"/>
  <c r="H77" i="41" s="1"/>
  <c r="H75" i="58"/>
  <c r="H75" i="41" s="1"/>
  <c r="H78" i="58"/>
  <c r="H78" i="41" s="1"/>
  <c r="H76" i="58"/>
  <c r="H76" i="41" s="1"/>
  <c r="G207" i="35"/>
  <c r="E50" i="26"/>
  <c r="H50" i="26" s="1"/>
  <c r="H215" i="35"/>
  <c r="F52" i="26"/>
  <c r="I40" i="37"/>
  <c r="I40" i="41" s="1"/>
  <c r="I42" i="37"/>
  <c r="I41" i="37"/>
  <c r="I39" i="37"/>
  <c r="I94" i="37"/>
  <c r="I92" i="37"/>
  <c r="I91" i="37"/>
  <c r="I93" i="37"/>
  <c r="I72" i="58"/>
  <c r="I71" i="58"/>
  <c r="I74" i="58"/>
  <c r="I73" i="58"/>
  <c r="I78" i="58"/>
  <c r="I77" i="58"/>
  <c r="I75" i="58"/>
  <c r="I76" i="58"/>
  <c r="J53" i="37"/>
  <c r="J54" i="37"/>
  <c r="J52" i="37"/>
  <c r="J52" i="41" s="1"/>
  <c r="J51" i="37"/>
  <c r="J51" i="41" s="1"/>
  <c r="I93" i="58"/>
  <c r="I91" i="58"/>
  <c r="I92" i="58"/>
  <c r="I94" i="58"/>
  <c r="H194" i="35"/>
  <c r="C52" i="26"/>
  <c r="G51" i="26"/>
  <c r="I211" i="35"/>
  <c r="I29" i="58"/>
  <c r="I28" i="58"/>
  <c r="I27" i="58"/>
  <c r="I30" i="58"/>
  <c r="I219" i="35"/>
  <c r="G53" i="26"/>
  <c r="I30" i="37"/>
  <c r="I28" i="37"/>
  <c r="I29" i="37"/>
  <c r="I27" i="37"/>
  <c r="J85" i="58"/>
  <c r="J84" i="58"/>
  <c r="J86" i="58"/>
  <c r="J83" i="58"/>
  <c r="G219" i="35"/>
  <c r="E53" i="26"/>
  <c r="H53" i="26" s="1"/>
  <c r="J30" i="58"/>
  <c r="J28" i="58"/>
  <c r="J29" i="58"/>
  <c r="J27" i="58"/>
  <c r="I35" i="37"/>
  <c r="I35" i="41" s="1"/>
  <c r="I36" i="37"/>
  <c r="I38" i="37"/>
  <c r="I38" i="41" s="1"/>
  <c r="I37" i="37"/>
  <c r="H21" i="58"/>
  <c r="H22" i="58"/>
  <c r="H20" i="58"/>
  <c r="H19" i="58"/>
  <c r="I73" i="37"/>
  <c r="I74" i="37"/>
  <c r="I72" i="37"/>
  <c r="I71" i="37"/>
  <c r="I54" i="37"/>
  <c r="I52" i="37"/>
  <c r="I53" i="37"/>
  <c r="I51" i="37"/>
  <c r="J58" i="37"/>
  <c r="J56" i="37"/>
  <c r="J57" i="37"/>
  <c r="J55" i="37"/>
  <c r="I56" i="58"/>
  <c r="I55" i="58"/>
  <c r="I58" i="58"/>
  <c r="I57" i="58"/>
  <c r="J59" i="58"/>
  <c r="J62" i="58"/>
  <c r="J61" i="58"/>
  <c r="J60" i="58"/>
  <c r="I26" i="58"/>
  <c r="I23" i="58"/>
  <c r="I24" i="58"/>
  <c r="I25" i="58"/>
  <c r="H223" i="35"/>
  <c r="F54" i="26"/>
  <c r="I194" i="35"/>
  <c r="D52" i="26"/>
  <c r="J52" i="26" s="1"/>
  <c r="J61" i="37"/>
  <c r="J62" i="37"/>
  <c r="J59" i="37"/>
  <c r="J60" i="37"/>
  <c r="I70" i="37"/>
  <c r="I69" i="37"/>
  <c r="I67" i="37"/>
  <c r="I68" i="37"/>
  <c r="I68" i="41" s="1"/>
  <c r="C53" i="26"/>
  <c r="I53" i="26" s="1"/>
  <c r="H198" i="35"/>
  <c r="H211" i="35"/>
  <c r="F51" i="26"/>
  <c r="H24" i="26" a="1"/>
  <c r="H24" i="26" s="1"/>
  <c r="I208" i="35" s="1"/>
  <c r="H41" i="26" a="1"/>
  <c r="H41" i="26" s="1"/>
  <c r="I225" i="35" s="1"/>
  <c r="I29" i="41" l="1"/>
  <c r="I55" i="37"/>
  <c r="I55" i="41" s="1"/>
  <c r="I56" i="37"/>
  <c r="I57" i="37"/>
  <c r="I39" i="41"/>
  <c r="J58" i="41"/>
  <c r="J43" i="41"/>
  <c r="J55" i="41"/>
  <c r="I37" i="41"/>
  <c r="I87" i="41"/>
  <c r="J46" i="41"/>
  <c r="J57" i="41"/>
  <c r="I51" i="41"/>
  <c r="I69" i="41"/>
  <c r="J54" i="41"/>
  <c r="I46" i="41"/>
  <c r="I44" i="41"/>
  <c r="I84" i="41"/>
  <c r="I86" i="41"/>
  <c r="I41" i="41"/>
  <c r="J56" i="41"/>
  <c r="I36" i="41"/>
  <c r="I89" i="41"/>
  <c r="J45" i="41"/>
  <c r="I53" i="41"/>
  <c r="I45" i="41"/>
  <c r="I70" i="41"/>
  <c r="J53" i="41"/>
  <c r="I83" i="41"/>
  <c r="J60" i="41"/>
  <c r="I52" i="41"/>
  <c r="J61" i="41"/>
  <c r="I71" i="41"/>
  <c r="J62" i="41"/>
  <c r="J68" i="41"/>
  <c r="I42" i="41"/>
  <c r="I27" i="41"/>
  <c r="J72" i="41"/>
  <c r="I74" i="41"/>
  <c r="J69" i="41"/>
  <c r="I67" i="41"/>
  <c r="J67" i="41"/>
  <c r="J59" i="41"/>
  <c r="I72" i="41"/>
  <c r="J74" i="41"/>
  <c r="I52" i="26"/>
  <c r="J40" i="41"/>
  <c r="J70" i="41"/>
  <c r="I94" i="41"/>
  <c r="J39" i="41"/>
  <c r="J87" i="58"/>
  <c r="J87" i="41" s="1"/>
  <c r="J90" i="58"/>
  <c r="J90" i="41" s="1"/>
  <c r="J89" i="58"/>
  <c r="J89" i="41" s="1"/>
  <c r="J88" i="58"/>
  <c r="J88" i="41" s="1"/>
  <c r="G50" i="26"/>
  <c r="H120" i="58"/>
  <c r="H120" i="41" s="1"/>
  <c r="I120" i="58"/>
  <c r="I120" i="41" s="1"/>
  <c r="J120" i="58"/>
  <c r="J120" i="41" s="1"/>
  <c r="H27" i="41"/>
  <c r="J29" i="41"/>
  <c r="I75" i="41"/>
  <c r="J134" i="58"/>
  <c r="J134" i="41" s="1"/>
  <c r="H134" i="58"/>
  <c r="H134" i="41" s="1"/>
  <c r="I134" i="58"/>
  <c r="I134" i="41" s="1"/>
  <c r="H41" i="41"/>
  <c r="J53" i="26"/>
  <c r="J42" i="41"/>
  <c r="J25" i="41"/>
  <c r="J36" i="41"/>
  <c r="H49" i="58"/>
  <c r="H49" i="41" s="1"/>
  <c r="H48" i="58"/>
  <c r="H48" i="41" s="1"/>
  <c r="H50" i="58"/>
  <c r="H50" i="41" s="1"/>
  <c r="H47" i="58"/>
  <c r="J94" i="41"/>
  <c r="J86" i="41"/>
  <c r="G54" i="26"/>
  <c r="J54" i="26" s="1"/>
  <c r="J31" i="37"/>
  <c r="J33" i="37"/>
  <c r="J34" i="37"/>
  <c r="J32" i="37"/>
  <c r="H131" i="58"/>
  <c r="H131" i="41" s="1"/>
  <c r="I131" i="58"/>
  <c r="I131" i="41" s="1"/>
  <c r="H38" i="41"/>
  <c r="J131" i="58"/>
  <c r="J131" i="41" s="1"/>
  <c r="H45" i="41"/>
  <c r="I138" i="58"/>
  <c r="I138" i="41" s="1"/>
  <c r="H138" i="58"/>
  <c r="H138" i="41" s="1"/>
  <c r="J138" i="58"/>
  <c r="J138" i="41" s="1"/>
  <c r="I59" i="41"/>
  <c r="J21" i="58"/>
  <c r="J21" i="41" s="1"/>
  <c r="J19" i="58"/>
  <c r="J20" i="58"/>
  <c r="J20" i="41" s="1"/>
  <c r="J22" i="58"/>
  <c r="J22" i="41" s="1"/>
  <c r="I79" i="58"/>
  <c r="I81" i="58"/>
  <c r="I80" i="58"/>
  <c r="I82" i="58"/>
  <c r="J65" i="58"/>
  <c r="J63" i="58"/>
  <c r="J64" i="58"/>
  <c r="J66" i="58"/>
  <c r="I48" i="37"/>
  <c r="I47" i="37"/>
  <c r="I50" i="37"/>
  <c r="I49" i="37"/>
  <c r="J15" i="58"/>
  <c r="J18" i="58"/>
  <c r="J17" i="58"/>
  <c r="J16" i="58"/>
  <c r="H123" i="58"/>
  <c r="H123" i="41" s="1"/>
  <c r="I123" i="58"/>
  <c r="I123" i="41" s="1"/>
  <c r="J123" i="58"/>
  <c r="J123" i="41" s="1"/>
  <c r="H30" i="41"/>
  <c r="J27" i="41"/>
  <c r="I76" i="41"/>
  <c r="H135" i="58"/>
  <c r="H135" i="41" s="1"/>
  <c r="J135" i="58"/>
  <c r="J135" i="41" s="1"/>
  <c r="H42" i="41"/>
  <c r="I135" i="58"/>
  <c r="I135" i="41" s="1"/>
  <c r="J66" i="37"/>
  <c r="J65" i="37"/>
  <c r="J63" i="37"/>
  <c r="J64" i="37"/>
  <c r="J23" i="41"/>
  <c r="J35" i="41"/>
  <c r="J93" i="41"/>
  <c r="J83" i="41"/>
  <c r="J81" i="58"/>
  <c r="J79" i="58"/>
  <c r="J80" i="58"/>
  <c r="J82" i="58"/>
  <c r="J51" i="26"/>
  <c r="H129" i="58"/>
  <c r="H129" i="41" s="1"/>
  <c r="I129" i="58"/>
  <c r="I129" i="41" s="1"/>
  <c r="H36" i="41"/>
  <c r="J129" i="58"/>
  <c r="J129" i="41" s="1"/>
  <c r="H137" i="58"/>
  <c r="H137" i="41" s="1"/>
  <c r="I137" i="58"/>
  <c r="I137" i="41" s="1"/>
  <c r="J137" i="58"/>
  <c r="J137" i="41" s="1"/>
  <c r="H44" i="41"/>
  <c r="I61" i="41"/>
  <c r="H112" i="58"/>
  <c r="I112" i="58"/>
  <c r="J112" i="58"/>
  <c r="H19" i="41"/>
  <c r="I93" i="41"/>
  <c r="J19" i="41"/>
  <c r="I26" i="41"/>
  <c r="J28" i="41"/>
  <c r="J77" i="41"/>
  <c r="J37" i="41"/>
  <c r="I50" i="26"/>
  <c r="J85" i="41"/>
  <c r="H33" i="58"/>
  <c r="H34" i="58"/>
  <c r="H31" i="58"/>
  <c r="H32" i="58"/>
  <c r="I57" i="41"/>
  <c r="H43" i="41"/>
  <c r="H136" i="58"/>
  <c r="H136" i="41" s="1"/>
  <c r="J136" i="58"/>
  <c r="J136" i="41" s="1"/>
  <c r="I136" i="58"/>
  <c r="I136" i="41" s="1"/>
  <c r="I60" i="41"/>
  <c r="I33" i="58"/>
  <c r="I31" i="58"/>
  <c r="I34" i="58"/>
  <c r="I32" i="58"/>
  <c r="J113" i="58"/>
  <c r="I113" i="58"/>
  <c r="H20" i="41"/>
  <c r="H113" i="58"/>
  <c r="I91" i="41"/>
  <c r="I50" i="58"/>
  <c r="I48" i="58"/>
  <c r="I49" i="58"/>
  <c r="I47" i="58"/>
  <c r="I47" i="41" s="1"/>
  <c r="I24" i="41"/>
  <c r="J30" i="41"/>
  <c r="J76" i="41"/>
  <c r="J38" i="41"/>
  <c r="I17" i="37"/>
  <c r="I18" i="37"/>
  <c r="I16" i="37"/>
  <c r="I15" i="37"/>
  <c r="J84" i="41"/>
  <c r="I58" i="41"/>
  <c r="J139" i="58"/>
  <c r="J139" i="41" s="1"/>
  <c r="I139" i="58"/>
  <c r="I139" i="41" s="1"/>
  <c r="H46" i="41"/>
  <c r="H139" i="58"/>
  <c r="H139" i="41" s="1"/>
  <c r="I62" i="41"/>
  <c r="I64" i="37"/>
  <c r="I65" i="37"/>
  <c r="I63" i="37"/>
  <c r="I66" i="37"/>
  <c r="I115" i="58"/>
  <c r="J115" i="58"/>
  <c r="H115" i="58"/>
  <c r="H22" i="41"/>
  <c r="I92" i="41"/>
  <c r="I23" i="41"/>
  <c r="J75" i="41"/>
  <c r="I31" i="37"/>
  <c r="I34" i="37"/>
  <c r="I33" i="37"/>
  <c r="I32" i="37"/>
  <c r="I32" i="41" s="1"/>
  <c r="I56" i="41"/>
  <c r="H26" i="41"/>
  <c r="I119" i="58"/>
  <c r="I119" i="41" s="1"/>
  <c r="H119" i="58"/>
  <c r="H119" i="41" s="1"/>
  <c r="J119" i="58"/>
  <c r="J119" i="41" s="1"/>
  <c r="H16" i="58"/>
  <c r="H18" i="58"/>
  <c r="H15" i="58"/>
  <c r="H17" i="58"/>
  <c r="I25" i="41"/>
  <c r="H82" i="58"/>
  <c r="H82" i="41" s="1"/>
  <c r="H79" i="58"/>
  <c r="H79" i="41" s="1"/>
  <c r="H81" i="58"/>
  <c r="H81" i="41" s="1"/>
  <c r="H80" i="58"/>
  <c r="H80" i="41" s="1"/>
  <c r="J78" i="41"/>
  <c r="I51" i="26"/>
  <c r="I19" i="41"/>
  <c r="I54" i="41"/>
  <c r="I118" i="58"/>
  <c r="I118" i="41" s="1"/>
  <c r="J118" i="58"/>
  <c r="J118" i="41" s="1"/>
  <c r="H25" i="41"/>
  <c r="H118" i="58"/>
  <c r="H118" i="41" s="1"/>
  <c r="I28" i="41"/>
  <c r="J33" i="58"/>
  <c r="J31" i="58"/>
  <c r="J32" i="58"/>
  <c r="J34" i="58"/>
  <c r="I73" i="41"/>
  <c r="I82" i="37"/>
  <c r="I80" i="37"/>
  <c r="I79" i="37"/>
  <c r="I81" i="37"/>
  <c r="I81" i="41" s="1"/>
  <c r="I122" i="58"/>
  <c r="I122" i="41" s="1"/>
  <c r="J122" i="58"/>
  <c r="J122" i="41" s="1"/>
  <c r="H29" i="41"/>
  <c r="H122" i="58"/>
  <c r="H122" i="41" s="1"/>
  <c r="I77" i="41"/>
  <c r="H133" i="58"/>
  <c r="H133" i="41" s="1"/>
  <c r="J133" i="58"/>
  <c r="J133" i="41" s="1"/>
  <c r="I133" i="58"/>
  <c r="I133" i="41" s="1"/>
  <c r="H40" i="41"/>
  <c r="J50" i="58"/>
  <c r="J47" i="58"/>
  <c r="J48" i="58"/>
  <c r="J49" i="58"/>
  <c r="J26" i="41"/>
  <c r="J92" i="41"/>
  <c r="J16" i="37"/>
  <c r="J18" i="37"/>
  <c r="J17" i="37"/>
  <c r="J15" i="37"/>
  <c r="H35" i="41"/>
  <c r="H128" i="58"/>
  <c r="I128" i="58"/>
  <c r="J128" i="58"/>
  <c r="I66" i="58"/>
  <c r="I63" i="58"/>
  <c r="I65" i="58"/>
  <c r="I64" i="58"/>
  <c r="I117" i="58"/>
  <c r="I117" i="41" s="1"/>
  <c r="J117" i="58"/>
  <c r="J117" i="41" s="1"/>
  <c r="H117" i="58"/>
  <c r="H117" i="41" s="1"/>
  <c r="H24" i="41"/>
  <c r="I114" i="58"/>
  <c r="H21" i="41"/>
  <c r="H114" i="58"/>
  <c r="J114" i="58"/>
  <c r="J47" i="37"/>
  <c r="J48" i="37"/>
  <c r="J49" i="37"/>
  <c r="J50" i="37"/>
  <c r="H64" i="58"/>
  <c r="H64" i="41" s="1"/>
  <c r="H63" i="58"/>
  <c r="H63" i="41" s="1"/>
  <c r="H65" i="58"/>
  <c r="H65" i="41" s="1"/>
  <c r="H66" i="58"/>
  <c r="H66" i="41" s="1"/>
  <c r="I30" i="41"/>
  <c r="I54" i="26"/>
  <c r="H121" i="58"/>
  <c r="H121" i="41" s="1"/>
  <c r="I121" i="58"/>
  <c r="I121" i="41" s="1"/>
  <c r="J121" i="58"/>
  <c r="J121" i="41" s="1"/>
  <c r="H28" i="41"/>
  <c r="J80" i="37"/>
  <c r="J81" i="37"/>
  <c r="J82" i="37"/>
  <c r="J79" i="37"/>
  <c r="I78" i="41"/>
  <c r="I132" i="58"/>
  <c r="I132" i="41" s="1"/>
  <c r="J132" i="58"/>
  <c r="J132" i="41" s="1"/>
  <c r="H39" i="41"/>
  <c r="H132" i="58"/>
  <c r="H132" i="41" s="1"/>
  <c r="J41" i="41"/>
  <c r="J24" i="41"/>
  <c r="I16" i="58"/>
  <c r="I15" i="58"/>
  <c r="I18" i="58"/>
  <c r="I17" i="58"/>
  <c r="J91" i="41"/>
  <c r="J50" i="26"/>
  <c r="I22" i="41"/>
  <c r="H130" i="58"/>
  <c r="H130" i="41" s="1"/>
  <c r="J130" i="58"/>
  <c r="J130" i="41" s="1"/>
  <c r="I130" i="58"/>
  <c r="I130" i="41" s="1"/>
  <c r="H37" i="41"/>
  <c r="H23" i="41"/>
  <c r="J116" i="58"/>
  <c r="J116" i="41" s="1"/>
  <c r="H116" i="58"/>
  <c r="H116" i="41" s="1"/>
  <c r="I116" i="58"/>
  <c r="I116" i="41" s="1"/>
  <c r="J80" i="41" l="1"/>
  <c r="I79" i="41"/>
  <c r="I34" i="41"/>
  <c r="I80" i="41"/>
  <c r="J81" i="41"/>
  <c r="I31" i="41"/>
  <c r="I33" i="41"/>
  <c r="J82" i="41"/>
  <c r="J49" i="41"/>
  <c r="J79" i="41"/>
  <c r="I82" i="41"/>
  <c r="J48" i="41"/>
  <c r="C38" i="63"/>
  <c r="I110" i="58"/>
  <c r="J110" i="58"/>
  <c r="H17" i="41"/>
  <c r="H110" i="58"/>
  <c r="I65" i="41"/>
  <c r="H33" i="41"/>
  <c r="J126" i="58"/>
  <c r="H126" i="58"/>
  <c r="I126" i="58"/>
  <c r="J423" i="58"/>
  <c r="J424" i="58"/>
  <c r="G290" i="66" s="1"/>
  <c r="I128" i="41"/>
  <c r="G196" i="66"/>
  <c r="J47" i="41"/>
  <c r="H128" i="41"/>
  <c r="G148" i="66"/>
  <c r="H424" i="58"/>
  <c r="H424" i="41" s="1"/>
  <c r="J108" i="58"/>
  <c r="H108" i="58"/>
  <c r="H15" i="41"/>
  <c r="I108" i="58"/>
  <c r="H423" i="58"/>
  <c r="I64" i="41"/>
  <c r="I424" i="37"/>
  <c r="E17" i="53" s="1"/>
  <c r="F17" i="53" s="1"/>
  <c r="I15" i="41"/>
  <c r="I423" i="37"/>
  <c r="I113" i="41"/>
  <c r="J65" i="41"/>
  <c r="I49" i="41"/>
  <c r="H47" i="41"/>
  <c r="H140" i="58"/>
  <c r="H140" i="41" s="1"/>
  <c r="M6" i="41" s="1"/>
  <c r="J140" i="58"/>
  <c r="J140" i="41" s="1"/>
  <c r="O6" i="41" s="1"/>
  <c r="I140" i="58"/>
  <c r="I140" i="41" s="1"/>
  <c r="N6" i="41" s="1"/>
  <c r="E266" i="38"/>
  <c r="E271" i="38"/>
  <c r="E265" i="38"/>
  <c r="E270" i="38"/>
  <c r="E273" i="38"/>
  <c r="E263" i="38"/>
  <c r="E277" i="38"/>
  <c r="E274" i="38"/>
  <c r="E268" i="38"/>
  <c r="E275" i="38"/>
  <c r="E276" i="38"/>
  <c r="E269" i="38"/>
  <c r="J114" i="41"/>
  <c r="E264" i="38"/>
  <c r="E267" i="38"/>
  <c r="E272" i="38"/>
  <c r="H18" i="41"/>
  <c r="H111" i="58"/>
  <c r="J111" i="58"/>
  <c r="I111" i="58"/>
  <c r="I16" i="41"/>
  <c r="J113" i="41"/>
  <c r="J426" i="58"/>
  <c r="J428" i="58"/>
  <c r="J428" i="41" s="1"/>
  <c r="G278" i="66"/>
  <c r="J429" i="58"/>
  <c r="J427" i="58"/>
  <c r="J112" i="41"/>
  <c r="I50" i="41"/>
  <c r="J32" i="41"/>
  <c r="E244" i="38"/>
  <c r="E241" i="38"/>
  <c r="E240" i="38"/>
  <c r="H114" i="41"/>
  <c r="E245" i="38"/>
  <c r="E233" i="38"/>
  <c r="E247" i="38"/>
  <c r="E243" i="38"/>
  <c r="E246" i="38"/>
  <c r="E237" i="38"/>
  <c r="E235" i="38"/>
  <c r="E238" i="38"/>
  <c r="E242" i="38"/>
  <c r="E236" i="38"/>
  <c r="E234" i="38"/>
  <c r="E239" i="38"/>
  <c r="J423" i="37"/>
  <c r="J15" i="41"/>
  <c r="J424" i="37"/>
  <c r="E29" i="53" s="1"/>
  <c r="F29" i="53" s="1"/>
  <c r="H16" i="41"/>
  <c r="I109" i="58"/>
  <c r="J109" i="58"/>
  <c r="H109" i="58"/>
  <c r="E8" i="53"/>
  <c r="I212" i="66"/>
  <c r="I68" i="74" s="1"/>
  <c r="G164" i="66"/>
  <c r="I164" i="66"/>
  <c r="I20" i="74" s="1"/>
  <c r="H115" i="41"/>
  <c r="E401" i="38" s="1"/>
  <c r="I260" i="66"/>
  <c r="I116" i="74" s="1"/>
  <c r="I18" i="41"/>
  <c r="I112" i="41"/>
  <c r="I427" i="58"/>
  <c r="I428" i="58"/>
  <c r="I428" i="41" s="1"/>
  <c r="G230" i="66"/>
  <c r="I426" i="58"/>
  <c r="I429" i="58"/>
  <c r="J34" i="41"/>
  <c r="J17" i="41"/>
  <c r="C28" i="63"/>
  <c r="J115" i="41"/>
  <c r="E403" i="38" s="1"/>
  <c r="G260" i="66"/>
  <c r="E32" i="53"/>
  <c r="I17" i="41"/>
  <c r="C18" i="63"/>
  <c r="H427" i="58"/>
  <c r="G182" i="66"/>
  <c r="H428" i="58"/>
  <c r="H428" i="41" s="1"/>
  <c r="H429" i="58"/>
  <c r="H112" i="41"/>
  <c r="H426" i="58"/>
  <c r="I48" i="41"/>
  <c r="J33" i="41"/>
  <c r="E250" i="38"/>
  <c r="E259" i="38"/>
  <c r="E257" i="38"/>
  <c r="E251" i="38"/>
  <c r="I114" i="41"/>
  <c r="E254" i="38"/>
  <c r="E255" i="38"/>
  <c r="E253" i="38"/>
  <c r="E249" i="38"/>
  <c r="E258" i="38"/>
  <c r="E260" i="38"/>
  <c r="E252" i="38"/>
  <c r="E256" i="38"/>
  <c r="E248" i="38"/>
  <c r="E262" i="38"/>
  <c r="E261" i="38"/>
  <c r="J18" i="41"/>
  <c r="E20" i="53"/>
  <c r="G212" i="66"/>
  <c r="I115" i="41"/>
  <c r="L47" i="39" s="1"/>
  <c r="E162" i="38" s="1"/>
  <c r="H125" i="58"/>
  <c r="I125" i="58"/>
  <c r="H32" i="41"/>
  <c r="J125" i="58"/>
  <c r="J66" i="41"/>
  <c r="J31" i="41"/>
  <c r="C48" i="63"/>
  <c r="J50" i="41"/>
  <c r="J16" i="41"/>
  <c r="I66" i="41"/>
  <c r="H124" i="58"/>
  <c r="H124" i="41" s="1"/>
  <c r="M5" i="41" s="1"/>
  <c r="I124" i="58"/>
  <c r="I124" i="41" s="1"/>
  <c r="N5" i="41" s="1"/>
  <c r="J124" i="58"/>
  <c r="J124" i="41" s="1"/>
  <c r="O5" i="41" s="1"/>
  <c r="H31" i="41"/>
  <c r="C58" i="63"/>
  <c r="J64" i="41"/>
  <c r="I424" i="58"/>
  <c r="G242" i="66" s="1"/>
  <c r="I423" i="58"/>
  <c r="G244" i="66"/>
  <c r="J128" i="41"/>
  <c r="I63" i="41"/>
  <c r="H113" i="41"/>
  <c r="H34" i="41"/>
  <c r="I127" i="58"/>
  <c r="I127" i="41" s="1"/>
  <c r="H127" i="58"/>
  <c r="H127" i="41" s="1"/>
  <c r="J127" i="58"/>
  <c r="J127" i="41" s="1"/>
  <c r="J63" i="41"/>
  <c r="J425" i="58" l="1"/>
  <c r="C59" i="63" s="1"/>
  <c r="J425" i="37"/>
  <c r="E11" i="53"/>
  <c r="F11" i="53" s="1"/>
  <c r="G194" i="66"/>
  <c r="G50" i="74" s="1"/>
  <c r="I425" i="37"/>
  <c r="E402" i="38"/>
  <c r="I496" i="58" s="1"/>
  <c r="H425" i="58"/>
  <c r="C39" i="63" s="1"/>
  <c r="E35" i="53"/>
  <c r="F35" i="53" s="1"/>
  <c r="H29" i="53" s="1"/>
  <c r="G29" i="53" s="1"/>
  <c r="E329" i="38" s="1"/>
  <c r="H496" i="58"/>
  <c r="H495" i="58"/>
  <c r="C41" i="63" s="1"/>
  <c r="H497" i="58"/>
  <c r="J497" i="58"/>
  <c r="J495" i="58"/>
  <c r="C61" i="63" s="1"/>
  <c r="J496" i="58"/>
  <c r="H184" i="66"/>
  <c r="H446" i="58"/>
  <c r="H446" i="41" s="1"/>
  <c r="H450" i="58"/>
  <c r="H450" i="41" s="1"/>
  <c r="H173" i="66"/>
  <c r="H29" i="74" s="1"/>
  <c r="H111" i="41"/>
  <c r="G154" i="66"/>
  <c r="H258" i="66"/>
  <c r="H114" i="74" s="1"/>
  <c r="E391" i="38"/>
  <c r="J452" i="58"/>
  <c r="J452" i="41" s="1"/>
  <c r="J448" i="58"/>
  <c r="J448" i="41" s="1"/>
  <c r="H272" i="66"/>
  <c r="I108" i="41"/>
  <c r="N4" i="41" s="1"/>
  <c r="C43" i="63"/>
  <c r="G52" i="74"/>
  <c r="AB196" i="66"/>
  <c r="AC196" i="66" s="1"/>
  <c r="O196" i="66"/>
  <c r="O244" i="66"/>
  <c r="G100" i="74"/>
  <c r="AB244" i="66"/>
  <c r="AC244" i="66" s="1"/>
  <c r="H224" i="66"/>
  <c r="I448" i="58"/>
  <c r="I448" i="41" s="1"/>
  <c r="G221" i="66"/>
  <c r="I429" i="41"/>
  <c r="H35" i="53"/>
  <c r="G68" i="74"/>
  <c r="H234" i="66"/>
  <c r="I444" i="58"/>
  <c r="I444" i="41" s="1"/>
  <c r="H197" i="66"/>
  <c r="I443" i="58"/>
  <c r="I443" i="41" s="1"/>
  <c r="H429" i="41"/>
  <c r="G173" i="66"/>
  <c r="G223" i="66"/>
  <c r="I426" i="41"/>
  <c r="H435" i="58"/>
  <c r="H434" i="58"/>
  <c r="H109" i="41"/>
  <c r="H437" i="58"/>
  <c r="H436" i="58"/>
  <c r="H441" i="58"/>
  <c r="H441" i="41" s="1"/>
  <c r="H164" i="66"/>
  <c r="H20" i="74" s="1"/>
  <c r="H454" i="58"/>
  <c r="H454" i="41" s="1"/>
  <c r="H166" i="66"/>
  <c r="J445" i="58"/>
  <c r="J445" i="41" s="1"/>
  <c r="H270" i="66"/>
  <c r="J443" i="58"/>
  <c r="J443" i="41" s="1"/>
  <c r="H245" i="66"/>
  <c r="I455" i="58"/>
  <c r="K212" i="66"/>
  <c r="J438" i="58"/>
  <c r="J125" i="41"/>
  <c r="J439" i="58"/>
  <c r="J439" i="41" s="1"/>
  <c r="I452" i="58"/>
  <c r="H210" i="66"/>
  <c r="H66" i="74" s="1"/>
  <c r="E390" i="38"/>
  <c r="I449" i="58"/>
  <c r="I449" i="41" s="1"/>
  <c r="H209" i="66"/>
  <c r="G116" i="74"/>
  <c r="O230" i="66"/>
  <c r="AB230" i="66"/>
  <c r="AC230" i="66" s="1"/>
  <c r="G86" i="74"/>
  <c r="K47" i="39"/>
  <c r="E145" i="38" s="1"/>
  <c r="C47" i="39"/>
  <c r="E94" i="38" s="1"/>
  <c r="E398" i="38"/>
  <c r="J435" i="58"/>
  <c r="J436" i="58"/>
  <c r="J437" i="58"/>
  <c r="J434" i="58"/>
  <c r="J109" i="41"/>
  <c r="H149" i="66"/>
  <c r="H443" i="58"/>
  <c r="H443" i="41" s="1"/>
  <c r="H170" i="66"/>
  <c r="H440" i="58"/>
  <c r="H440" i="41" s="1"/>
  <c r="H257" i="66"/>
  <c r="J449" i="58"/>
  <c r="J449" i="41" s="1"/>
  <c r="H251" i="66"/>
  <c r="H107" i="74" s="1"/>
  <c r="J451" i="58"/>
  <c r="J451" i="41" s="1"/>
  <c r="C33" i="63"/>
  <c r="H108" i="41"/>
  <c r="M4" i="41" s="1"/>
  <c r="H110" i="41"/>
  <c r="G172" i="66"/>
  <c r="H221" i="66"/>
  <c r="H77" i="74" s="1"/>
  <c r="I450" i="58"/>
  <c r="I450" i="41" s="1"/>
  <c r="I451" i="58"/>
  <c r="H203" i="66"/>
  <c r="H59" i="74" s="1"/>
  <c r="AB182" i="66"/>
  <c r="AC182" i="66" s="1"/>
  <c r="O182" i="66"/>
  <c r="G38" i="74"/>
  <c r="M47" i="39"/>
  <c r="E179" i="38" s="1"/>
  <c r="E400" i="38"/>
  <c r="E47" i="39"/>
  <c r="E128" i="38" s="1"/>
  <c r="I436" i="58"/>
  <c r="I435" i="58"/>
  <c r="I435" i="41" s="1"/>
  <c r="I437" i="58"/>
  <c r="I109" i="41"/>
  <c r="I434" i="58"/>
  <c r="H161" i="66"/>
  <c r="H449" i="58"/>
  <c r="H449" i="41" s="1"/>
  <c r="H162" i="66"/>
  <c r="H18" i="74" s="1"/>
  <c r="E389" i="38"/>
  <c r="H452" i="58"/>
  <c r="H452" i="41" s="1"/>
  <c r="G285" i="66"/>
  <c r="J427" i="41"/>
  <c r="E15" i="39" s="1"/>
  <c r="M42" i="39"/>
  <c r="E174" i="38" s="1"/>
  <c r="J473" i="58" s="1"/>
  <c r="J473" i="41" s="1"/>
  <c r="H23" i="53"/>
  <c r="J444" i="58"/>
  <c r="J444" i="41" s="1"/>
  <c r="H282" i="66"/>
  <c r="J454" i="58"/>
  <c r="J454" i="41" s="1"/>
  <c r="H262" i="66"/>
  <c r="E311" i="38"/>
  <c r="N99" i="66" s="1"/>
  <c r="I423" i="41"/>
  <c r="G99" i="66"/>
  <c r="J108" i="41"/>
  <c r="O4" i="41" s="1"/>
  <c r="C53" i="63"/>
  <c r="E347" i="38"/>
  <c r="N291" i="66" s="1"/>
  <c r="G291" i="66"/>
  <c r="C29" i="63"/>
  <c r="J425" i="41"/>
  <c r="I425" i="58"/>
  <c r="I425" i="41" s="1"/>
  <c r="I125" i="41"/>
  <c r="I439" i="58"/>
  <c r="I439" i="41" s="1"/>
  <c r="I438" i="58"/>
  <c r="I441" i="58"/>
  <c r="I441" i="41" s="1"/>
  <c r="H212" i="66"/>
  <c r="H68" i="74" s="1"/>
  <c r="I442" i="58"/>
  <c r="I442" i="41" s="1"/>
  <c r="H217" i="66"/>
  <c r="G189" i="66"/>
  <c r="H427" i="41"/>
  <c r="G237" i="66"/>
  <c r="L42" i="39"/>
  <c r="E157" i="38" s="1"/>
  <c r="I427" i="41"/>
  <c r="D15" i="39" s="1"/>
  <c r="G20" i="74"/>
  <c r="H174" i="66"/>
  <c r="H445" i="58"/>
  <c r="H445" i="41" s="1"/>
  <c r="G269" i="66"/>
  <c r="J429" i="41"/>
  <c r="H260" i="66"/>
  <c r="H116" i="74" s="1"/>
  <c r="J441" i="58"/>
  <c r="J441" i="41" s="1"/>
  <c r="H266" i="66"/>
  <c r="J440" i="58"/>
  <c r="J440" i="41" s="1"/>
  <c r="I126" i="41"/>
  <c r="D14" i="39" s="1"/>
  <c r="G204" i="66"/>
  <c r="L41" i="39"/>
  <c r="E156" i="38" s="1"/>
  <c r="I477" i="58"/>
  <c r="J110" i="41"/>
  <c r="E13" i="39" s="1"/>
  <c r="M40" i="39"/>
  <c r="G268" i="66"/>
  <c r="J476" i="58"/>
  <c r="H125" i="41"/>
  <c r="H438" i="58"/>
  <c r="H439" i="58"/>
  <c r="H439" i="41" s="1"/>
  <c r="H236" i="66"/>
  <c r="H92" i="74" s="1"/>
  <c r="I453" i="58"/>
  <c r="I453" i="41" s="1"/>
  <c r="I445" i="58"/>
  <c r="I445" i="41" s="1"/>
  <c r="H222" i="66"/>
  <c r="G146" i="66"/>
  <c r="J424" i="41"/>
  <c r="H442" i="58"/>
  <c r="H442" i="41" s="1"/>
  <c r="H169" i="66"/>
  <c r="H447" i="58"/>
  <c r="H447" i="41" s="1"/>
  <c r="H192" i="66"/>
  <c r="AB278" i="66"/>
  <c r="AC278" i="66" s="1"/>
  <c r="O278" i="66"/>
  <c r="G134" i="74"/>
  <c r="H269" i="66"/>
  <c r="H125" i="74" s="1"/>
  <c r="J450" i="58"/>
  <c r="J450" i="41" s="1"/>
  <c r="G98" i="66"/>
  <c r="I424" i="41"/>
  <c r="AB148" i="66"/>
  <c r="AC148" i="66" s="1"/>
  <c r="O148" i="66"/>
  <c r="K41" i="39"/>
  <c r="E139" i="38" s="1"/>
  <c r="H477" i="58"/>
  <c r="G156" i="66"/>
  <c r="H126" i="41"/>
  <c r="C14" i="39" s="1"/>
  <c r="G220" i="66"/>
  <c r="I110" i="41"/>
  <c r="D13" i="39" s="1"/>
  <c r="I476" i="58"/>
  <c r="L40" i="39"/>
  <c r="H214" i="66"/>
  <c r="I454" i="58"/>
  <c r="I454" i="41" s="1"/>
  <c r="I447" i="58"/>
  <c r="I447" i="41" s="1"/>
  <c r="H240" i="66"/>
  <c r="C19" i="63"/>
  <c r="H444" i="58"/>
  <c r="H444" i="41" s="1"/>
  <c r="H186" i="66"/>
  <c r="H176" i="66"/>
  <c r="H448" i="58"/>
  <c r="H448" i="41" s="1"/>
  <c r="I111" i="41"/>
  <c r="D16" i="39" s="1"/>
  <c r="L43" i="39"/>
  <c r="E160" i="38" s="1"/>
  <c r="I478" i="58"/>
  <c r="G202" i="66"/>
  <c r="H280" i="66"/>
  <c r="J446" i="58"/>
  <c r="J446" i="41" s="1"/>
  <c r="H288" i="66"/>
  <c r="J447" i="58"/>
  <c r="J447" i="41" s="1"/>
  <c r="J126" i="41"/>
  <c r="E14" i="39" s="1"/>
  <c r="M41" i="39"/>
  <c r="E173" i="38" s="1"/>
  <c r="G252" i="66"/>
  <c r="J477" i="58"/>
  <c r="E323" i="38"/>
  <c r="N243" i="66" s="1"/>
  <c r="G243" i="66"/>
  <c r="E399" i="38"/>
  <c r="D47" i="39"/>
  <c r="E111" i="38" s="1"/>
  <c r="H218" i="66"/>
  <c r="I440" i="58"/>
  <c r="I440" i="41" s="1"/>
  <c r="H232" i="66"/>
  <c r="I446" i="58"/>
  <c r="I446" i="41" s="1"/>
  <c r="H426" i="41"/>
  <c r="G175" i="66"/>
  <c r="H5" i="53"/>
  <c r="G5" i="53" s="1"/>
  <c r="E281" i="38" s="1"/>
  <c r="G11" i="53"/>
  <c r="E293" i="38" s="1"/>
  <c r="G147" i="66"/>
  <c r="J423" i="41"/>
  <c r="E335" i="38"/>
  <c r="N147" i="66" s="1"/>
  <c r="N147" i="74" s="1"/>
  <c r="H453" i="58"/>
  <c r="H453" i="41" s="1"/>
  <c r="H188" i="66"/>
  <c r="H44" i="74" s="1"/>
  <c r="H155" i="66"/>
  <c r="H11" i="74" s="1"/>
  <c r="H451" i="58"/>
  <c r="H451" i="41" s="1"/>
  <c r="G271" i="66"/>
  <c r="J426" i="41"/>
  <c r="J111" i="41"/>
  <c r="E16" i="39" s="1"/>
  <c r="G250" i="66"/>
  <c r="M43" i="39"/>
  <c r="E177" i="38" s="1"/>
  <c r="J478" i="58"/>
  <c r="J453" i="58"/>
  <c r="J453" i="41" s="1"/>
  <c r="H284" i="66"/>
  <c r="H140" i="74" s="1"/>
  <c r="J442" i="58"/>
  <c r="J442" i="41" s="1"/>
  <c r="H265" i="66"/>
  <c r="G195" i="66"/>
  <c r="H423" i="41"/>
  <c r="E299" i="38"/>
  <c r="N195" i="66" s="1"/>
  <c r="N51" i="74" s="1"/>
  <c r="E23" i="53"/>
  <c r="F23" i="53" s="1"/>
  <c r="H425" i="41" l="1"/>
  <c r="D20" i="53"/>
  <c r="F20" i="53" s="1"/>
  <c r="H14" i="53" s="1"/>
  <c r="I495" i="58"/>
  <c r="C51" i="63" s="1"/>
  <c r="I497" i="58"/>
  <c r="G35" i="53"/>
  <c r="E341" i="38" s="1"/>
  <c r="H497" i="37"/>
  <c r="H495" i="37"/>
  <c r="H496" i="37"/>
  <c r="H128" i="74"/>
  <c r="G27" i="39"/>
  <c r="AB272" i="66"/>
  <c r="AC272" i="66" s="1"/>
  <c r="O272" i="66"/>
  <c r="O175" i="66"/>
  <c r="G31" i="74"/>
  <c r="AB175" i="66"/>
  <c r="AC175" i="66" s="1"/>
  <c r="H42" i="74"/>
  <c r="O186" i="66"/>
  <c r="AB186" i="66"/>
  <c r="AC186" i="66" s="1"/>
  <c r="G228" i="66"/>
  <c r="E412" i="38"/>
  <c r="G12" i="74"/>
  <c r="H25" i="74"/>
  <c r="O169" i="66"/>
  <c r="AB169" i="66"/>
  <c r="AC169" i="66" s="1"/>
  <c r="I462" i="58"/>
  <c r="I462" i="41" s="1"/>
  <c r="K204" i="66"/>
  <c r="G125" i="74"/>
  <c r="O269" i="66"/>
  <c r="AB269" i="66"/>
  <c r="AC269" i="66" s="1"/>
  <c r="G93" i="74"/>
  <c r="H138" i="74"/>
  <c r="O282" i="66"/>
  <c r="G24" i="39"/>
  <c r="AB282" i="66"/>
  <c r="AC282" i="66" s="1"/>
  <c r="H490" i="58"/>
  <c r="H492" i="58"/>
  <c r="H491" i="58"/>
  <c r="N161" i="66"/>
  <c r="N17" i="74" s="1"/>
  <c r="G236" i="66"/>
  <c r="I436" i="41"/>
  <c r="H455" i="37"/>
  <c r="K20" i="66"/>
  <c r="D2" i="53"/>
  <c r="F2" i="53" s="1"/>
  <c r="G253" i="66"/>
  <c r="J438" i="41"/>
  <c r="AB270" i="66"/>
  <c r="AC270" i="66" s="1"/>
  <c r="G23" i="39"/>
  <c r="O270" i="66"/>
  <c r="H126" i="74"/>
  <c r="H437" i="41"/>
  <c r="G187" i="66"/>
  <c r="J484" i="58"/>
  <c r="M290" i="66"/>
  <c r="AA100" i="66"/>
  <c r="Z100" i="66"/>
  <c r="Z244" i="66"/>
  <c r="AA244" i="66"/>
  <c r="E414" i="38"/>
  <c r="G276" i="66"/>
  <c r="M50" i="66"/>
  <c r="H484" i="37"/>
  <c r="H436" i="41"/>
  <c r="G188" i="66"/>
  <c r="E383" i="38"/>
  <c r="L250" i="66" s="1"/>
  <c r="L106" i="74" s="1"/>
  <c r="J478" i="41"/>
  <c r="E370" i="38"/>
  <c r="L156" i="66" s="1"/>
  <c r="L12" i="74" s="1"/>
  <c r="H477" i="41"/>
  <c r="D26" i="53"/>
  <c r="F26" i="53" s="1"/>
  <c r="J455" i="37"/>
  <c r="K116" i="66"/>
  <c r="AB149" i="66"/>
  <c r="AC149" i="66" s="1"/>
  <c r="O149" i="66"/>
  <c r="H5" i="74"/>
  <c r="D8" i="53"/>
  <c r="F8" i="53" s="1"/>
  <c r="H2" i="53" s="1"/>
  <c r="K164" i="66"/>
  <c r="H455" i="58"/>
  <c r="H65" i="74"/>
  <c r="H53" i="74"/>
  <c r="AB197" i="66"/>
  <c r="AC197" i="66" s="1"/>
  <c r="O197" i="66"/>
  <c r="M146" i="66"/>
  <c r="O146" i="66" s="1"/>
  <c r="J484" i="37"/>
  <c r="AA52" i="66"/>
  <c r="AA196" i="66"/>
  <c r="Z52" i="66"/>
  <c r="Z196" i="66"/>
  <c r="H70" i="74"/>
  <c r="O214" i="66"/>
  <c r="AB214" i="66"/>
  <c r="AC214" i="66" s="1"/>
  <c r="I473" i="58"/>
  <c r="I473" i="41" s="1"/>
  <c r="K237" i="66"/>
  <c r="O237" i="66" s="1"/>
  <c r="G60" i="74"/>
  <c r="J463" i="58"/>
  <c r="J463" i="41" s="1"/>
  <c r="K250" i="66"/>
  <c r="G16" i="39" s="1"/>
  <c r="E382" i="38"/>
  <c r="L252" i="66" s="1"/>
  <c r="L108" i="74" s="1"/>
  <c r="J477" i="41"/>
  <c r="G58" i="74"/>
  <c r="E413" i="38"/>
  <c r="G229" i="66"/>
  <c r="K156" i="66"/>
  <c r="H462" i="58"/>
  <c r="H462" i="41" s="1"/>
  <c r="O174" i="66"/>
  <c r="H30" i="74"/>
  <c r="AB174" i="66"/>
  <c r="AC174" i="66" s="1"/>
  <c r="J497" i="37"/>
  <c r="J495" i="37"/>
  <c r="J496" i="37"/>
  <c r="AC86" i="74"/>
  <c r="AD86" i="74" s="1"/>
  <c r="O86" i="74"/>
  <c r="H434" i="41"/>
  <c r="G177" i="66"/>
  <c r="J490" i="58"/>
  <c r="N257" i="66"/>
  <c r="N113" i="74" s="1"/>
  <c r="J492" i="58"/>
  <c r="J491" i="58"/>
  <c r="H40" i="74"/>
  <c r="AB184" i="66"/>
  <c r="AC184" i="66" s="1"/>
  <c r="O184" i="66"/>
  <c r="I496" i="37"/>
  <c r="I497" i="37"/>
  <c r="I495" i="37"/>
  <c r="O14" i="39"/>
  <c r="P14" i="39"/>
  <c r="Q14" i="39" s="1"/>
  <c r="G4" i="74"/>
  <c r="O291" i="66"/>
  <c r="AB291" i="66"/>
  <c r="AC291" i="66" s="1"/>
  <c r="O100" i="74"/>
  <c r="AC100" i="74"/>
  <c r="D18" i="77" s="1"/>
  <c r="AB243" i="66"/>
  <c r="AC243" i="66" s="1"/>
  <c r="O243" i="66"/>
  <c r="G106" i="74"/>
  <c r="O232" i="66"/>
  <c r="AB232" i="66"/>
  <c r="AC232" i="66" s="1"/>
  <c r="H88" i="74"/>
  <c r="G108" i="74"/>
  <c r="E377" i="38"/>
  <c r="L202" i="66" s="1"/>
  <c r="L58" i="74" s="1"/>
  <c r="I478" i="41"/>
  <c r="E155" i="38"/>
  <c r="AA148" i="66"/>
  <c r="AA4" i="66"/>
  <c r="Z4" i="66"/>
  <c r="Z148" i="66"/>
  <c r="O134" i="74"/>
  <c r="AC134" i="74"/>
  <c r="AD134" i="74" s="1"/>
  <c r="G146" i="74"/>
  <c r="E381" i="38"/>
  <c r="L268" i="66" s="1"/>
  <c r="L124" i="74" s="1"/>
  <c r="J476" i="41"/>
  <c r="B6" i="39"/>
  <c r="C15" i="39" s="1"/>
  <c r="G99" i="74"/>
  <c r="AB99" i="66"/>
  <c r="AC99" i="66" s="1"/>
  <c r="O99" i="66"/>
  <c r="H17" i="74"/>
  <c r="K260" i="66"/>
  <c r="J455" i="58"/>
  <c r="D32" i="53"/>
  <c r="F32" i="53" s="1"/>
  <c r="H26" i="53" s="1"/>
  <c r="J434" i="41"/>
  <c r="G273" i="66"/>
  <c r="I490" i="58"/>
  <c r="I491" i="58"/>
  <c r="I492" i="58"/>
  <c r="N209" i="66"/>
  <c r="N65" i="74" s="1"/>
  <c r="X212" i="66"/>
  <c r="T212" i="66"/>
  <c r="H22" i="74"/>
  <c r="AB166" i="66"/>
  <c r="AC166" i="66" s="1"/>
  <c r="O166" i="66"/>
  <c r="H435" i="41"/>
  <c r="K46" i="39" s="1"/>
  <c r="E142" i="38" s="1"/>
  <c r="G167" i="66"/>
  <c r="F24" i="39"/>
  <c r="H90" i="74"/>
  <c r="O234" i="66"/>
  <c r="AB234" i="66"/>
  <c r="AC234" i="66" s="1"/>
  <c r="AB221" i="66"/>
  <c r="AC221" i="66" s="1"/>
  <c r="G77" i="74"/>
  <c r="O221" i="66"/>
  <c r="O52" i="74"/>
  <c r="AC52" i="74"/>
  <c r="AD52" i="74" s="1"/>
  <c r="E410" i="38"/>
  <c r="G180" i="66"/>
  <c r="AB288" i="66"/>
  <c r="AC288" i="66" s="1"/>
  <c r="O288" i="66"/>
  <c r="H144" i="74"/>
  <c r="G28" i="39"/>
  <c r="H17" i="53"/>
  <c r="G17" i="53" s="1"/>
  <c r="E305" i="38" s="1"/>
  <c r="G23" i="53"/>
  <c r="E317" i="38" s="1"/>
  <c r="AB280" i="66"/>
  <c r="AC280" i="66" s="1"/>
  <c r="O280" i="66"/>
  <c r="H136" i="74"/>
  <c r="G157" i="66"/>
  <c r="H438" i="41"/>
  <c r="I438" i="41"/>
  <c r="G205" i="66"/>
  <c r="K252" i="66"/>
  <c r="G14" i="39" s="1"/>
  <c r="J462" i="58"/>
  <c r="J462" i="41" s="1"/>
  <c r="E375" i="38"/>
  <c r="L220" i="66" s="1"/>
  <c r="L76" i="74" s="1"/>
  <c r="I476" i="41"/>
  <c r="G124" i="74"/>
  <c r="I434" i="41"/>
  <c r="G225" i="66"/>
  <c r="AC38" i="74"/>
  <c r="AD38" i="74" s="1"/>
  <c r="O38" i="74"/>
  <c r="G28" i="74"/>
  <c r="G283" i="66"/>
  <c r="J437" i="41"/>
  <c r="Z86" i="66"/>
  <c r="AA230" i="66"/>
  <c r="Z230" i="66"/>
  <c r="AA86" i="66"/>
  <c r="O176" i="66"/>
  <c r="AB176" i="66"/>
  <c r="AC176" i="66" s="1"/>
  <c r="H32" i="74"/>
  <c r="E376" i="38"/>
  <c r="L204" i="66" s="1"/>
  <c r="L60" i="74" s="1"/>
  <c r="I477" i="41"/>
  <c r="AB195" i="66"/>
  <c r="AC195" i="66" s="1"/>
  <c r="O195" i="66"/>
  <c r="G51" i="74"/>
  <c r="I463" i="58"/>
  <c r="I463" i="41" s="1"/>
  <c r="K202" i="66"/>
  <c r="H96" i="74"/>
  <c r="O240" i="66"/>
  <c r="AB240" i="66"/>
  <c r="AC240" i="66" s="1"/>
  <c r="F28" i="39"/>
  <c r="AA134" i="66"/>
  <c r="Z278" i="66"/>
  <c r="Z134" i="66"/>
  <c r="AA278" i="66"/>
  <c r="AB222" i="66"/>
  <c r="AC222" i="66" s="1"/>
  <c r="F23" i="39"/>
  <c r="H78" i="74"/>
  <c r="O222" i="66"/>
  <c r="O266" i="66"/>
  <c r="AB266" i="66"/>
  <c r="AC266" i="66" s="1"/>
  <c r="H122" i="74"/>
  <c r="G21" i="39"/>
  <c r="G45" i="74"/>
  <c r="C49" i="63"/>
  <c r="AB265" i="66"/>
  <c r="AC265" i="66" s="1"/>
  <c r="H121" i="74"/>
  <c r="O265" i="66"/>
  <c r="AB147" i="66"/>
  <c r="AC147" i="66" s="1"/>
  <c r="G147" i="74"/>
  <c r="O147" i="66"/>
  <c r="H74" i="74"/>
  <c r="O218" i="66"/>
  <c r="AB218" i="66"/>
  <c r="AC218" i="66" s="1"/>
  <c r="F21" i="39"/>
  <c r="AB3" i="39"/>
  <c r="E172" i="38"/>
  <c r="O217" i="66"/>
  <c r="AB217" i="66"/>
  <c r="AC217" i="66" s="1"/>
  <c r="H73" i="74"/>
  <c r="N99" i="74"/>
  <c r="Z38" i="66"/>
  <c r="AA182" i="66"/>
  <c r="AA38" i="66"/>
  <c r="Z182" i="66"/>
  <c r="B4" i="39"/>
  <c r="C13" i="39" s="1"/>
  <c r="H113" i="74"/>
  <c r="J436" i="41"/>
  <c r="G284" i="66"/>
  <c r="G215" i="66"/>
  <c r="O223" i="66"/>
  <c r="AB223" i="66"/>
  <c r="AC223" i="66" s="1"/>
  <c r="G79" i="74"/>
  <c r="AB224" i="66"/>
  <c r="AC224" i="66" s="1"/>
  <c r="O224" i="66"/>
  <c r="H80" i="74"/>
  <c r="F27" i="39"/>
  <c r="G10" i="74"/>
  <c r="E411" i="38"/>
  <c r="G181" i="66"/>
  <c r="H26" i="74"/>
  <c r="AB170" i="66"/>
  <c r="AC170" i="66" s="1"/>
  <c r="O170" i="66"/>
  <c r="O271" i="66"/>
  <c r="AB271" i="66"/>
  <c r="AC271" i="66" s="1"/>
  <c r="G127" i="74"/>
  <c r="H484" i="58"/>
  <c r="M194" i="66"/>
  <c r="D14" i="53"/>
  <c r="F14" i="53" s="1"/>
  <c r="I455" i="37"/>
  <c r="K68" i="66"/>
  <c r="G76" i="74"/>
  <c r="G98" i="74"/>
  <c r="AB192" i="66"/>
  <c r="AC192" i="66" s="1"/>
  <c r="H48" i="74"/>
  <c r="O192" i="66"/>
  <c r="AC3" i="39"/>
  <c r="O262" i="66"/>
  <c r="H118" i="74"/>
  <c r="AB262" i="66"/>
  <c r="AC262" i="66" s="1"/>
  <c r="G141" i="74"/>
  <c r="I437" i="41"/>
  <c r="G235" i="66"/>
  <c r="J435" i="41"/>
  <c r="M46" i="39" s="1"/>
  <c r="E176" i="38" s="1"/>
  <c r="G263" i="66"/>
  <c r="O245" i="66"/>
  <c r="AB245" i="66"/>
  <c r="AC245" i="66" s="1"/>
  <c r="H101" i="74"/>
  <c r="AB173" i="66"/>
  <c r="AC173" i="66" s="1"/>
  <c r="O173" i="66"/>
  <c r="G29" i="74"/>
  <c r="L46" i="39"/>
  <c r="E159" i="38" s="1"/>
  <c r="B7" i="39"/>
  <c r="C16" i="39" s="1"/>
  <c r="G277" i="66"/>
  <c r="E415" i="38"/>
  <c r="AB161" i="66" l="1"/>
  <c r="AC161" i="66" s="1"/>
  <c r="G22" i="39"/>
  <c r="AB257" i="66"/>
  <c r="AC257" i="66" s="1"/>
  <c r="O257" i="66"/>
  <c r="Z113" i="66" s="1"/>
  <c r="J484" i="41"/>
  <c r="O161" i="66"/>
  <c r="AA161" i="66" s="1"/>
  <c r="H484" i="41"/>
  <c r="O202" i="66"/>
  <c r="P202" i="66" s="1"/>
  <c r="Z93" i="66"/>
  <c r="Z237" i="66"/>
  <c r="AA93" i="66"/>
  <c r="P93" i="66"/>
  <c r="P237" i="66"/>
  <c r="AA237" i="66"/>
  <c r="K263" i="66"/>
  <c r="J467" i="58"/>
  <c r="O235" i="66"/>
  <c r="AB235" i="66"/>
  <c r="AC235" i="66" s="1"/>
  <c r="G91" i="74"/>
  <c r="Z118" i="66"/>
  <c r="AA262" i="66"/>
  <c r="AA118" i="66"/>
  <c r="Z262" i="66"/>
  <c r="Z192" i="66"/>
  <c r="P48" i="66"/>
  <c r="Z48" i="66"/>
  <c r="AA48" i="66"/>
  <c r="AA192" i="66"/>
  <c r="P192" i="66"/>
  <c r="H7" i="6"/>
  <c r="K108" i="74"/>
  <c r="T252" i="66"/>
  <c r="Q252" i="66"/>
  <c r="X252" i="66"/>
  <c r="M242" i="66"/>
  <c r="I484" i="58"/>
  <c r="P15" i="39"/>
  <c r="Q15" i="39" s="1"/>
  <c r="O15" i="39"/>
  <c r="AC88" i="74"/>
  <c r="AD88" i="74" s="1"/>
  <c r="O88" i="74"/>
  <c r="M44" i="39"/>
  <c r="J492" i="41"/>
  <c r="E17" i="39" s="1"/>
  <c r="G249" i="66"/>
  <c r="C31" i="63"/>
  <c r="J495" i="41"/>
  <c r="C22" i="63"/>
  <c r="K106" i="74"/>
  <c r="X250" i="66"/>
  <c r="Q250" i="66"/>
  <c r="T250" i="66"/>
  <c r="Q146" i="66"/>
  <c r="M146" i="74"/>
  <c r="Q146" i="74" s="1"/>
  <c r="H32" i="53"/>
  <c r="G32" i="53" s="1"/>
  <c r="G26" i="53"/>
  <c r="O50" i="66"/>
  <c r="Q50" i="66"/>
  <c r="W50" i="66" s="1"/>
  <c r="Y50" i="66" s="1"/>
  <c r="M50" i="74"/>
  <c r="AB50" i="66"/>
  <c r="AC50" i="66" s="1"/>
  <c r="S50" i="66"/>
  <c r="U50" i="66" s="1"/>
  <c r="O253" i="66"/>
  <c r="G109" i="74"/>
  <c r="AB253" i="66"/>
  <c r="AC253" i="66" s="1"/>
  <c r="F15" i="39"/>
  <c r="G251" i="66"/>
  <c r="J491" i="41"/>
  <c r="J455" i="41"/>
  <c r="Q290" i="66"/>
  <c r="O290" i="66"/>
  <c r="P290" i="66" s="1"/>
  <c r="AB290" i="66"/>
  <c r="AC290" i="66" s="1"/>
  <c r="AC138" i="74"/>
  <c r="D29" i="77" s="1"/>
  <c r="O138" i="74"/>
  <c r="I488" i="58"/>
  <c r="M228" i="66"/>
  <c r="Q228" i="66" s="1"/>
  <c r="J6" i="6"/>
  <c r="Z128" i="66"/>
  <c r="Z272" i="66"/>
  <c r="AA128" i="66"/>
  <c r="AA272" i="66"/>
  <c r="P272" i="66"/>
  <c r="P128" i="66"/>
  <c r="O48" i="74"/>
  <c r="AC48" i="74"/>
  <c r="AD48" i="74" s="1"/>
  <c r="Z271" i="66"/>
  <c r="Z127" i="66"/>
  <c r="AA271" i="66"/>
  <c r="AA127" i="66"/>
  <c r="AC79" i="74"/>
  <c r="AD79" i="74" s="1"/>
  <c r="O79" i="74"/>
  <c r="Z291" i="66"/>
  <c r="Z147" i="66"/>
  <c r="AA147" i="66"/>
  <c r="AA291" i="66"/>
  <c r="O78" i="74"/>
  <c r="AC78" i="74"/>
  <c r="AD78" i="74" s="1"/>
  <c r="AB283" i="66"/>
  <c r="AC283" i="66" s="1"/>
  <c r="O283" i="66"/>
  <c r="G139" i="74"/>
  <c r="AC101" i="74"/>
  <c r="D19" i="77" s="1"/>
  <c r="O101" i="74"/>
  <c r="X68" i="66"/>
  <c r="T68" i="66"/>
  <c r="K68" i="74"/>
  <c r="Z26" i="66"/>
  <c r="AA170" i="66"/>
  <c r="P170" i="66"/>
  <c r="P26" i="66"/>
  <c r="Z170" i="66"/>
  <c r="AA26" i="66"/>
  <c r="O147" i="74"/>
  <c r="AC147" i="74"/>
  <c r="AD147" i="74" s="1"/>
  <c r="AA96" i="66"/>
  <c r="P96" i="66"/>
  <c r="I7" i="6"/>
  <c r="AA240" i="66"/>
  <c r="Z96" i="66"/>
  <c r="P240" i="66"/>
  <c r="Z240" i="66"/>
  <c r="AB205" i="66"/>
  <c r="AC205" i="66" s="1"/>
  <c r="G61" i="74"/>
  <c r="O205" i="66"/>
  <c r="M98" i="66"/>
  <c r="I484" i="37"/>
  <c r="Z52" i="74"/>
  <c r="AA52" i="74"/>
  <c r="G23" i="74"/>
  <c r="X260" i="66"/>
  <c r="T260" i="66"/>
  <c r="C42" i="39"/>
  <c r="E89" i="38" s="1"/>
  <c r="K42" i="39"/>
  <c r="E140" i="38" s="1"/>
  <c r="AA134" i="74"/>
  <c r="Z134" i="74"/>
  <c r="I461" i="58"/>
  <c r="I460" i="58"/>
  <c r="C18" i="75"/>
  <c r="AD100" i="74"/>
  <c r="I495" i="41"/>
  <c r="C21" i="63"/>
  <c r="C12" i="63"/>
  <c r="J497" i="41"/>
  <c r="E46" i="39" s="1"/>
  <c r="G132" i="66"/>
  <c r="E408" i="38"/>
  <c r="I487" i="58"/>
  <c r="M229" i="66"/>
  <c r="Q229" i="66" s="1"/>
  <c r="AA214" i="66"/>
  <c r="Z70" i="66"/>
  <c r="AA70" i="66"/>
  <c r="Z214" i="66"/>
  <c r="AA197" i="66"/>
  <c r="AA53" i="66"/>
  <c r="Z53" i="66"/>
  <c r="Z197" i="66"/>
  <c r="I5" i="6"/>
  <c r="T164" i="66"/>
  <c r="X164" i="66"/>
  <c r="G43" i="74"/>
  <c r="O187" i="66"/>
  <c r="AB187" i="66"/>
  <c r="AC187" i="66" s="1"/>
  <c r="G155" i="66"/>
  <c r="H491" i="41"/>
  <c r="AB237" i="66"/>
  <c r="AC237" i="66" s="1"/>
  <c r="Z195" i="66"/>
  <c r="Z51" i="66"/>
  <c r="AA195" i="66"/>
  <c r="AA51" i="66"/>
  <c r="Z32" i="66"/>
  <c r="AA32" i="66"/>
  <c r="AA176" i="66"/>
  <c r="H6" i="6"/>
  <c r="P176" i="66"/>
  <c r="P32" i="66"/>
  <c r="Z176" i="66"/>
  <c r="O99" i="74"/>
  <c r="AC99" i="74"/>
  <c r="AD99" i="74" s="1"/>
  <c r="Q156" i="66"/>
  <c r="W156" i="66" s="1"/>
  <c r="X156" i="66"/>
  <c r="T156" i="66"/>
  <c r="K12" i="74"/>
  <c r="AC12" i="74" s="1"/>
  <c r="AD12" i="74" s="1"/>
  <c r="S156" i="66"/>
  <c r="AC65" i="74"/>
  <c r="AD65" i="74" s="1"/>
  <c r="O65" i="74"/>
  <c r="G92" i="74"/>
  <c r="AB236" i="66"/>
  <c r="AC236" i="66" s="1"/>
  <c r="O236" i="66"/>
  <c r="K60" i="74"/>
  <c r="O60" i="74" s="1"/>
  <c r="X204" i="66"/>
  <c r="T204" i="66"/>
  <c r="Q204" i="66"/>
  <c r="M277" i="66"/>
  <c r="Q277" i="66" s="1"/>
  <c r="J487" i="58"/>
  <c r="H478" i="37"/>
  <c r="H478" i="58"/>
  <c r="E371" i="38" s="1"/>
  <c r="L154" i="66" s="1"/>
  <c r="C43" i="39"/>
  <c r="E92" i="38" s="1"/>
  <c r="K43" i="39"/>
  <c r="E143" i="38" s="1"/>
  <c r="I455" i="41"/>
  <c r="Z79" i="66"/>
  <c r="AA79" i="66"/>
  <c r="Z223" i="66"/>
  <c r="AA223" i="66"/>
  <c r="O113" i="74"/>
  <c r="AC113" i="74"/>
  <c r="O96" i="74"/>
  <c r="AC96" i="74"/>
  <c r="AD96" i="74" s="1"/>
  <c r="Z221" i="66"/>
  <c r="Z77" i="66"/>
  <c r="AA77" i="66"/>
  <c r="AA221" i="66"/>
  <c r="K167" i="66"/>
  <c r="H467" i="58"/>
  <c r="I492" i="41"/>
  <c r="D17" i="39" s="1"/>
  <c r="G201" i="66"/>
  <c r="L44" i="39"/>
  <c r="Z232" i="66"/>
  <c r="AA88" i="66"/>
  <c r="Z88" i="66"/>
  <c r="AA232" i="66"/>
  <c r="Z100" i="74"/>
  <c r="AA100" i="74"/>
  <c r="I497" i="41"/>
  <c r="D46" i="39" s="1"/>
  <c r="G84" i="66"/>
  <c r="E406" i="38"/>
  <c r="J490" i="41"/>
  <c r="G258" i="66"/>
  <c r="AB204" i="66"/>
  <c r="AC204" i="66" s="1"/>
  <c r="O70" i="74"/>
  <c r="AC70" i="74"/>
  <c r="AD70" i="74" s="1"/>
  <c r="M276" i="66"/>
  <c r="J488" i="58"/>
  <c r="G153" i="66"/>
  <c r="K44" i="39"/>
  <c r="E144" i="38" s="1"/>
  <c r="H492" i="41"/>
  <c r="C17" i="39" s="1"/>
  <c r="Z169" i="66"/>
  <c r="AA25" i="66"/>
  <c r="AA169" i="66"/>
  <c r="Z25" i="66"/>
  <c r="Z186" i="66"/>
  <c r="P186" i="66"/>
  <c r="AA186" i="66"/>
  <c r="Z42" i="66"/>
  <c r="P42" i="66"/>
  <c r="AA42" i="66"/>
  <c r="AC128" i="74"/>
  <c r="O128" i="74"/>
  <c r="G71" i="74"/>
  <c r="O13" i="39"/>
  <c r="P13" i="39"/>
  <c r="AA3" i="39"/>
  <c r="AC73" i="74"/>
  <c r="AD73" i="74" s="1"/>
  <c r="O73" i="74"/>
  <c r="J461" i="58"/>
  <c r="J460" i="58"/>
  <c r="J460" i="41" s="1"/>
  <c r="K268" i="66"/>
  <c r="AA265" i="66"/>
  <c r="Z121" i="66"/>
  <c r="AA121" i="66"/>
  <c r="Z265" i="66"/>
  <c r="T202" i="66"/>
  <c r="K58" i="74"/>
  <c r="AC58" i="74" s="1"/>
  <c r="AD58" i="74" s="1"/>
  <c r="Q202" i="66"/>
  <c r="X202" i="66"/>
  <c r="AC144" i="74"/>
  <c r="AD144" i="74" s="1"/>
  <c r="O144" i="74"/>
  <c r="AC77" i="74"/>
  <c r="AD77" i="74" s="1"/>
  <c r="O77" i="74"/>
  <c r="Z22" i="66"/>
  <c r="Z166" i="66"/>
  <c r="AA166" i="66"/>
  <c r="AA22" i="66"/>
  <c r="G203" i="66"/>
  <c r="I491" i="41"/>
  <c r="P161" i="66"/>
  <c r="AB250" i="66"/>
  <c r="AC250" i="66" s="1"/>
  <c r="E407" i="38"/>
  <c r="G85" i="66"/>
  <c r="I496" i="41"/>
  <c r="AB177" i="66"/>
  <c r="AC177" i="66" s="1"/>
  <c r="G33" i="74"/>
  <c r="O177" i="66"/>
  <c r="O30" i="74"/>
  <c r="AC30" i="74"/>
  <c r="AD30" i="74" s="1"/>
  <c r="F16" i="39"/>
  <c r="O204" i="66"/>
  <c r="AC53" i="74"/>
  <c r="AD53" i="74" s="1"/>
  <c r="O53" i="74"/>
  <c r="AC5" i="74"/>
  <c r="C19" i="77" s="1"/>
  <c r="O5" i="74"/>
  <c r="AC126" i="74"/>
  <c r="AD126" i="74" s="1"/>
  <c r="O126" i="74"/>
  <c r="H8" i="53"/>
  <c r="G8" i="53" s="1"/>
  <c r="G2" i="53"/>
  <c r="G162" i="66"/>
  <c r="H490" i="41"/>
  <c r="AC25" i="74"/>
  <c r="C24" i="77" s="1"/>
  <c r="O25" i="74"/>
  <c r="O42" i="74"/>
  <c r="AC42" i="74"/>
  <c r="C29" i="77" s="1"/>
  <c r="E405" i="38"/>
  <c r="G37" i="66"/>
  <c r="H496" i="41"/>
  <c r="AA173" i="66"/>
  <c r="AA29" i="66"/>
  <c r="Z29" i="66"/>
  <c r="Z173" i="66"/>
  <c r="O74" i="74"/>
  <c r="AC74" i="74"/>
  <c r="AD74" i="74" s="1"/>
  <c r="M180" i="66"/>
  <c r="AB180" i="66" s="1"/>
  <c r="AC180" i="66" s="1"/>
  <c r="H488" i="58"/>
  <c r="H476" i="58"/>
  <c r="C40" i="39"/>
  <c r="H476" i="37"/>
  <c r="K40" i="39"/>
  <c r="AC121" i="74"/>
  <c r="D24" i="77" s="1"/>
  <c r="O121" i="74"/>
  <c r="O122" i="74"/>
  <c r="AC122" i="74"/>
  <c r="AA38" i="74"/>
  <c r="Z38" i="74"/>
  <c r="G13" i="74"/>
  <c r="AB157" i="66"/>
  <c r="AC157" i="66" s="1"/>
  <c r="O157" i="66"/>
  <c r="P288" i="66"/>
  <c r="J7" i="6"/>
  <c r="Z144" i="66"/>
  <c r="P144" i="66"/>
  <c r="AA288" i="66"/>
  <c r="Z288" i="66"/>
  <c r="AA144" i="66"/>
  <c r="I490" i="41"/>
  <c r="G210" i="66"/>
  <c r="AC17" i="74"/>
  <c r="O17" i="74"/>
  <c r="AB252" i="66"/>
  <c r="AC252" i="66" s="1"/>
  <c r="O250" i="66"/>
  <c r="Z40" i="66"/>
  <c r="AA40" i="66"/>
  <c r="AA184" i="66"/>
  <c r="Z184" i="66"/>
  <c r="P174" i="66"/>
  <c r="AA30" i="66"/>
  <c r="Z174" i="66"/>
  <c r="Z30" i="66"/>
  <c r="AA174" i="66"/>
  <c r="P30" i="66"/>
  <c r="AB202" i="66"/>
  <c r="AC202" i="66" s="1"/>
  <c r="O209" i="66"/>
  <c r="H5" i="6"/>
  <c r="AA149" i="66"/>
  <c r="AA5" i="66"/>
  <c r="Z5" i="66"/>
  <c r="Z149" i="66"/>
  <c r="Z126" i="66"/>
  <c r="AA126" i="66"/>
  <c r="AA270" i="66"/>
  <c r="P126" i="66"/>
  <c r="P270" i="66"/>
  <c r="Z270" i="66"/>
  <c r="X20" i="66"/>
  <c r="K20" i="74"/>
  <c r="T20" i="66"/>
  <c r="O156" i="66"/>
  <c r="C11" i="63"/>
  <c r="H495" i="41"/>
  <c r="AA222" i="66"/>
  <c r="AA78" i="66"/>
  <c r="P78" i="66"/>
  <c r="Z78" i="66"/>
  <c r="P222" i="66"/>
  <c r="Z222" i="66"/>
  <c r="O90" i="74"/>
  <c r="AC90" i="74"/>
  <c r="AD90" i="74" s="1"/>
  <c r="G133" i="66"/>
  <c r="J496" i="41"/>
  <c r="E409" i="38"/>
  <c r="P16" i="39"/>
  <c r="Q16" i="39" s="1"/>
  <c r="O16" i="39"/>
  <c r="Z101" i="66"/>
  <c r="Z245" i="66"/>
  <c r="AA245" i="66"/>
  <c r="AA101" i="66"/>
  <c r="J5" i="6"/>
  <c r="I467" i="58"/>
  <c r="K215" i="66"/>
  <c r="AB215" i="66" s="1"/>
  <c r="AC215" i="66" s="1"/>
  <c r="S194" i="66"/>
  <c r="U194" i="66" s="1"/>
  <c r="Q194" i="66"/>
  <c r="W194" i="66" s="1"/>
  <c r="Y194" i="66" s="1"/>
  <c r="O194" i="66"/>
  <c r="P194" i="66" s="1"/>
  <c r="AB194" i="66"/>
  <c r="AC194" i="66" s="1"/>
  <c r="O80" i="74"/>
  <c r="AC80" i="74"/>
  <c r="AD80" i="74" s="1"/>
  <c r="M181" i="66"/>
  <c r="AB181" i="66" s="1"/>
  <c r="AC181" i="66" s="1"/>
  <c r="H487" i="58"/>
  <c r="AA224" i="66"/>
  <c r="I6" i="6"/>
  <c r="Z80" i="66"/>
  <c r="P80" i="66"/>
  <c r="AA80" i="66"/>
  <c r="P224" i="66"/>
  <c r="Z224" i="66"/>
  <c r="G140" i="74"/>
  <c r="AB284" i="66"/>
  <c r="AC284" i="66" s="1"/>
  <c r="O284" i="66"/>
  <c r="O32" i="74"/>
  <c r="AC32" i="74"/>
  <c r="C27" i="77" s="1"/>
  <c r="O136" i="74"/>
  <c r="AC136" i="74"/>
  <c r="AD136" i="74" s="1"/>
  <c r="AC22" i="74"/>
  <c r="C23" i="77" s="1"/>
  <c r="O22" i="74"/>
  <c r="G129" i="74"/>
  <c r="O273" i="66"/>
  <c r="AB273" i="66"/>
  <c r="AC273" i="66" s="1"/>
  <c r="AA99" i="66"/>
  <c r="Z99" i="66"/>
  <c r="AA243" i="66"/>
  <c r="Z243" i="66"/>
  <c r="O252" i="66"/>
  <c r="AC4" i="74"/>
  <c r="C18" i="77" s="1"/>
  <c r="O4" i="74"/>
  <c r="AA86" i="74"/>
  <c r="Z86" i="74"/>
  <c r="F14" i="39"/>
  <c r="F22" i="39"/>
  <c r="AB188" i="66"/>
  <c r="AC188" i="66" s="1"/>
  <c r="G44" i="74"/>
  <c r="O188" i="66"/>
  <c r="H455" i="41"/>
  <c r="AA125" i="66"/>
  <c r="AA269" i="66"/>
  <c r="Z269" i="66"/>
  <c r="Z125" i="66"/>
  <c r="AB156" i="66"/>
  <c r="AC156" i="66" s="1"/>
  <c r="AC31" i="74"/>
  <c r="C26" i="77" s="1"/>
  <c r="O31" i="74"/>
  <c r="E404" i="38"/>
  <c r="G36" i="66"/>
  <c r="H497" i="41"/>
  <c r="C46" i="39" s="1"/>
  <c r="E91" i="38" s="1"/>
  <c r="G14" i="53"/>
  <c r="H20" i="53"/>
  <c r="G20" i="53" s="1"/>
  <c r="O26" i="74"/>
  <c r="AC26" i="74"/>
  <c r="C25" i="77" s="1"/>
  <c r="G119" i="74"/>
  <c r="O263" i="66"/>
  <c r="AA217" i="66"/>
  <c r="AA73" i="66"/>
  <c r="Z73" i="66"/>
  <c r="Z217" i="66"/>
  <c r="AC29" i="74"/>
  <c r="AD29" i="74" s="1"/>
  <c r="O29" i="74"/>
  <c r="AC118" i="74"/>
  <c r="D23" i="77" s="1"/>
  <c r="O118" i="74"/>
  <c r="AC127" i="74"/>
  <c r="D26" i="77" s="1"/>
  <c r="O127" i="74"/>
  <c r="AA218" i="66"/>
  <c r="P218" i="66"/>
  <c r="P74" i="66"/>
  <c r="AA74" i="66"/>
  <c r="Z218" i="66"/>
  <c r="Z74" i="66"/>
  <c r="P266" i="66"/>
  <c r="AA122" i="66"/>
  <c r="AA266" i="66"/>
  <c r="Z266" i="66"/>
  <c r="Z122" i="66"/>
  <c r="P122" i="66"/>
  <c r="AC51" i="74"/>
  <c r="AD51" i="74" s="1"/>
  <c r="O51" i="74"/>
  <c r="O225" i="66"/>
  <c r="G81" i="74"/>
  <c r="AB225" i="66"/>
  <c r="AC225" i="66" s="1"/>
  <c r="AA136" i="66"/>
  <c r="Z136" i="66"/>
  <c r="Z280" i="66"/>
  <c r="AA280" i="66"/>
  <c r="AA234" i="66"/>
  <c r="Z234" i="66"/>
  <c r="Z90" i="66"/>
  <c r="P90" i="66"/>
  <c r="P234" i="66"/>
  <c r="AA90" i="66"/>
  <c r="AB146" i="66"/>
  <c r="AC146" i="66" s="1"/>
  <c r="O108" i="74"/>
  <c r="O106" i="74"/>
  <c r="AC106" i="74"/>
  <c r="O40" i="74"/>
  <c r="AC40" i="74"/>
  <c r="AD40" i="74" s="1"/>
  <c r="Q237" i="66"/>
  <c r="X237" i="66"/>
  <c r="T237" i="66"/>
  <c r="AB209" i="66"/>
  <c r="AC209" i="66" s="1"/>
  <c r="X116" i="66"/>
  <c r="K116" i="74"/>
  <c r="T116" i="66"/>
  <c r="Z282" i="66"/>
  <c r="AA282" i="66"/>
  <c r="Z138" i="66"/>
  <c r="P138" i="66"/>
  <c r="P282" i="66"/>
  <c r="AA138" i="66"/>
  <c r="O125" i="74"/>
  <c r="AC125" i="74"/>
  <c r="AD125" i="74" s="1"/>
  <c r="Z175" i="66"/>
  <c r="AA175" i="66"/>
  <c r="Z31" i="66"/>
  <c r="AA31" i="66"/>
  <c r="AA17" i="66" l="1"/>
  <c r="Z161" i="66"/>
  <c r="P17" i="66"/>
  <c r="Z17" i="66"/>
  <c r="O58" i="74"/>
  <c r="P257" i="66"/>
  <c r="Z290" i="66"/>
  <c r="Z257" i="66"/>
  <c r="AA257" i="66"/>
  <c r="AA113" i="66"/>
  <c r="P113" i="66"/>
  <c r="D27" i="77"/>
  <c r="C3" i="75"/>
  <c r="F18" i="77"/>
  <c r="D25" i="77"/>
  <c r="C9" i="77"/>
  <c r="Z202" i="66"/>
  <c r="AA290" i="66"/>
  <c r="AC146" i="74"/>
  <c r="AD146" i="74" s="1"/>
  <c r="AA58" i="66"/>
  <c r="AA146" i="66"/>
  <c r="O146" i="74"/>
  <c r="Z146" i="74" s="1"/>
  <c r="Z58" i="66"/>
  <c r="P146" i="66"/>
  <c r="W146" i="66" s="1"/>
  <c r="Y146" i="66" s="1"/>
  <c r="P58" i="66"/>
  <c r="R58" i="66" s="1"/>
  <c r="S58" i="66" s="1"/>
  <c r="U58" i="66" s="1"/>
  <c r="Z146" i="66"/>
  <c r="AA202" i="66"/>
  <c r="D9" i="77"/>
  <c r="U156" i="66"/>
  <c r="AC60" i="74"/>
  <c r="AD60" i="74" s="1"/>
  <c r="AD113" i="74"/>
  <c r="D7" i="77"/>
  <c r="AD106" i="74"/>
  <c r="AD17" i="74"/>
  <c r="C7" i="77"/>
  <c r="AB228" i="66"/>
  <c r="AC228" i="66" s="1"/>
  <c r="AB277" i="66"/>
  <c r="AC277" i="66" s="1"/>
  <c r="Y156" i="66"/>
  <c r="K23" i="66"/>
  <c r="H467" i="37"/>
  <c r="H467" i="41" s="1"/>
  <c r="P252" i="66"/>
  <c r="Z108" i="66"/>
  <c r="AA252" i="66"/>
  <c r="P108" i="66"/>
  <c r="AA108" i="66"/>
  <c r="Z252" i="66"/>
  <c r="AA136" i="74"/>
  <c r="Z136" i="74"/>
  <c r="AA80" i="74"/>
  <c r="Z80" i="74"/>
  <c r="P80" i="74"/>
  <c r="AA156" i="66"/>
  <c r="AA12" i="66"/>
  <c r="Z12" i="66"/>
  <c r="Z156" i="66"/>
  <c r="P156" i="66"/>
  <c r="P12" i="66"/>
  <c r="O13" i="74"/>
  <c r="AC13" i="74"/>
  <c r="E351" i="38"/>
  <c r="L28" i="66" s="1"/>
  <c r="H476" i="41"/>
  <c r="Z25" i="74"/>
  <c r="AA25" i="74"/>
  <c r="P30" i="74"/>
  <c r="AA30" i="74"/>
  <c r="Z30" i="74"/>
  <c r="R17" i="66"/>
  <c r="V17" i="66"/>
  <c r="O203" i="66"/>
  <c r="G59" i="74"/>
  <c r="AB203" i="66"/>
  <c r="AC203" i="66" s="1"/>
  <c r="C60" i="63"/>
  <c r="J461" i="41"/>
  <c r="O3" i="41" s="1"/>
  <c r="C52" i="63"/>
  <c r="AD128" i="74"/>
  <c r="C27" i="75"/>
  <c r="D29" i="39"/>
  <c r="K17" i="39" s="1"/>
  <c r="D32" i="39"/>
  <c r="D33" i="39" s="1"/>
  <c r="AA96" i="74"/>
  <c r="P96" i="74"/>
  <c r="Z96" i="74"/>
  <c r="O12" i="74"/>
  <c r="S12" i="74"/>
  <c r="X12" i="74"/>
  <c r="Q12" i="74"/>
  <c r="W12" i="74" s="1"/>
  <c r="T12" i="74"/>
  <c r="V176" i="66"/>
  <c r="R176" i="66"/>
  <c r="R257" i="66"/>
  <c r="S257" i="66" s="1"/>
  <c r="U257" i="66" s="1"/>
  <c r="V257" i="66"/>
  <c r="W257" i="66"/>
  <c r="Y257" i="66" s="1"/>
  <c r="V170" i="66"/>
  <c r="R170" i="66"/>
  <c r="AD138" i="74"/>
  <c r="C29" i="75"/>
  <c r="O251" i="66"/>
  <c r="AB251" i="66"/>
  <c r="AC251" i="66" s="1"/>
  <c r="G107" i="74"/>
  <c r="O229" i="66"/>
  <c r="V234" i="66"/>
  <c r="R234" i="66"/>
  <c r="S234" i="66" s="1"/>
  <c r="U234" i="66" s="1"/>
  <c r="W234" i="66"/>
  <c r="Y234" i="66" s="1"/>
  <c r="V74" i="66"/>
  <c r="R74" i="66"/>
  <c r="S74" i="66" s="1"/>
  <c r="U74" i="66" s="1"/>
  <c r="W74" i="66"/>
  <c r="Y74" i="66" s="1"/>
  <c r="B27" i="75"/>
  <c r="E27" i="75" s="1"/>
  <c r="AD32" i="74"/>
  <c r="V80" i="66"/>
  <c r="W80" i="66"/>
  <c r="Y80" i="66" s="1"/>
  <c r="R80" i="66"/>
  <c r="S80" i="66" s="1"/>
  <c r="U80" i="66" s="1"/>
  <c r="M133" i="66"/>
  <c r="AB133" i="66" s="1"/>
  <c r="AC133" i="66" s="1"/>
  <c r="J487" i="37"/>
  <c r="J487" i="41" s="1"/>
  <c r="V222" i="66"/>
  <c r="R222" i="66"/>
  <c r="S222" i="66" s="1"/>
  <c r="U222" i="66" s="1"/>
  <c r="W222" i="66"/>
  <c r="Y222" i="66" s="1"/>
  <c r="V270" i="66"/>
  <c r="W270" i="66"/>
  <c r="Y270" i="66" s="1"/>
  <c r="R270" i="66"/>
  <c r="S270" i="66" s="1"/>
  <c r="U270" i="66" s="1"/>
  <c r="P250" i="66"/>
  <c r="Z250" i="66"/>
  <c r="AA250" i="66"/>
  <c r="P106" i="66"/>
  <c r="AA106" i="66"/>
  <c r="Z106" i="66"/>
  <c r="E87" i="38"/>
  <c r="C56" i="39"/>
  <c r="C58" i="39" s="1"/>
  <c r="C59" i="39"/>
  <c r="C60" i="39" s="1"/>
  <c r="AD25" i="74"/>
  <c r="B24" i="75"/>
  <c r="E24" i="75" s="1"/>
  <c r="AA5" i="74"/>
  <c r="Z5" i="74"/>
  <c r="Z177" i="66"/>
  <c r="Z33" i="66"/>
  <c r="AA33" i="66"/>
  <c r="AA177" i="66"/>
  <c r="Z73" i="74"/>
  <c r="AA73" i="74"/>
  <c r="Q13" i="39"/>
  <c r="Z70" i="74"/>
  <c r="AA70" i="74"/>
  <c r="H478" i="41"/>
  <c r="E353" i="38"/>
  <c r="L10" i="66" s="1"/>
  <c r="L10" i="74" s="1"/>
  <c r="T60" i="74"/>
  <c r="Q60" i="74"/>
  <c r="X60" i="74"/>
  <c r="J488" i="37"/>
  <c r="J488" i="41" s="1"/>
  <c r="M132" i="66"/>
  <c r="O132" i="66" s="1"/>
  <c r="AA101" i="74"/>
  <c r="Z101" i="74"/>
  <c r="Q50" i="74"/>
  <c r="W50" i="74" s="1"/>
  <c r="Y50" i="74" s="1"/>
  <c r="S50" i="74"/>
  <c r="U50" i="74" s="1"/>
  <c r="O50" i="74"/>
  <c r="AC50" i="74"/>
  <c r="R48" i="66"/>
  <c r="V48" i="66"/>
  <c r="Z235" i="66"/>
  <c r="Z91" i="66"/>
  <c r="AA91" i="66"/>
  <c r="AA235" i="66"/>
  <c r="W202" i="66"/>
  <c r="Y202" i="66" s="1"/>
  <c r="R202" i="66"/>
  <c r="S202" i="66" s="1"/>
  <c r="U202" i="66" s="1"/>
  <c r="V202" i="66"/>
  <c r="AA29" i="74"/>
  <c r="Z29" i="74"/>
  <c r="Z125" i="74"/>
  <c r="AA125" i="74"/>
  <c r="G36" i="74"/>
  <c r="R90" i="66"/>
  <c r="S90" i="66" s="1"/>
  <c r="U90" i="66" s="1"/>
  <c r="V90" i="66"/>
  <c r="W90" i="66"/>
  <c r="Y90" i="66" s="1"/>
  <c r="W218" i="66"/>
  <c r="Y218" i="66" s="1"/>
  <c r="V218" i="66"/>
  <c r="R218" i="66"/>
  <c r="S218" i="66" s="1"/>
  <c r="U218" i="66" s="1"/>
  <c r="M36" i="66"/>
  <c r="AB36" i="66" s="1"/>
  <c r="AC36" i="66" s="1"/>
  <c r="H488" i="37"/>
  <c r="H488" i="41" s="1"/>
  <c r="P58" i="74"/>
  <c r="AA58" i="74"/>
  <c r="Z58" i="74"/>
  <c r="P32" i="74"/>
  <c r="AA32" i="74"/>
  <c r="Z32" i="74"/>
  <c r="V194" i="66"/>
  <c r="R194" i="66"/>
  <c r="V126" i="66"/>
  <c r="W126" i="66"/>
  <c r="Y126" i="66" s="1"/>
  <c r="R126" i="66"/>
  <c r="S126" i="66" s="1"/>
  <c r="U126" i="66" s="1"/>
  <c r="R144" i="66"/>
  <c r="S144" i="66" s="1"/>
  <c r="U144" i="66" s="1"/>
  <c r="V144" i="66"/>
  <c r="W144" i="66"/>
  <c r="Y144" i="66" s="1"/>
  <c r="E369" i="38"/>
  <c r="L172" i="66" s="1"/>
  <c r="AD5" i="74"/>
  <c r="B19" i="75"/>
  <c r="E19" i="75" s="1"/>
  <c r="AC33" i="74"/>
  <c r="AD33" i="74" s="1"/>
  <c r="O33" i="74"/>
  <c r="V42" i="66"/>
  <c r="R42" i="66"/>
  <c r="Q167" i="66"/>
  <c r="W167" i="66" s="1"/>
  <c r="T167" i="66"/>
  <c r="S167" i="66"/>
  <c r="X167" i="66"/>
  <c r="O277" i="66"/>
  <c r="Z92" i="66"/>
  <c r="AA236" i="66"/>
  <c r="Z236" i="66"/>
  <c r="AA92" i="66"/>
  <c r="G132" i="74"/>
  <c r="I460" i="41"/>
  <c r="Q98" i="66"/>
  <c r="O98" i="66"/>
  <c r="AB98" i="66"/>
  <c r="AC98" i="66" s="1"/>
  <c r="AD101" i="74"/>
  <c r="C19" i="75"/>
  <c r="R290" i="66"/>
  <c r="S290" i="66" s="1"/>
  <c r="U290" i="66" s="1"/>
  <c r="W290" i="66"/>
  <c r="Y290" i="66" s="1"/>
  <c r="V290" i="66"/>
  <c r="O228" i="66"/>
  <c r="Z273" i="66"/>
  <c r="AA273" i="66"/>
  <c r="AA129" i="66"/>
  <c r="Z129" i="66"/>
  <c r="Z284" i="66"/>
  <c r="AA140" i="66"/>
  <c r="Z140" i="66"/>
  <c r="AA284" i="66"/>
  <c r="G133" i="74"/>
  <c r="W78" i="66"/>
  <c r="Y78" i="66" s="1"/>
  <c r="R78" i="66"/>
  <c r="S78" i="66" s="1"/>
  <c r="U78" i="66" s="1"/>
  <c r="V78" i="66"/>
  <c r="Z65" i="66"/>
  <c r="P209" i="66"/>
  <c r="AA209" i="66"/>
  <c r="AA65" i="66"/>
  <c r="Z209" i="66"/>
  <c r="P17" i="74"/>
  <c r="AA17" i="74"/>
  <c r="Z17" i="74"/>
  <c r="AD122" i="74"/>
  <c r="C25" i="75"/>
  <c r="AA53" i="74"/>
  <c r="Z53" i="74"/>
  <c r="P17" i="39"/>
  <c r="Q17" i="39" s="1"/>
  <c r="O258" i="66"/>
  <c r="AB258" i="66"/>
  <c r="AC258" i="66" s="1"/>
  <c r="G114" i="74"/>
  <c r="G11" i="74"/>
  <c r="AB155" i="66"/>
  <c r="AC155" i="66" s="1"/>
  <c r="O155" i="66"/>
  <c r="E125" i="38"/>
  <c r="E56" i="39"/>
  <c r="E58" i="39" s="1"/>
  <c r="E59" i="39"/>
  <c r="E60" i="39" s="1"/>
  <c r="C50" i="63"/>
  <c r="I461" i="41"/>
  <c r="N3" i="41" s="1"/>
  <c r="C42" i="63"/>
  <c r="AA205" i="66"/>
  <c r="AA61" i="66"/>
  <c r="Z61" i="66"/>
  <c r="Z205" i="66"/>
  <c r="W96" i="66"/>
  <c r="Y96" i="66" s="1"/>
  <c r="V96" i="66"/>
  <c r="R96" i="66"/>
  <c r="S96" i="66" s="1"/>
  <c r="U96" i="66" s="1"/>
  <c r="O139" i="74"/>
  <c r="AC139" i="74"/>
  <c r="AD139" i="74" s="1"/>
  <c r="AA194" i="66"/>
  <c r="Z194" i="66"/>
  <c r="AA50" i="66"/>
  <c r="P50" i="66"/>
  <c r="Z50" i="66"/>
  <c r="AC108" i="74"/>
  <c r="AD108" i="74" s="1"/>
  <c r="Q108" i="74"/>
  <c r="X108" i="74"/>
  <c r="T108" i="74"/>
  <c r="AB263" i="66"/>
  <c r="AC263" i="66" s="1"/>
  <c r="T263" i="66"/>
  <c r="X263" i="66"/>
  <c r="Q263" i="66"/>
  <c r="V237" i="66"/>
  <c r="R237" i="66"/>
  <c r="S237" i="66" s="1"/>
  <c r="U237" i="66" s="1"/>
  <c r="W237" i="66"/>
  <c r="Y237" i="66" s="1"/>
  <c r="V282" i="66"/>
  <c r="W282" i="66"/>
  <c r="Y282" i="66" s="1"/>
  <c r="R282" i="66"/>
  <c r="S282" i="66" s="1"/>
  <c r="U282" i="66" s="1"/>
  <c r="Z40" i="74"/>
  <c r="AA40" i="74"/>
  <c r="R138" i="66"/>
  <c r="S138" i="66" s="1"/>
  <c r="U138" i="66" s="1"/>
  <c r="V138" i="66"/>
  <c r="W138" i="66"/>
  <c r="Y138" i="66" s="1"/>
  <c r="X116" i="74"/>
  <c r="T116" i="74"/>
  <c r="AC81" i="74"/>
  <c r="AD81" i="74" s="1"/>
  <c r="O81" i="74"/>
  <c r="Z127" i="74"/>
  <c r="AA127" i="74"/>
  <c r="B25" i="75"/>
  <c r="E25" i="75" s="1"/>
  <c r="AD26" i="74"/>
  <c r="AD31" i="74"/>
  <c r="B26" i="75"/>
  <c r="E26" i="75" s="1"/>
  <c r="O129" i="74"/>
  <c r="AC129" i="74"/>
  <c r="AD129" i="74" s="1"/>
  <c r="R174" i="66"/>
  <c r="V174" i="66"/>
  <c r="P122" i="74"/>
  <c r="AA122" i="74"/>
  <c r="Z122" i="74"/>
  <c r="O180" i="66"/>
  <c r="Q180" i="66"/>
  <c r="W180" i="66" s="1"/>
  <c r="Y180" i="66" s="1"/>
  <c r="S180" i="66"/>
  <c r="U180" i="66" s="1"/>
  <c r="G37" i="74"/>
  <c r="G18" i="74"/>
  <c r="O162" i="66"/>
  <c r="AB162" i="66"/>
  <c r="AC162" i="66" s="1"/>
  <c r="O215" i="66"/>
  <c r="K153" i="66"/>
  <c r="O153" i="66" s="1"/>
  <c r="H471" i="58"/>
  <c r="H471" i="41" s="1"/>
  <c r="AA113" i="74"/>
  <c r="P113" i="74"/>
  <c r="Z113" i="74"/>
  <c r="O92" i="74"/>
  <c r="AC92" i="74"/>
  <c r="AD92" i="74" s="1"/>
  <c r="O167" i="66"/>
  <c r="O61" i="74"/>
  <c r="AC61" i="74"/>
  <c r="AD61" i="74" s="1"/>
  <c r="V113" i="66"/>
  <c r="R113" i="66"/>
  <c r="S113" i="66" s="1"/>
  <c r="U113" i="66" s="1"/>
  <c r="W113" i="66"/>
  <c r="Y113" i="66" s="1"/>
  <c r="AA139" i="66"/>
  <c r="Z283" i="66"/>
  <c r="AA283" i="66"/>
  <c r="Z139" i="66"/>
  <c r="AA79" i="74"/>
  <c r="Z79" i="74"/>
  <c r="M98" i="74"/>
  <c r="G105" i="74"/>
  <c r="W93" i="66"/>
  <c r="Y93" i="66" s="1"/>
  <c r="V93" i="66"/>
  <c r="R93" i="66"/>
  <c r="S93" i="66" s="1"/>
  <c r="U93" i="66" s="1"/>
  <c r="W122" i="66"/>
  <c r="Y122" i="66" s="1"/>
  <c r="R122" i="66"/>
  <c r="S122" i="66" s="1"/>
  <c r="U122" i="66" s="1"/>
  <c r="V122" i="66"/>
  <c r="Z31" i="74"/>
  <c r="AA31" i="74"/>
  <c r="P106" i="74"/>
  <c r="AA106" i="74"/>
  <c r="Z106" i="74"/>
  <c r="AA81" i="66"/>
  <c r="Z81" i="66"/>
  <c r="AA225" i="66"/>
  <c r="Z225" i="66"/>
  <c r="W266" i="66"/>
  <c r="Y266" i="66" s="1"/>
  <c r="V266" i="66"/>
  <c r="R266" i="66"/>
  <c r="S266" i="66" s="1"/>
  <c r="U266" i="66" s="1"/>
  <c r="AD127" i="74"/>
  <c r="C26" i="75"/>
  <c r="P26" i="74"/>
  <c r="AA26" i="74"/>
  <c r="Z26" i="74"/>
  <c r="AA44" i="66"/>
  <c r="Z188" i="66"/>
  <c r="AA188" i="66"/>
  <c r="Z44" i="66"/>
  <c r="AA22" i="74"/>
  <c r="Z22" i="74"/>
  <c r="O140" i="74"/>
  <c r="AC140" i="74"/>
  <c r="AD140" i="74" s="1"/>
  <c r="AA146" i="74"/>
  <c r="AA60" i="74"/>
  <c r="P60" i="74"/>
  <c r="Z60" i="74"/>
  <c r="O210" i="66"/>
  <c r="AB210" i="66"/>
  <c r="AC210" i="66" s="1"/>
  <c r="G66" i="74"/>
  <c r="W288" i="66"/>
  <c r="Y288" i="66" s="1"/>
  <c r="R288" i="66"/>
  <c r="S288" i="66" s="1"/>
  <c r="U288" i="66" s="1"/>
  <c r="V288" i="66"/>
  <c r="Z121" i="74"/>
  <c r="AA121" i="74"/>
  <c r="M37" i="66"/>
  <c r="H487" i="37"/>
  <c r="H487" i="41" s="1"/>
  <c r="E284" i="38"/>
  <c r="E278" i="38"/>
  <c r="P60" i="66"/>
  <c r="P204" i="66"/>
  <c r="AA60" i="66"/>
  <c r="AA204" i="66"/>
  <c r="Z204" i="66"/>
  <c r="Z60" i="66"/>
  <c r="G85" i="74"/>
  <c r="R161" i="66"/>
  <c r="V161" i="66"/>
  <c r="Z77" i="74"/>
  <c r="AA77" i="74"/>
  <c r="R186" i="66"/>
  <c r="V186" i="66"/>
  <c r="G9" i="74"/>
  <c r="M84" i="66"/>
  <c r="O84" i="66" s="1"/>
  <c r="I488" i="37"/>
  <c r="I488" i="41" s="1"/>
  <c r="AA65" i="74"/>
  <c r="Z65" i="74"/>
  <c r="P65" i="74"/>
  <c r="Z99" i="74"/>
  <c r="AA99" i="74"/>
  <c r="AA187" i="66"/>
  <c r="Z187" i="66"/>
  <c r="Z43" i="66"/>
  <c r="AA43" i="66"/>
  <c r="AB167" i="66"/>
  <c r="AC167" i="66" s="1"/>
  <c r="P48" i="74"/>
  <c r="AA48" i="74"/>
  <c r="Z48" i="74"/>
  <c r="AC109" i="74"/>
  <c r="D20" i="77" s="1"/>
  <c r="O109" i="74"/>
  <c r="E332" i="38"/>
  <c r="E326" i="38"/>
  <c r="E29" i="39"/>
  <c r="E30" i="39" s="1"/>
  <c r="E32" i="39"/>
  <c r="E33" i="39" s="1"/>
  <c r="R192" i="66"/>
  <c r="V192" i="66"/>
  <c r="AA108" i="74"/>
  <c r="P108" i="74"/>
  <c r="Z108" i="74"/>
  <c r="AA51" i="74"/>
  <c r="Z51" i="74"/>
  <c r="AA118" i="74"/>
  <c r="Z118" i="74"/>
  <c r="E314" i="38"/>
  <c r="E320" i="38"/>
  <c r="N212" i="66" s="1"/>
  <c r="AC44" i="74"/>
  <c r="AD44" i="74" s="1"/>
  <c r="O44" i="74"/>
  <c r="Z4" i="74"/>
  <c r="AA4" i="74"/>
  <c r="B23" i="75"/>
  <c r="E23" i="75" s="1"/>
  <c r="AD22" i="74"/>
  <c r="O181" i="66"/>
  <c r="S181" i="66"/>
  <c r="U181" i="66" s="1"/>
  <c r="Q181" i="66"/>
  <c r="W181" i="66" s="1"/>
  <c r="Y181" i="66" s="1"/>
  <c r="T20" i="74"/>
  <c r="X20" i="74"/>
  <c r="AA13" i="66"/>
  <c r="Z13" i="66"/>
  <c r="Z157" i="66"/>
  <c r="AA157" i="66"/>
  <c r="AD121" i="74"/>
  <c r="C24" i="75"/>
  <c r="P74" i="74"/>
  <c r="AA74" i="74"/>
  <c r="Z74" i="74"/>
  <c r="B29" i="75"/>
  <c r="E29" i="75" s="1"/>
  <c r="AD42" i="74"/>
  <c r="E296" i="38"/>
  <c r="N164" i="66" s="1"/>
  <c r="E290" i="38"/>
  <c r="M85" i="66"/>
  <c r="O85" i="66" s="1"/>
  <c r="I487" i="37"/>
  <c r="I487" i="41" s="1"/>
  <c r="P65" i="66"/>
  <c r="T268" i="66"/>
  <c r="Q268" i="66"/>
  <c r="X268" i="66"/>
  <c r="K124" i="74"/>
  <c r="AB268" i="66"/>
  <c r="AC268" i="66" s="1"/>
  <c r="O268" i="66"/>
  <c r="G13" i="39"/>
  <c r="C29" i="39"/>
  <c r="J17" i="39" s="1"/>
  <c r="G84" i="74"/>
  <c r="E161" i="38"/>
  <c r="L59" i="39"/>
  <c r="L60" i="39" s="1"/>
  <c r="L56" i="39"/>
  <c r="L58" i="39" s="1"/>
  <c r="H463" i="58"/>
  <c r="K154" i="66"/>
  <c r="O43" i="74"/>
  <c r="AC43" i="74"/>
  <c r="AD43" i="74" s="1"/>
  <c r="K285" i="66"/>
  <c r="H473" i="58"/>
  <c r="K189" i="66"/>
  <c r="AA147" i="74"/>
  <c r="Z147" i="74"/>
  <c r="X68" i="74"/>
  <c r="T68" i="74"/>
  <c r="V128" i="66"/>
  <c r="R128" i="66"/>
  <c r="S128" i="66" s="1"/>
  <c r="U128" i="66" s="1"/>
  <c r="W128" i="66"/>
  <c r="Y128" i="66" s="1"/>
  <c r="AA253" i="66"/>
  <c r="AA109" i="66"/>
  <c r="Z253" i="66"/>
  <c r="Z109" i="66"/>
  <c r="E344" i="38"/>
  <c r="N260" i="66" s="1"/>
  <c r="E338" i="38"/>
  <c r="X106" i="74"/>
  <c r="Q106" i="74"/>
  <c r="T106" i="74"/>
  <c r="E178" i="38"/>
  <c r="M56" i="39"/>
  <c r="M58" i="39" s="1"/>
  <c r="M59" i="39"/>
  <c r="M60" i="39" s="1"/>
  <c r="I484" i="41"/>
  <c r="C23" i="75"/>
  <c r="AD118" i="74"/>
  <c r="E308" i="38"/>
  <c r="E302" i="38"/>
  <c r="AD4" i="74"/>
  <c r="B18" i="75"/>
  <c r="V224" i="66"/>
  <c r="W224" i="66"/>
  <c r="Y224" i="66" s="1"/>
  <c r="R224" i="66"/>
  <c r="S224" i="66" s="1"/>
  <c r="U224" i="66" s="1"/>
  <c r="T215" i="66"/>
  <c r="Q215" i="66"/>
  <c r="X215" i="66"/>
  <c r="P90" i="74"/>
  <c r="Z90" i="74"/>
  <c r="AA90" i="74"/>
  <c r="R30" i="66"/>
  <c r="V30" i="66"/>
  <c r="E138" i="38"/>
  <c r="K56" i="39"/>
  <c r="K58" i="39" s="1"/>
  <c r="K59" i="39"/>
  <c r="K60" i="39" s="1"/>
  <c r="Z42" i="74"/>
  <c r="P42" i="74"/>
  <c r="AA42" i="74"/>
  <c r="P126" i="74"/>
  <c r="Z126" i="74"/>
  <c r="AA126" i="74"/>
  <c r="P144" i="74"/>
  <c r="AA144" i="74"/>
  <c r="Z144" i="74"/>
  <c r="T58" i="74"/>
  <c r="X58" i="74"/>
  <c r="Q58" i="74"/>
  <c r="C32" i="39"/>
  <c r="C33" i="39" s="1"/>
  <c r="AA128" i="74"/>
  <c r="P128" i="74"/>
  <c r="Z128" i="74"/>
  <c r="O276" i="66"/>
  <c r="Q276" i="66"/>
  <c r="E108" i="38"/>
  <c r="D56" i="39"/>
  <c r="D58" i="39" s="1"/>
  <c r="D59" i="39"/>
  <c r="D60" i="39" s="1"/>
  <c r="G57" i="74"/>
  <c r="H463" i="37"/>
  <c r="K10" i="66"/>
  <c r="R32" i="66"/>
  <c r="V32" i="66"/>
  <c r="AB276" i="66"/>
  <c r="AC276" i="66" s="1"/>
  <c r="K45" i="66"/>
  <c r="H473" i="37"/>
  <c r="W240" i="66"/>
  <c r="Y240" i="66" s="1"/>
  <c r="V240" i="66"/>
  <c r="R240" i="66"/>
  <c r="S240" i="66" s="1"/>
  <c r="U240" i="66" s="1"/>
  <c r="R26" i="66"/>
  <c r="V26" i="66"/>
  <c r="P78" i="74"/>
  <c r="Z78" i="74"/>
  <c r="AA78" i="74"/>
  <c r="R272" i="66"/>
  <c r="S272" i="66" s="1"/>
  <c r="U272" i="66" s="1"/>
  <c r="W272" i="66"/>
  <c r="Y272" i="66" s="1"/>
  <c r="V272" i="66"/>
  <c r="P138" i="74"/>
  <c r="Z138" i="74"/>
  <c r="AA138" i="74"/>
  <c r="AB229" i="66"/>
  <c r="AC229" i="66" s="1"/>
  <c r="Z88" i="74"/>
  <c r="AA88" i="74"/>
  <c r="Q242" i="66"/>
  <c r="AB242" i="66"/>
  <c r="AC242" i="66" s="1"/>
  <c r="O242" i="66"/>
  <c r="P242" i="66" s="1"/>
  <c r="AC91" i="74"/>
  <c r="AD91" i="74" s="1"/>
  <c r="O91" i="74"/>
  <c r="W58" i="66"/>
  <c r="Y58" i="66" s="1"/>
  <c r="D10" i="77" l="1"/>
  <c r="C9" i="75"/>
  <c r="F24" i="77"/>
  <c r="C11" i="75"/>
  <c r="F26" i="77"/>
  <c r="C14" i="75"/>
  <c r="F29" i="77"/>
  <c r="C8" i="75"/>
  <c r="F23" i="77"/>
  <c r="C10" i="75"/>
  <c r="F25" i="77"/>
  <c r="C4" i="75"/>
  <c r="F19" i="77"/>
  <c r="C12" i="75"/>
  <c r="F27" i="77"/>
  <c r="B12" i="75"/>
  <c r="E12" i="75" s="1"/>
  <c r="E27" i="77"/>
  <c r="B9" i="75"/>
  <c r="E9" i="75" s="1"/>
  <c r="E24" i="77"/>
  <c r="B14" i="75"/>
  <c r="E14" i="75" s="1"/>
  <c r="E29" i="77"/>
  <c r="B8" i="75"/>
  <c r="E8" i="75" s="1"/>
  <c r="E23" i="77"/>
  <c r="B11" i="75"/>
  <c r="E11" i="75" s="1"/>
  <c r="E26" i="77"/>
  <c r="B4" i="75"/>
  <c r="E4" i="75" s="1"/>
  <c r="E19" i="77"/>
  <c r="B10" i="75"/>
  <c r="E10" i="75" s="1"/>
  <c r="E25" i="77"/>
  <c r="B3" i="75"/>
  <c r="E3" i="75" s="1"/>
  <c r="E18" i="77"/>
  <c r="C20" i="77"/>
  <c r="P146" i="74"/>
  <c r="V146" i="66"/>
  <c r="R146" i="66"/>
  <c r="S146" i="66" s="1"/>
  <c r="U146" i="66" s="1"/>
  <c r="V58" i="66"/>
  <c r="E57" i="39"/>
  <c r="AD50" i="74"/>
  <c r="C10" i="77"/>
  <c r="D57" i="39"/>
  <c r="K57" i="39"/>
  <c r="Y167" i="66"/>
  <c r="C57" i="39"/>
  <c r="H463" i="41"/>
  <c r="L57" i="39"/>
  <c r="D30" i="39"/>
  <c r="U12" i="74"/>
  <c r="W242" i="66"/>
  <c r="Y242" i="66" s="1"/>
  <c r="R242" i="66"/>
  <c r="S242" i="66" s="1"/>
  <c r="U242" i="66" s="1"/>
  <c r="V242" i="66"/>
  <c r="AA85" i="66"/>
  <c r="Z85" i="66"/>
  <c r="P85" i="66"/>
  <c r="AA229" i="66"/>
  <c r="Z229" i="66"/>
  <c r="O37" i="66"/>
  <c r="Q37" i="66"/>
  <c r="W37" i="66" s="1"/>
  <c r="Y37" i="66" s="1"/>
  <c r="S37" i="66"/>
  <c r="U37" i="66" s="1"/>
  <c r="M37" i="74"/>
  <c r="AC37" i="74" s="1"/>
  <c r="AD37" i="74" s="1"/>
  <c r="Z210" i="66"/>
  <c r="AA210" i="66"/>
  <c r="Z66" i="66"/>
  <c r="AA66" i="66"/>
  <c r="AA140" i="74"/>
  <c r="Z140" i="74"/>
  <c r="Z81" i="74"/>
  <c r="AA81" i="74"/>
  <c r="Z11" i="66"/>
  <c r="Z155" i="66"/>
  <c r="AA155" i="66"/>
  <c r="AA11" i="66"/>
  <c r="P229" i="66"/>
  <c r="AA59" i="66"/>
  <c r="AA203" i="66"/>
  <c r="Z59" i="66"/>
  <c r="Z203" i="66"/>
  <c r="AA91" i="74"/>
  <c r="Z91" i="74"/>
  <c r="Z109" i="74"/>
  <c r="AA109" i="74"/>
  <c r="AB84" i="66"/>
  <c r="AC84" i="66" s="1"/>
  <c r="Q84" i="66"/>
  <c r="M84" i="74"/>
  <c r="AC84" i="74" s="1"/>
  <c r="AD84" i="74" s="1"/>
  <c r="V26" i="74"/>
  <c r="R26" i="74"/>
  <c r="AA92" i="74"/>
  <c r="Z92" i="74"/>
  <c r="Z162" i="66"/>
  <c r="AA18" i="66"/>
  <c r="AA162" i="66"/>
  <c r="Z18" i="66"/>
  <c r="Z139" i="74"/>
  <c r="AA139" i="74"/>
  <c r="S36" i="66"/>
  <c r="U36" i="66" s="1"/>
  <c r="M36" i="74"/>
  <c r="O36" i="74" s="1"/>
  <c r="Q36" i="66"/>
  <c r="W36" i="66" s="1"/>
  <c r="Y36" i="66" s="1"/>
  <c r="O36" i="66"/>
  <c r="P180" i="66" s="1"/>
  <c r="P50" i="74"/>
  <c r="Z50" i="74"/>
  <c r="AA50" i="74"/>
  <c r="W106" i="66"/>
  <c r="Y106" i="66" s="1"/>
  <c r="V106" i="66"/>
  <c r="R106" i="66"/>
  <c r="S106" i="66" s="1"/>
  <c r="U106" i="66" s="1"/>
  <c r="AC107" i="74"/>
  <c r="AD107" i="74" s="1"/>
  <c r="O107" i="74"/>
  <c r="AA12" i="74"/>
  <c r="Z12" i="74"/>
  <c r="P12" i="74"/>
  <c r="V78" i="74"/>
  <c r="R78" i="74"/>
  <c r="S78" i="74" s="1"/>
  <c r="U78" i="74" s="1"/>
  <c r="W78" i="74"/>
  <c r="Y78" i="74" s="1"/>
  <c r="T285" i="66"/>
  <c r="Q285" i="66"/>
  <c r="K141" i="74"/>
  <c r="X285" i="66"/>
  <c r="G15" i="39"/>
  <c r="O285" i="66"/>
  <c r="AB285" i="66"/>
  <c r="AC285" i="66" s="1"/>
  <c r="K201" i="66"/>
  <c r="I471" i="58"/>
  <c r="I474" i="58"/>
  <c r="M164" i="66"/>
  <c r="H481" i="58"/>
  <c r="AD109" i="74"/>
  <c r="C20" i="75"/>
  <c r="C30" i="75" s="1"/>
  <c r="P153" i="66"/>
  <c r="Z9" i="66"/>
  <c r="Z153" i="66"/>
  <c r="AA153" i="66"/>
  <c r="AA9" i="66"/>
  <c r="P9" i="66"/>
  <c r="V60" i="74"/>
  <c r="W60" i="74"/>
  <c r="Y60" i="74" s="1"/>
  <c r="R60" i="74"/>
  <c r="S60" i="74" s="1"/>
  <c r="U60" i="74" s="1"/>
  <c r="AC18" i="74"/>
  <c r="AD18" i="74" s="1"/>
  <c r="O18" i="74"/>
  <c r="W122" i="74"/>
  <c r="Y122" i="74" s="1"/>
  <c r="R122" i="74"/>
  <c r="S122" i="74" s="1"/>
  <c r="U122" i="74" s="1"/>
  <c r="V122" i="74"/>
  <c r="AC11" i="74"/>
  <c r="AD11" i="74" s="1"/>
  <c r="O11" i="74"/>
  <c r="W209" i="66"/>
  <c r="Y209" i="66" s="1"/>
  <c r="R209" i="66"/>
  <c r="S209" i="66" s="1"/>
  <c r="U209" i="66" s="1"/>
  <c r="V209" i="66"/>
  <c r="AA242" i="66"/>
  <c r="P98" i="66"/>
  <c r="AA98" i="66"/>
  <c r="Z98" i="66"/>
  <c r="Z242" i="66"/>
  <c r="L28" i="74"/>
  <c r="R108" i="66"/>
  <c r="S108" i="66" s="1"/>
  <c r="U108" i="66" s="1"/>
  <c r="V108" i="66"/>
  <c r="W108" i="66"/>
  <c r="Y108" i="66" s="1"/>
  <c r="V128" i="74"/>
  <c r="W128" i="74"/>
  <c r="Y128" i="74" s="1"/>
  <c r="R128" i="74"/>
  <c r="S128" i="74" s="1"/>
  <c r="U128" i="74" s="1"/>
  <c r="V144" i="74"/>
  <c r="R144" i="74"/>
  <c r="S144" i="74" s="1"/>
  <c r="U144" i="74" s="1"/>
  <c r="W144" i="74"/>
  <c r="Y144" i="74" s="1"/>
  <c r="V204" i="66"/>
  <c r="R204" i="66"/>
  <c r="S204" i="66" s="1"/>
  <c r="U204" i="66" s="1"/>
  <c r="W204" i="66"/>
  <c r="Y204" i="66" s="1"/>
  <c r="Q98" i="74"/>
  <c r="O98" i="74"/>
  <c r="AC98" i="74"/>
  <c r="AD98" i="74" s="1"/>
  <c r="V113" i="74"/>
  <c r="W113" i="74"/>
  <c r="Y113" i="74" s="1"/>
  <c r="R113" i="74"/>
  <c r="S113" i="74" s="1"/>
  <c r="U113" i="74" s="1"/>
  <c r="AB37" i="66"/>
  <c r="AC37" i="66" s="1"/>
  <c r="R50" i="66"/>
  <c r="V50" i="66"/>
  <c r="O114" i="74"/>
  <c r="AC114" i="74"/>
  <c r="AD114" i="74" s="1"/>
  <c r="P228" i="66"/>
  <c r="Z251" i="66"/>
  <c r="Z107" i="66"/>
  <c r="AA107" i="66"/>
  <c r="AA251" i="66"/>
  <c r="W96" i="74"/>
  <c r="Y96" i="74" s="1"/>
  <c r="R96" i="74"/>
  <c r="S96" i="74" s="1"/>
  <c r="U96" i="74" s="1"/>
  <c r="V96" i="74"/>
  <c r="B20" i="75"/>
  <c r="E20" i="75" s="1"/>
  <c r="AD13" i="74"/>
  <c r="W80" i="74"/>
  <c r="Y80" i="74" s="1"/>
  <c r="R80" i="74"/>
  <c r="S80" i="74" s="1"/>
  <c r="U80" i="74" s="1"/>
  <c r="V80" i="74"/>
  <c r="W74" i="74"/>
  <c r="Y74" i="74" s="1"/>
  <c r="V74" i="74"/>
  <c r="R74" i="74"/>
  <c r="S74" i="74" s="1"/>
  <c r="U74" i="74" s="1"/>
  <c r="I481" i="37"/>
  <c r="M68" i="66"/>
  <c r="AB10" i="66"/>
  <c r="AC10" i="66" s="1"/>
  <c r="X10" i="66"/>
  <c r="O10" i="66"/>
  <c r="S10" i="66"/>
  <c r="K10" i="74"/>
  <c r="T10" i="66"/>
  <c r="Q10" i="66"/>
  <c r="W10" i="66" s="1"/>
  <c r="V126" i="74"/>
  <c r="W126" i="74"/>
  <c r="Y126" i="74" s="1"/>
  <c r="R126" i="74"/>
  <c r="S126" i="74" s="1"/>
  <c r="U126" i="74" s="1"/>
  <c r="Z43" i="74"/>
  <c r="AA43" i="74"/>
  <c r="AA44" i="74"/>
  <c r="Z44" i="74"/>
  <c r="L28" i="39"/>
  <c r="E31" i="39"/>
  <c r="L21" i="39"/>
  <c r="L12" i="39"/>
  <c r="L24" i="39"/>
  <c r="AC5" i="39"/>
  <c r="L25" i="39"/>
  <c r="L26" i="39"/>
  <c r="L22" i="39"/>
  <c r="L18" i="39"/>
  <c r="L19" i="39"/>
  <c r="L23" i="39"/>
  <c r="L27" i="39"/>
  <c r="L20" i="39"/>
  <c r="L16" i="39"/>
  <c r="AC6" i="39"/>
  <c r="L14" i="39"/>
  <c r="L13" i="39"/>
  <c r="L15" i="39"/>
  <c r="AB85" i="66"/>
  <c r="AC85" i="66" s="1"/>
  <c r="W60" i="66"/>
  <c r="Y60" i="66" s="1"/>
  <c r="V60" i="66"/>
  <c r="R60" i="66"/>
  <c r="S60" i="66" s="1"/>
  <c r="U60" i="66" s="1"/>
  <c r="W146" i="74"/>
  <c r="Y146" i="74" s="1"/>
  <c r="V146" i="74"/>
  <c r="R146" i="74"/>
  <c r="S146" i="74" s="1"/>
  <c r="U146" i="74" s="1"/>
  <c r="Z33" i="74"/>
  <c r="AA33" i="74"/>
  <c r="V32" i="74"/>
  <c r="R32" i="74"/>
  <c r="W250" i="66"/>
  <c r="Y250" i="66" s="1"/>
  <c r="R250" i="66"/>
  <c r="S250" i="66" s="1"/>
  <c r="U250" i="66" s="1"/>
  <c r="V250" i="66"/>
  <c r="O133" i="66"/>
  <c r="P277" i="66" s="1"/>
  <c r="M133" i="74"/>
  <c r="Q133" i="74" s="1"/>
  <c r="Q133" i="66"/>
  <c r="Z13" i="74"/>
  <c r="AA13" i="74"/>
  <c r="S189" i="66"/>
  <c r="T189" i="66"/>
  <c r="Q189" i="66"/>
  <c r="W189" i="66" s="1"/>
  <c r="X189" i="66"/>
  <c r="AB189" i="66"/>
  <c r="AC189" i="66" s="1"/>
  <c r="O189" i="66"/>
  <c r="D16" i="8"/>
  <c r="N116" i="66"/>
  <c r="P124" i="66"/>
  <c r="P268" i="66"/>
  <c r="AA268" i="66"/>
  <c r="Z124" i="66"/>
  <c r="Z268" i="66"/>
  <c r="C16" i="8"/>
  <c r="N68" i="66"/>
  <c r="K249" i="66"/>
  <c r="J471" i="58"/>
  <c r="J474" i="58"/>
  <c r="K71" i="66"/>
  <c r="I467" i="37"/>
  <c r="I474" i="37"/>
  <c r="X154" i="66"/>
  <c r="S154" i="66"/>
  <c r="Q154" i="66"/>
  <c r="W154" i="66" s="1"/>
  <c r="T154" i="66"/>
  <c r="AB154" i="66"/>
  <c r="AC154" i="66" s="1"/>
  <c r="O154" i="66"/>
  <c r="V108" i="74"/>
  <c r="W108" i="74"/>
  <c r="Y108" i="74" s="1"/>
  <c r="R108" i="74"/>
  <c r="S108" i="74" s="1"/>
  <c r="U108" i="74" s="1"/>
  <c r="L17" i="39"/>
  <c r="R48" i="74"/>
  <c r="V48" i="74"/>
  <c r="W65" i="74"/>
  <c r="Y65" i="74" s="1"/>
  <c r="V65" i="74"/>
  <c r="R65" i="74"/>
  <c r="S65" i="74" s="1"/>
  <c r="U65" i="74" s="1"/>
  <c r="H481" i="37"/>
  <c r="M20" i="66"/>
  <c r="W106" i="74"/>
  <c r="Y106" i="74" s="1"/>
  <c r="V106" i="74"/>
  <c r="R106" i="74"/>
  <c r="S106" i="74" s="1"/>
  <c r="U106" i="74" s="1"/>
  <c r="AA114" i="66"/>
  <c r="Z258" i="66"/>
  <c r="Z114" i="66"/>
  <c r="AA258" i="66"/>
  <c r="V30" i="74"/>
  <c r="R30" i="74"/>
  <c r="V12" i="66"/>
  <c r="R12" i="66"/>
  <c r="V252" i="66"/>
  <c r="R252" i="66"/>
  <c r="S252" i="66" s="1"/>
  <c r="U252" i="66" s="1"/>
  <c r="W252" i="66"/>
  <c r="Y252" i="66" s="1"/>
  <c r="K93" i="74"/>
  <c r="Q45" i="66"/>
  <c r="W45" i="66" s="1"/>
  <c r="O45" i="66"/>
  <c r="S45" i="66"/>
  <c r="AB45" i="66"/>
  <c r="AC45" i="66" s="1"/>
  <c r="X45" i="66"/>
  <c r="K45" i="74"/>
  <c r="T45" i="66"/>
  <c r="M85" i="74"/>
  <c r="Q85" i="66"/>
  <c r="AA228" i="66"/>
  <c r="Z84" i="66"/>
  <c r="Z228" i="66"/>
  <c r="AA84" i="66"/>
  <c r="P84" i="66"/>
  <c r="V42" i="74"/>
  <c r="R42" i="74"/>
  <c r="J481" i="58"/>
  <c r="M260" i="66"/>
  <c r="C30" i="39"/>
  <c r="N20" i="66"/>
  <c r="N20" i="74" s="1"/>
  <c r="B16" i="8"/>
  <c r="O66" i="74"/>
  <c r="AC66" i="74"/>
  <c r="AD66" i="74" s="1"/>
  <c r="Z61" i="74"/>
  <c r="AA61" i="74"/>
  <c r="AB153" i="66"/>
  <c r="AC153" i="66" s="1"/>
  <c r="S153" i="66"/>
  <c r="T153" i="66"/>
  <c r="Q153" i="66"/>
  <c r="W153" i="66" s="1"/>
  <c r="K9" i="74"/>
  <c r="AC9" i="74" s="1"/>
  <c r="X153" i="66"/>
  <c r="AA129" i="74"/>
  <c r="Z129" i="74"/>
  <c r="V17" i="74"/>
  <c r="R17" i="74"/>
  <c r="AB132" i="66"/>
  <c r="AC132" i="66" s="1"/>
  <c r="Q132" i="66"/>
  <c r="M132" i="74"/>
  <c r="Q132" i="74" s="1"/>
  <c r="H461" i="37"/>
  <c r="K28" i="66"/>
  <c r="H474" i="37"/>
  <c r="H460" i="37"/>
  <c r="Y12" i="74"/>
  <c r="K24" i="39"/>
  <c r="K12" i="39"/>
  <c r="D31" i="39"/>
  <c r="K28" i="39"/>
  <c r="K18" i="39"/>
  <c r="K25" i="39"/>
  <c r="K19" i="39"/>
  <c r="K23" i="39"/>
  <c r="K20" i="39"/>
  <c r="K21" i="39"/>
  <c r="K26" i="39"/>
  <c r="K22" i="39"/>
  <c r="AB5" i="39"/>
  <c r="K27" i="39"/>
  <c r="AB6" i="39"/>
  <c r="K14" i="39"/>
  <c r="K13" i="39"/>
  <c r="K16" i="39"/>
  <c r="K15" i="39"/>
  <c r="R156" i="66"/>
  <c r="V156" i="66"/>
  <c r="W90" i="74"/>
  <c r="Y90" i="74" s="1"/>
  <c r="V90" i="74"/>
  <c r="R90" i="74"/>
  <c r="S90" i="74" s="1"/>
  <c r="U90" i="74" s="1"/>
  <c r="V138" i="74"/>
  <c r="W138" i="74"/>
  <c r="Y138" i="74" s="1"/>
  <c r="R138" i="74"/>
  <c r="S138" i="74" s="1"/>
  <c r="U138" i="74" s="1"/>
  <c r="K220" i="66"/>
  <c r="K172" i="66"/>
  <c r="H460" i="58"/>
  <c r="H474" i="58"/>
  <c r="H461" i="58"/>
  <c r="X124" i="74"/>
  <c r="Q124" i="74"/>
  <c r="T124" i="74"/>
  <c r="O124" i="74"/>
  <c r="AC124" i="74"/>
  <c r="AD124" i="74" s="1"/>
  <c r="H473" i="41"/>
  <c r="E18" i="75"/>
  <c r="M57" i="39"/>
  <c r="J19" i="39"/>
  <c r="J21" i="39"/>
  <c r="J23" i="39"/>
  <c r="J24" i="39"/>
  <c r="J12" i="39"/>
  <c r="J27" i="39"/>
  <c r="J28" i="39"/>
  <c r="J22" i="39"/>
  <c r="AA5" i="39"/>
  <c r="J25" i="39"/>
  <c r="C31" i="39"/>
  <c r="J26" i="39"/>
  <c r="J20" i="39"/>
  <c r="J18" i="39"/>
  <c r="J14" i="39"/>
  <c r="J13" i="39"/>
  <c r="AA6" i="39"/>
  <c r="J15" i="39"/>
  <c r="J16" i="39"/>
  <c r="W65" i="66"/>
  <c r="Y65" i="66" s="1"/>
  <c r="R65" i="66"/>
  <c r="S65" i="66" s="1"/>
  <c r="U65" i="66" s="1"/>
  <c r="V65" i="66"/>
  <c r="P181" i="66"/>
  <c r="M212" i="66"/>
  <c r="I481" i="58"/>
  <c r="M116" i="66"/>
  <c r="J481" i="37"/>
  <c r="K119" i="66"/>
  <c r="J467" i="37"/>
  <c r="J474" i="37"/>
  <c r="P276" i="66"/>
  <c r="Z276" i="66"/>
  <c r="AA132" i="66"/>
  <c r="AA276" i="66"/>
  <c r="Z132" i="66"/>
  <c r="P132" i="66"/>
  <c r="U167" i="66"/>
  <c r="W58" i="74"/>
  <c r="Y58" i="74" s="1"/>
  <c r="R58" i="74"/>
  <c r="S58" i="74" s="1"/>
  <c r="U58" i="74" s="1"/>
  <c r="V58" i="74"/>
  <c r="P29" i="39"/>
  <c r="Q29" i="39" s="1"/>
  <c r="O59" i="74"/>
  <c r="AC59" i="74"/>
  <c r="AD59" i="74" s="1"/>
  <c r="O23" i="66"/>
  <c r="S23" i="66"/>
  <c r="Q23" i="66"/>
  <c r="W23" i="66" s="1"/>
  <c r="T23" i="66"/>
  <c r="AB23" i="66"/>
  <c r="AC23" i="66" s="1"/>
  <c r="K23" i="74"/>
  <c r="X23" i="66"/>
  <c r="H481" i="41" l="1"/>
  <c r="C5" i="75"/>
  <c r="C15" i="75" s="1"/>
  <c r="F20" i="77"/>
  <c r="B5" i="75"/>
  <c r="E5" i="75" s="1"/>
  <c r="E20" i="77"/>
  <c r="P154" i="66"/>
  <c r="R154" i="66" s="1"/>
  <c r="J481" i="41"/>
  <c r="D5" i="77"/>
  <c r="AD9" i="74"/>
  <c r="B30" i="75"/>
  <c r="Y189" i="66"/>
  <c r="Y23" i="66"/>
  <c r="O85" i="74"/>
  <c r="Q85" i="74"/>
  <c r="U23" i="66"/>
  <c r="V132" i="66"/>
  <c r="W132" i="66"/>
  <c r="Y132" i="66" s="1"/>
  <c r="R132" i="66"/>
  <c r="S132" i="66" s="1"/>
  <c r="U132" i="66" s="1"/>
  <c r="Q119" i="66"/>
  <c r="AB119" i="66"/>
  <c r="AC119" i="66" s="1"/>
  <c r="T119" i="66"/>
  <c r="X119" i="66"/>
  <c r="K119" i="74"/>
  <c r="O119" i="66"/>
  <c r="G19" i="39"/>
  <c r="R181" i="66"/>
  <c r="V181" i="66"/>
  <c r="C40" i="63"/>
  <c r="C32" i="63"/>
  <c r="U153" i="66"/>
  <c r="AC85" i="74"/>
  <c r="AD85" i="74" s="1"/>
  <c r="I467" i="41"/>
  <c r="G55" i="66"/>
  <c r="I489" i="37"/>
  <c r="Z277" i="66"/>
  <c r="Z133" i="66"/>
  <c r="AA277" i="66"/>
  <c r="AA133" i="66"/>
  <c r="P133" i="66"/>
  <c r="Z36" i="74"/>
  <c r="AA36" i="74"/>
  <c r="P36" i="74"/>
  <c r="I471" i="41"/>
  <c r="I489" i="58"/>
  <c r="G199" i="66"/>
  <c r="AA36" i="66"/>
  <c r="Z180" i="66"/>
  <c r="P36" i="66"/>
  <c r="AA180" i="66"/>
  <c r="Z36" i="66"/>
  <c r="J467" i="41"/>
  <c r="J489" i="37"/>
  <c r="G103" i="66"/>
  <c r="V180" i="66"/>
  <c r="R180" i="66"/>
  <c r="G152" i="66"/>
  <c r="H479" i="58"/>
  <c r="H460" i="41"/>
  <c r="G7" i="66"/>
  <c r="H489" i="37"/>
  <c r="U45" i="66"/>
  <c r="K71" i="74"/>
  <c r="X71" i="66"/>
  <c r="O71" i="66"/>
  <c r="Q71" i="66"/>
  <c r="T71" i="66"/>
  <c r="AB71" i="66"/>
  <c r="AC71" i="66" s="1"/>
  <c r="F19" i="39"/>
  <c r="AA11" i="74"/>
  <c r="Z11" i="74"/>
  <c r="T201" i="66"/>
  <c r="X201" i="66"/>
  <c r="Q201" i="66"/>
  <c r="K57" i="74"/>
  <c r="O201" i="66"/>
  <c r="F17" i="39"/>
  <c r="AB201" i="66"/>
  <c r="AC201" i="66" s="1"/>
  <c r="R229" i="66"/>
  <c r="S229" i="66" s="1"/>
  <c r="U229" i="66" s="1"/>
  <c r="W229" i="66"/>
  <c r="Y229" i="66" s="1"/>
  <c r="V229" i="66"/>
  <c r="Q220" i="66"/>
  <c r="K76" i="74"/>
  <c r="T220" i="66"/>
  <c r="X220" i="66"/>
  <c r="F13" i="39"/>
  <c r="O220" i="66"/>
  <c r="AB220" i="66"/>
  <c r="AC220" i="66" s="1"/>
  <c r="Z59" i="74"/>
  <c r="AA59" i="74"/>
  <c r="J29" i="39"/>
  <c r="H474" i="41"/>
  <c r="G8" i="66"/>
  <c r="H479" i="37"/>
  <c r="O260" i="66"/>
  <c r="Q260" i="66"/>
  <c r="AB260" i="66"/>
  <c r="AC260" i="66" s="1"/>
  <c r="P285" i="66"/>
  <c r="AA189" i="66"/>
  <c r="Z189" i="66"/>
  <c r="AA45" i="66"/>
  <c r="Z45" i="66"/>
  <c r="P45" i="66"/>
  <c r="Y154" i="66"/>
  <c r="J479" i="58"/>
  <c r="G248" i="66"/>
  <c r="R268" i="66"/>
  <c r="S268" i="66" s="1"/>
  <c r="U268" i="66" s="1"/>
  <c r="W268" i="66"/>
  <c r="Y268" i="66" s="1"/>
  <c r="V268" i="66"/>
  <c r="O9" i="74"/>
  <c r="R153" i="66"/>
  <c r="V153" i="66"/>
  <c r="AC36" i="74"/>
  <c r="Q36" i="74"/>
  <c r="W36" i="74" s="1"/>
  <c r="Y36" i="74" s="1"/>
  <c r="S36" i="74"/>
  <c r="U36" i="74" s="1"/>
  <c r="O132" i="74"/>
  <c r="O37" i="74"/>
  <c r="Q37" i="74"/>
  <c r="W37" i="74" s="1"/>
  <c r="Y37" i="74" s="1"/>
  <c r="S37" i="74"/>
  <c r="U37" i="74" s="1"/>
  <c r="R85" i="66"/>
  <c r="S85" i="66" s="1"/>
  <c r="U85" i="66" s="1"/>
  <c r="W85" i="66"/>
  <c r="Y85" i="66" s="1"/>
  <c r="V85" i="66"/>
  <c r="Q212" i="66"/>
  <c r="AB212" i="66"/>
  <c r="AC212" i="66" s="1"/>
  <c r="O212" i="66"/>
  <c r="P23" i="66"/>
  <c r="Z23" i="66"/>
  <c r="Z167" i="66"/>
  <c r="AA23" i="66"/>
  <c r="AA167" i="66"/>
  <c r="G151" i="66"/>
  <c r="H489" i="58"/>
  <c r="Q23" i="74"/>
  <c r="W23" i="74" s="1"/>
  <c r="T23" i="74"/>
  <c r="S23" i="74"/>
  <c r="X23" i="74"/>
  <c r="O23" i="74"/>
  <c r="AC23" i="74"/>
  <c r="AD23" i="74" s="1"/>
  <c r="P167" i="66"/>
  <c r="T172" i="66"/>
  <c r="X172" i="66"/>
  <c r="Q172" i="66"/>
  <c r="W172" i="66" s="1"/>
  <c r="S172" i="66"/>
  <c r="AB172" i="66"/>
  <c r="AC172" i="66" s="1"/>
  <c r="O172" i="66"/>
  <c r="Q28" i="66"/>
  <c r="W28" i="66" s="1"/>
  <c r="S28" i="66"/>
  <c r="T28" i="66"/>
  <c r="K28" i="74"/>
  <c r="O28" i="66"/>
  <c r="AB28" i="66"/>
  <c r="AC28" i="66" s="1"/>
  <c r="X28" i="66"/>
  <c r="Y45" i="66"/>
  <c r="U154" i="66"/>
  <c r="J471" i="41"/>
  <c r="J489" i="58"/>
  <c r="G247" i="66"/>
  <c r="W124" i="66"/>
  <c r="Y124" i="66" s="1"/>
  <c r="V124" i="66"/>
  <c r="R124" i="66"/>
  <c r="S124" i="66" s="1"/>
  <c r="U124" i="66" s="1"/>
  <c r="U189" i="66"/>
  <c r="Y10" i="66"/>
  <c r="AA141" i="66"/>
  <c r="Z141" i="66"/>
  <c r="Z285" i="66"/>
  <c r="AA285" i="66"/>
  <c r="AC132" i="74"/>
  <c r="AC93" i="74"/>
  <c r="AD93" i="74" s="1"/>
  <c r="T93" i="74"/>
  <c r="Q93" i="74"/>
  <c r="X93" i="74"/>
  <c r="O93" i="74"/>
  <c r="V277" i="66"/>
  <c r="W277" i="66"/>
  <c r="Y277" i="66" s="1"/>
  <c r="R277" i="66"/>
  <c r="S277" i="66" s="1"/>
  <c r="U277" i="66" s="1"/>
  <c r="M20" i="74"/>
  <c r="Q20" i="66"/>
  <c r="W20" i="66" s="1"/>
  <c r="Y20" i="66" s="1"/>
  <c r="AB20" i="66"/>
  <c r="AC20" i="66" s="1"/>
  <c r="O20" i="66"/>
  <c r="S20" i="66"/>
  <c r="U20" i="66" s="1"/>
  <c r="T249" i="66"/>
  <c r="X249" i="66"/>
  <c r="K105" i="74"/>
  <c r="Q249" i="66"/>
  <c r="AB249" i="66"/>
  <c r="AC249" i="66" s="1"/>
  <c r="G17" i="39"/>
  <c r="O249" i="66"/>
  <c r="N116" i="74"/>
  <c r="G20" i="39"/>
  <c r="M68" i="74"/>
  <c r="O68" i="66"/>
  <c r="Q68" i="66"/>
  <c r="AB68" i="66"/>
  <c r="AC68" i="66" s="1"/>
  <c r="V98" i="66"/>
  <c r="R98" i="66"/>
  <c r="S98" i="66" s="1"/>
  <c r="U98" i="66" s="1"/>
  <c r="W98" i="66"/>
  <c r="Y98" i="66" s="1"/>
  <c r="V12" i="74"/>
  <c r="R12" i="74"/>
  <c r="AC133" i="74"/>
  <c r="AD133" i="74" s="1"/>
  <c r="H461" i="41"/>
  <c r="M3" i="41" s="1"/>
  <c r="C10" i="63"/>
  <c r="C2" i="63"/>
  <c r="M116" i="74"/>
  <c r="Q116" i="66"/>
  <c r="O116" i="66"/>
  <c r="AB116" i="66"/>
  <c r="AC116" i="66" s="1"/>
  <c r="S9" i="74"/>
  <c r="T9" i="74"/>
  <c r="Q9" i="74"/>
  <c r="W9" i="74" s="1"/>
  <c r="X9" i="74"/>
  <c r="Z66" i="74"/>
  <c r="AA66" i="74"/>
  <c r="N68" i="74"/>
  <c r="F20" i="39"/>
  <c r="Q10" i="74"/>
  <c r="W10" i="74" s="1"/>
  <c r="S10" i="74"/>
  <c r="T10" i="74"/>
  <c r="X10" i="74"/>
  <c r="AC10" i="74"/>
  <c r="O10" i="74"/>
  <c r="I481" i="41"/>
  <c r="R228" i="66"/>
  <c r="S228" i="66" s="1"/>
  <c r="U228" i="66" s="1"/>
  <c r="W228" i="66"/>
  <c r="Y228" i="66" s="1"/>
  <c r="V228" i="66"/>
  <c r="R9" i="66"/>
  <c r="V9" i="66"/>
  <c r="O133" i="74"/>
  <c r="AA37" i="66"/>
  <c r="AA181" i="66"/>
  <c r="P37" i="66"/>
  <c r="Z181" i="66"/>
  <c r="Z37" i="66"/>
  <c r="P124" i="74"/>
  <c r="Z124" i="74"/>
  <c r="W276" i="66"/>
  <c r="Y276" i="66" s="1"/>
  <c r="R276" i="66"/>
  <c r="S276" i="66" s="1"/>
  <c r="U276" i="66" s="1"/>
  <c r="V276" i="66"/>
  <c r="J479" i="37"/>
  <c r="G104" i="66"/>
  <c r="J474" i="41"/>
  <c r="K29" i="39"/>
  <c r="Y153" i="66"/>
  <c r="W84" i="66"/>
  <c r="Y84" i="66" s="1"/>
  <c r="R84" i="66"/>
  <c r="S84" i="66" s="1"/>
  <c r="U84" i="66" s="1"/>
  <c r="V84" i="66"/>
  <c r="Q45" i="74"/>
  <c r="W45" i="74" s="1"/>
  <c r="S45" i="74"/>
  <c r="X45" i="74"/>
  <c r="T45" i="74"/>
  <c r="O45" i="74"/>
  <c r="AC45" i="74"/>
  <c r="AD45" i="74" s="1"/>
  <c r="P141" i="66"/>
  <c r="P189" i="66"/>
  <c r="U10" i="66"/>
  <c r="AA18" i="74"/>
  <c r="Z18" i="74"/>
  <c r="Q164" i="66"/>
  <c r="W164" i="66" s="1"/>
  <c r="Y164" i="66" s="1"/>
  <c r="S164" i="66"/>
  <c r="U164" i="66" s="1"/>
  <c r="O164" i="66"/>
  <c r="P164" i="66" s="1"/>
  <c r="AB164" i="66"/>
  <c r="AC164" i="66" s="1"/>
  <c r="T141" i="74"/>
  <c r="X141" i="74"/>
  <c r="Q141" i="74"/>
  <c r="O141" i="74"/>
  <c r="AC141" i="74"/>
  <c r="AD141" i="74" s="1"/>
  <c r="V50" i="74"/>
  <c r="R50" i="74"/>
  <c r="O84" i="74"/>
  <c r="Q84" i="74"/>
  <c r="B15" i="75"/>
  <c r="I474" i="41"/>
  <c r="I479" i="37"/>
  <c r="G56" i="66"/>
  <c r="L29" i="39"/>
  <c r="Z10" i="66"/>
  <c r="AA154" i="66"/>
  <c r="Z154" i="66"/>
  <c r="AA10" i="66"/>
  <c r="P10" i="66"/>
  <c r="Z114" i="74"/>
  <c r="AA114" i="74"/>
  <c r="Z98" i="74"/>
  <c r="P98" i="74"/>
  <c r="I479" i="58"/>
  <c r="G200" i="66"/>
  <c r="AA107" i="74"/>
  <c r="Z107" i="74"/>
  <c r="AA98" i="74"/>
  <c r="V154" i="66" l="1"/>
  <c r="Y172" i="66"/>
  <c r="U28" i="66"/>
  <c r="U172" i="66"/>
  <c r="P212" i="66"/>
  <c r="Y23" i="74"/>
  <c r="Y45" i="74"/>
  <c r="Y28" i="66"/>
  <c r="H489" i="41"/>
  <c r="AD132" i="74"/>
  <c r="D11" i="77"/>
  <c r="AD36" i="74"/>
  <c r="C11" i="77"/>
  <c r="AD10" i="74"/>
  <c r="C4" i="77"/>
  <c r="J489" i="41"/>
  <c r="U45" i="74"/>
  <c r="U10" i="74"/>
  <c r="Z84" i="74"/>
  <c r="P84" i="74"/>
  <c r="AA84" i="74"/>
  <c r="R141" i="66"/>
  <c r="S141" i="66" s="1"/>
  <c r="U141" i="66" s="1"/>
  <c r="V141" i="66"/>
  <c r="W141" i="66"/>
  <c r="Y141" i="66" s="1"/>
  <c r="P10" i="74"/>
  <c r="Z10" i="74"/>
  <c r="AA10" i="74"/>
  <c r="AA93" i="74"/>
  <c r="P93" i="74"/>
  <c r="Z93" i="74"/>
  <c r="AA132" i="74"/>
  <c r="P132" i="74"/>
  <c r="Z132" i="74"/>
  <c r="P57" i="66"/>
  <c r="Z57" i="66"/>
  <c r="Z201" i="66"/>
  <c r="AA201" i="66"/>
  <c r="AA57" i="66"/>
  <c r="P201" i="66"/>
  <c r="M7" i="66"/>
  <c r="AB7" i="66" s="1"/>
  <c r="AC7" i="66" s="1"/>
  <c r="G7" i="74"/>
  <c r="Q28" i="74"/>
  <c r="W28" i="74" s="1"/>
  <c r="S28" i="74"/>
  <c r="T28" i="74"/>
  <c r="X28" i="74"/>
  <c r="AC28" i="74"/>
  <c r="AD28" i="74" s="1"/>
  <c r="O28" i="74"/>
  <c r="G56" i="74"/>
  <c r="R164" i="66"/>
  <c r="V164" i="66"/>
  <c r="P133" i="74"/>
  <c r="AA133" i="74"/>
  <c r="Z133" i="74"/>
  <c r="Q116" i="74"/>
  <c r="AC116" i="74"/>
  <c r="O116" i="74"/>
  <c r="Z249" i="66"/>
  <c r="Z105" i="66"/>
  <c r="P249" i="66"/>
  <c r="AA105" i="66"/>
  <c r="AA249" i="66"/>
  <c r="P105" i="66"/>
  <c r="Z20" i="66"/>
  <c r="AA20" i="66"/>
  <c r="Z164" i="66"/>
  <c r="AA164" i="66"/>
  <c r="P20" i="66"/>
  <c r="R167" i="66"/>
  <c r="V167" i="66"/>
  <c r="M151" i="66"/>
  <c r="Q151" i="66" s="1"/>
  <c r="W151" i="66" s="1"/>
  <c r="Y151" i="66" s="1"/>
  <c r="T76" i="74"/>
  <c r="Q76" i="74"/>
  <c r="X76" i="74"/>
  <c r="O76" i="74"/>
  <c r="AC76" i="74"/>
  <c r="AD76" i="74" s="1"/>
  <c r="X57" i="74"/>
  <c r="T57" i="74"/>
  <c r="Q57" i="74"/>
  <c r="AC57" i="74"/>
  <c r="AD57" i="74" s="1"/>
  <c r="O57" i="74"/>
  <c r="V36" i="74"/>
  <c r="R36" i="74"/>
  <c r="I489" i="41"/>
  <c r="E378" i="38"/>
  <c r="L200" i="66" s="1"/>
  <c r="O200" i="66" s="1"/>
  <c r="I480" i="58"/>
  <c r="E379" i="38" s="1"/>
  <c r="L219" i="66" s="1"/>
  <c r="E360" i="38"/>
  <c r="L56" i="66" s="1"/>
  <c r="I479" i="41"/>
  <c r="I480" i="37"/>
  <c r="Z45" i="74"/>
  <c r="AA45" i="74"/>
  <c r="P45" i="74"/>
  <c r="R285" i="66"/>
  <c r="S285" i="66" s="1"/>
  <c r="U285" i="66" s="1"/>
  <c r="V285" i="66"/>
  <c r="W285" i="66"/>
  <c r="Y285" i="66" s="1"/>
  <c r="E372" i="38"/>
  <c r="L152" i="66" s="1"/>
  <c r="O152" i="66" s="1"/>
  <c r="H480" i="58"/>
  <c r="E373" i="38" s="1"/>
  <c r="L171" i="66" s="1"/>
  <c r="G55" i="74"/>
  <c r="M55" i="66"/>
  <c r="AB55" i="66" s="1"/>
  <c r="AC55" i="66" s="1"/>
  <c r="V98" i="74"/>
  <c r="R98" i="74"/>
  <c r="S98" i="74" s="1"/>
  <c r="U98" i="74" s="1"/>
  <c r="W98" i="74"/>
  <c r="Y98" i="74" s="1"/>
  <c r="M247" i="66"/>
  <c r="Q247" i="66" s="1"/>
  <c r="R212" i="66"/>
  <c r="S212" i="66" s="1"/>
  <c r="U212" i="66" s="1"/>
  <c r="W212" i="66"/>
  <c r="Y212" i="66" s="1"/>
  <c r="V212" i="66"/>
  <c r="Z37" i="74"/>
  <c r="AA37" i="74"/>
  <c r="P37" i="74"/>
  <c r="V10" i="66"/>
  <c r="R10" i="66"/>
  <c r="W124" i="74"/>
  <c r="Y124" i="74" s="1"/>
  <c r="R124" i="74"/>
  <c r="S124" i="74" s="1"/>
  <c r="U124" i="74" s="1"/>
  <c r="V124" i="74"/>
  <c r="Y9" i="74"/>
  <c r="P76" i="66"/>
  <c r="P172" i="66"/>
  <c r="P23" i="74"/>
  <c r="Z23" i="74"/>
  <c r="AA23" i="74"/>
  <c r="E384" i="38"/>
  <c r="L248" i="66" s="1"/>
  <c r="O248" i="66" s="1"/>
  <c r="J480" i="58"/>
  <c r="E385" i="38" s="1"/>
  <c r="L267" i="66" s="1"/>
  <c r="Z71" i="66"/>
  <c r="Z215" i="66"/>
  <c r="P71" i="66"/>
  <c r="AA71" i="66"/>
  <c r="AA215" i="66"/>
  <c r="P215" i="66"/>
  <c r="V36" i="66"/>
  <c r="R36" i="66"/>
  <c r="AA263" i="66"/>
  <c r="P119" i="66"/>
  <c r="AA119" i="66"/>
  <c r="Z119" i="66"/>
  <c r="Z263" i="66"/>
  <c r="P263" i="66"/>
  <c r="R189" i="66"/>
  <c r="V189" i="66"/>
  <c r="Z141" i="74"/>
  <c r="AA141" i="74"/>
  <c r="P141" i="74"/>
  <c r="AC20" i="74"/>
  <c r="S20" i="74"/>
  <c r="U20" i="74" s="1"/>
  <c r="O20" i="74"/>
  <c r="Q20" i="74"/>
  <c r="W20" i="74" s="1"/>
  <c r="Y20" i="74" s="1"/>
  <c r="R133" i="66"/>
  <c r="S133" i="66" s="1"/>
  <c r="U133" i="66" s="1"/>
  <c r="V133" i="66"/>
  <c r="W133" i="66"/>
  <c r="Y133" i="66" s="1"/>
  <c r="Q119" i="74"/>
  <c r="X119" i="74"/>
  <c r="T119" i="74"/>
  <c r="O119" i="74"/>
  <c r="AC119" i="74"/>
  <c r="AD119" i="74" s="1"/>
  <c r="J479" i="41"/>
  <c r="E366" i="38"/>
  <c r="L104" i="66" s="1"/>
  <c r="O104" i="66" s="1"/>
  <c r="J480" i="37"/>
  <c r="Z116" i="66"/>
  <c r="AA116" i="66"/>
  <c r="Z260" i="66"/>
  <c r="AA260" i="66"/>
  <c r="P116" i="66"/>
  <c r="G8" i="74"/>
  <c r="G104" i="74"/>
  <c r="Y10" i="74"/>
  <c r="U9" i="74"/>
  <c r="P68" i="66"/>
  <c r="AA68" i="66"/>
  <c r="Z212" i="66"/>
  <c r="Z68" i="66"/>
  <c r="AA212" i="66"/>
  <c r="T105" i="74"/>
  <c r="X105" i="74"/>
  <c r="Q105" i="74"/>
  <c r="O105" i="74"/>
  <c r="AC105" i="74"/>
  <c r="U23" i="74"/>
  <c r="V45" i="66"/>
  <c r="R45" i="66"/>
  <c r="P260" i="66"/>
  <c r="AA220" i="66"/>
  <c r="Z220" i="66"/>
  <c r="Z76" i="66"/>
  <c r="AA76" i="66"/>
  <c r="P220" i="66"/>
  <c r="T71" i="74"/>
  <c r="Q71" i="74"/>
  <c r="X71" i="74"/>
  <c r="O71" i="74"/>
  <c r="AC71" i="74"/>
  <c r="AD71" i="74" s="1"/>
  <c r="V37" i="66"/>
  <c r="R37" i="66"/>
  <c r="AC68" i="74"/>
  <c r="AD68" i="74" s="1"/>
  <c r="Q68" i="74"/>
  <c r="O68" i="74"/>
  <c r="AA124" i="66"/>
  <c r="AA28" i="66"/>
  <c r="Z172" i="66"/>
  <c r="AA172" i="66"/>
  <c r="Z28" i="66"/>
  <c r="P28" i="66"/>
  <c r="R23" i="66"/>
  <c r="V23" i="66"/>
  <c r="P9" i="74"/>
  <c r="Z9" i="74"/>
  <c r="AA9" i="74"/>
  <c r="H479" i="41"/>
  <c r="E354" i="38"/>
  <c r="L8" i="66" s="1"/>
  <c r="O8" i="66" s="1"/>
  <c r="H480" i="37"/>
  <c r="G103" i="74"/>
  <c r="M103" i="66"/>
  <c r="O103" i="66" s="1"/>
  <c r="M199" i="66"/>
  <c r="Q199" i="66" s="1"/>
  <c r="AA85" i="74"/>
  <c r="P85" i="74"/>
  <c r="Z85" i="74"/>
  <c r="AB200" i="66" l="1"/>
  <c r="AC200" i="66" s="1"/>
  <c r="AD116" i="74"/>
  <c r="D8" i="77"/>
  <c r="AD105" i="74"/>
  <c r="D4" i="77"/>
  <c r="C5" i="77"/>
  <c r="AD20" i="74"/>
  <c r="C8" i="77"/>
  <c r="O199" i="66"/>
  <c r="AB199" i="66"/>
  <c r="AC199" i="66" s="1"/>
  <c r="O7" i="66"/>
  <c r="AB152" i="66"/>
  <c r="AC152" i="66" s="1"/>
  <c r="AB247" i="66"/>
  <c r="AC247" i="66" s="1"/>
  <c r="AA104" i="66"/>
  <c r="Z104" i="66"/>
  <c r="Z248" i="66"/>
  <c r="AA248" i="66"/>
  <c r="Z152" i="66"/>
  <c r="Z8" i="66"/>
  <c r="AA152" i="66"/>
  <c r="AA8" i="66"/>
  <c r="R28" i="66"/>
  <c r="V28" i="66"/>
  <c r="R68" i="66"/>
  <c r="S68" i="66" s="1"/>
  <c r="U68" i="66" s="1"/>
  <c r="V68" i="66"/>
  <c r="W68" i="66"/>
  <c r="Y68" i="66" s="1"/>
  <c r="W57" i="66"/>
  <c r="Y57" i="66" s="1"/>
  <c r="R57" i="66"/>
  <c r="S57" i="66" s="1"/>
  <c r="U57" i="66" s="1"/>
  <c r="V57" i="66"/>
  <c r="W215" i="66"/>
  <c r="Y215" i="66" s="1"/>
  <c r="R215" i="66"/>
  <c r="S215" i="66" s="1"/>
  <c r="U215" i="66" s="1"/>
  <c r="V215" i="66"/>
  <c r="V45" i="74"/>
  <c r="R45" i="74"/>
  <c r="AA124" i="74"/>
  <c r="P28" i="74"/>
  <c r="Z28" i="74"/>
  <c r="AA28" i="74"/>
  <c r="V10" i="74"/>
  <c r="R10" i="74"/>
  <c r="J480" i="41"/>
  <c r="E367" i="38"/>
  <c r="L123" i="66" s="1"/>
  <c r="R220" i="66"/>
  <c r="S220" i="66" s="1"/>
  <c r="U220" i="66" s="1"/>
  <c r="V220" i="66"/>
  <c r="W220" i="66"/>
  <c r="Y220" i="66" s="1"/>
  <c r="P105" i="74"/>
  <c r="AA105" i="74"/>
  <c r="Z105" i="74"/>
  <c r="AA71" i="74"/>
  <c r="Z71" i="74"/>
  <c r="P71" i="74"/>
  <c r="R9" i="74"/>
  <c r="V9" i="74"/>
  <c r="R260" i="66"/>
  <c r="S260" i="66" s="1"/>
  <c r="U260" i="66" s="1"/>
  <c r="V260" i="66"/>
  <c r="W260" i="66"/>
  <c r="Y260" i="66" s="1"/>
  <c r="O55" i="66"/>
  <c r="P55" i="66" s="1"/>
  <c r="M55" i="74"/>
  <c r="Q55" i="74" s="1"/>
  <c r="Q55" i="66"/>
  <c r="Z76" i="74"/>
  <c r="P76" i="74"/>
  <c r="AA76" i="74"/>
  <c r="M7" i="74"/>
  <c r="Q7" i="74" s="1"/>
  <c r="W7" i="74" s="1"/>
  <c r="Y7" i="74" s="1"/>
  <c r="Q7" i="66"/>
  <c r="W7" i="66" s="1"/>
  <c r="Y7" i="66" s="1"/>
  <c r="V132" i="74"/>
  <c r="W132" i="74"/>
  <c r="Y132" i="74" s="1"/>
  <c r="R132" i="74"/>
  <c r="S132" i="74" s="1"/>
  <c r="U132" i="74" s="1"/>
  <c r="V85" i="74"/>
  <c r="W85" i="74"/>
  <c r="Y85" i="74" s="1"/>
  <c r="R85" i="74"/>
  <c r="S85" i="74" s="1"/>
  <c r="U85" i="74" s="1"/>
  <c r="R116" i="66"/>
  <c r="S116" i="66" s="1"/>
  <c r="U116" i="66" s="1"/>
  <c r="W116" i="66"/>
  <c r="Y116" i="66" s="1"/>
  <c r="V116" i="66"/>
  <c r="P119" i="74"/>
  <c r="Z119" i="74"/>
  <c r="AA119" i="74"/>
  <c r="P20" i="74"/>
  <c r="AA20" i="74"/>
  <c r="Z20" i="74"/>
  <c r="R263" i="66"/>
  <c r="S263" i="66" s="1"/>
  <c r="U263" i="66" s="1"/>
  <c r="V263" i="66"/>
  <c r="W263" i="66"/>
  <c r="Y263" i="66" s="1"/>
  <c r="R105" i="66"/>
  <c r="S105" i="66" s="1"/>
  <c r="U105" i="66" s="1"/>
  <c r="W105" i="66"/>
  <c r="Y105" i="66" s="1"/>
  <c r="V105" i="66"/>
  <c r="AB103" i="66"/>
  <c r="AC103" i="66" s="1"/>
  <c r="Q103" i="66"/>
  <c r="M103" i="74"/>
  <c r="Q103" i="74" s="1"/>
  <c r="Z68" i="74"/>
  <c r="P68" i="74"/>
  <c r="AA68" i="74"/>
  <c r="R141" i="74"/>
  <c r="S141" i="74" s="1"/>
  <c r="U141" i="74" s="1"/>
  <c r="W141" i="74"/>
  <c r="Y141" i="74" s="1"/>
  <c r="V141" i="74"/>
  <c r="V23" i="74"/>
  <c r="R23" i="74"/>
  <c r="O247" i="66"/>
  <c r="P247" i="66" s="1"/>
  <c r="V20" i="66"/>
  <c r="R20" i="66"/>
  <c r="W249" i="66"/>
  <c r="Y249" i="66" s="1"/>
  <c r="R249" i="66"/>
  <c r="S249" i="66" s="1"/>
  <c r="U249" i="66" s="1"/>
  <c r="V249" i="66"/>
  <c r="R133" i="74"/>
  <c r="S133" i="74" s="1"/>
  <c r="U133" i="74" s="1"/>
  <c r="V133" i="74"/>
  <c r="W133" i="74"/>
  <c r="Y133" i="74" s="1"/>
  <c r="W201" i="66"/>
  <c r="Y201" i="66" s="1"/>
  <c r="V201" i="66"/>
  <c r="R201" i="66"/>
  <c r="S201" i="66" s="1"/>
  <c r="U201" i="66" s="1"/>
  <c r="R119" i="66"/>
  <c r="S119" i="66" s="1"/>
  <c r="U119" i="66" s="1"/>
  <c r="W119" i="66"/>
  <c r="Y119" i="66" s="1"/>
  <c r="V119" i="66"/>
  <c r="V71" i="66"/>
  <c r="W71" i="66"/>
  <c r="Y71" i="66" s="1"/>
  <c r="R71" i="66"/>
  <c r="S71" i="66" s="1"/>
  <c r="U71" i="66" s="1"/>
  <c r="V172" i="66"/>
  <c r="R172" i="66"/>
  <c r="AB248" i="66"/>
  <c r="AC248" i="66" s="1"/>
  <c r="O171" i="66"/>
  <c r="AB171" i="66"/>
  <c r="AC171" i="66" s="1"/>
  <c r="I480" i="41"/>
  <c r="E361" i="38"/>
  <c r="L75" i="66" s="1"/>
  <c r="P57" i="74"/>
  <c r="AA57" i="74"/>
  <c r="Z57" i="74"/>
  <c r="E355" i="38"/>
  <c r="L27" i="66" s="1"/>
  <c r="H480" i="41"/>
  <c r="AB104" i="66"/>
  <c r="AC104" i="66" s="1"/>
  <c r="L104" i="74"/>
  <c r="AC104" i="74" s="1"/>
  <c r="AD104" i="74" s="1"/>
  <c r="W76" i="66"/>
  <c r="Y76" i="66" s="1"/>
  <c r="R76" i="66"/>
  <c r="S76" i="66" s="1"/>
  <c r="U76" i="66" s="1"/>
  <c r="V76" i="66"/>
  <c r="V37" i="74"/>
  <c r="R37" i="74"/>
  <c r="U28" i="74"/>
  <c r="R93" i="74"/>
  <c r="S93" i="74" s="1"/>
  <c r="U93" i="74" s="1"/>
  <c r="V93" i="74"/>
  <c r="W93" i="74"/>
  <c r="Y93" i="74" s="1"/>
  <c r="AB8" i="66"/>
  <c r="AC8" i="66" s="1"/>
  <c r="L8" i="74"/>
  <c r="AC8" i="74" s="1"/>
  <c r="AD8" i="74" s="1"/>
  <c r="L56" i="74"/>
  <c r="O56" i="74" s="1"/>
  <c r="AB151" i="66"/>
  <c r="AC151" i="66" s="1"/>
  <c r="P116" i="74"/>
  <c r="Z116" i="74"/>
  <c r="AA116" i="74"/>
  <c r="O56" i="66"/>
  <c r="Y28" i="74"/>
  <c r="W84" i="74"/>
  <c r="Y84" i="74" s="1"/>
  <c r="R84" i="74"/>
  <c r="S84" i="74" s="1"/>
  <c r="U84" i="74" s="1"/>
  <c r="V84" i="74"/>
  <c r="O267" i="66"/>
  <c r="AB267" i="66"/>
  <c r="AC267" i="66" s="1"/>
  <c r="AB219" i="66"/>
  <c r="AC219" i="66" s="1"/>
  <c r="O219" i="66"/>
  <c r="O151" i="66"/>
  <c r="P151" i="66" s="1"/>
  <c r="AB56" i="66"/>
  <c r="AC56" i="66" s="1"/>
  <c r="AA151" i="66" l="1"/>
  <c r="Z151" i="66"/>
  <c r="AA56" i="74"/>
  <c r="Z56" i="74"/>
  <c r="V247" i="66"/>
  <c r="R247" i="66"/>
  <c r="W247" i="66"/>
  <c r="Y247" i="66" s="1"/>
  <c r="V68" i="74"/>
  <c r="W68" i="74"/>
  <c r="Y68" i="74" s="1"/>
  <c r="R68" i="74"/>
  <c r="S68" i="74" s="1"/>
  <c r="U68" i="74" s="1"/>
  <c r="R119" i="74"/>
  <c r="S119" i="74" s="1"/>
  <c r="U119" i="74" s="1"/>
  <c r="W119" i="74"/>
  <c r="Y119" i="74" s="1"/>
  <c r="V119" i="74"/>
  <c r="R55" i="66"/>
  <c r="V55" i="66"/>
  <c r="W55" i="66"/>
  <c r="Y55" i="66" s="1"/>
  <c r="O8" i="74"/>
  <c r="AA55" i="66"/>
  <c r="Z199" i="66"/>
  <c r="AA199" i="66"/>
  <c r="Z55" i="66"/>
  <c r="O123" i="66"/>
  <c r="AB123" i="66"/>
  <c r="AC123" i="66" s="1"/>
  <c r="AE3" i="66" s="1"/>
  <c r="L123" i="74"/>
  <c r="R28" i="74"/>
  <c r="V28" i="74"/>
  <c r="AC56" i="74"/>
  <c r="AD56" i="74" s="1"/>
  <c r="Z103" i="66"/>
  <c r="V151" i="66"/>
  <c r="R151" i="66"/>
  <c r="Z7" i="66"/>
  <c r="AA247" i="66"/>
  <c r="L27" i="74"/>
  <c r="O27" i="66"/>
  <c r="AB27" i="66"/>
  <c r="AC27" i="66" s="1"/>
  <c r="AE1" i="66" s="1"/>
  <c r="AA200" i="66"/>
  <c r="Z200" i="66"/>
  <c r="Z56" i="66"/>
  <c r="AA56" i="66"/>
  <c r="AC103" i="74"/>
  <c r="AD103" i="74" s="1"/>
  <c r="AA7" i="66"/>
  <c r="O103" i="74"/>
  <c r="W57" i="74"/>
  <c r="Y57" i="74" s="1"/>
  <c r="R57" i="74"/>
  <c r="S57" i="74" s="1"/>
  <c r="U57" i="74" s="1"/>
  <c r="V57" i="74"/>
  <c r="R20" i="74"/>
  <c r="V20" i="74"/>
  <c r="R76" i="74"/>
  <c r="S76" i="74" s="1"/>
  <c r="U76" i="74" s="1"/>
  <c r="W76" i="74"/>
  <c r="Y76" i="74" s="1"/>
  <c r="V76" i="74"/>
  <c r="AA103" i="66"/>
  <c r="O75" i="66"/>
  <c r="L75" i="74"/>
  <c r="AB75" i="66"/>
  <c r="AC75" i="66" s="1"/>
  <c r="AE2" i="66" s="1"/>
  <c r="AC55" i="74"/>
  <c r="AD55" i="74" s="1"/>
  <c r="O104" i="74"/>
  <c r="V105" i="74"/>
  <c r="W105" i="74"/>
  <c r="Y105" i="74" s="1"/>
  <c r="R105" i="74"/>
  <c r="S105" i="74" s="1"/>
  <c r="U105" i="74" s="1"/>
  <c r="O7" i="74"/>
  <c r="P103" i="66"/>
  <c r="V116" i="74"/>
  <c r="W116" i="74"/>
  <c r="Y116" i="74" s="1"/>
  <c r="R116" i="74"/>
  <c r="S116" i="74" s="1"/>
  <c r="U116" i="74" s="1"/>
  <c r="P7" i="66"/>
  <c r="O55" i="74"/>
  <c r="R71" i="74"/>
  <c r="S71" i="74" s="1"/>
  <c r="U71" i="74" s="1"/>
  <c r="W71" i="74"/>
  <c r="Y71" i="74" s="1"/>
  <c r="V71" i="74"/>
  <c r="AC7" i="74"/>
  <c r="AD7" i="74" s="1"/>
  <c r="P199" i="66"/>
  <c r="Z247" i="66"/>
  <c r="AA55" i="74" l="1"/>
  <c r="P55" i="74"/>
  <c r="Z55" i="74"/>
  <c r="P103" i="74"/>
  <c r="AA103" i="74"/>
  <c r="Z103" i="74"/>
  <c r="AA27" i="66"/>
  <c r="Z27" i="66"/>
  <c r="Z171" i="66"/>
  <c r="AA171" i="66"/>
  <c r="R7" i="66"/>
  <c r="V7" i="66"/>
  <c r="O27" i="74"/>
  <c r="AC27" i="74"/>
  <c r="AD27" i="74" s="1"/>
  <c r="AF1" i="74" s="1"/>
  <c r="Z8" i="74"/>
  <c r="AA8" i="74"/>
  <c r="AA104" i="74"/>
  <c r="Z104" i="74"/>
  <c r="AC123" i="74"/>
  <c r="AD123" i="74" s="1"/>
  <c r="AF3" i="74" s="1"/>
  <c r="O123" i="74"/>
  <c r="W103" i="66"/>
  <c r="Y103" i="66" s="1"/>
  <c r="R103" i="66"/>
  <c r="V103" i="66"/>
  <c r="V199" i="66"/>
  <c r="W199" i="66"/>
  <c r="Y199" i="66" s="1"/>
  <c r="R199" i="66"/>
  <c r="AA123" i="66"/>
  <c r="AA267" i="66"/>
  <c r="Z267" i="66"/>
  <c r="Z123" i="66"/>
  <c r="O75" i="74"/>
  <c r="AC75" i="74"/>
  <c r="AD75" i="74" s="1"/>
  <c r="AF2" i="74" s="1"/>
  <c r="AA7" i="74"/>
  <c r="Z7" i="74"/>
  <c r="P7" i="74"/>
  <c r="AA75" i="66"/>
  <c r="AA219" i="66"/>
  <c r="Z75" i="66"/>
  <c r="Z219" i="66"/>
  <c r="Z75" i="74" l="1"/>
  <c r="AA75" i="74"/>
  <c r="AA27" i="74"/>
  <c r="Z27" i="74"/>
  <c r="AA123" i="74"/>
  <c r="Z123" i="74"/>
  <c r="V103" i="74"/>
  <c r="W103" i="74"/>
  <c r="Y103" i="74" s="1"/>
  <c r="R103" i="74"/>
  <c r="V7" i="74"/>
  <c r="R7" i="74"/>
  <c r="W55" i="74"/>
  <c r="Y55" i="74" s="1"/>
  <c r="R55" i="74"/>
  <c r="V55" i="7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<sst xmlns="http://schemas.openxmlformats.org/spreadsheetml/2006/main" count="4984" uniqueCount="387">
  <si>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</si>
  <si>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</si>
  <si>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</si>
  <si>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</si>
  <si>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</si>
  <si>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</si>
  <si>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</si>
  <si>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</si>
  <si>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</si>
  <si>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</si>
  <si>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</si>
  <si>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</si>
  <si>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</si>
  <si>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</si>
  <si>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</si>
  <si>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</si>
  <si>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</si>
  <si>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</si>
  <si>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</si>
  <si>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</si>
  <si>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</si>
  <si>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</si>
  <si>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</si>
  <si>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</si>
  <si>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</si>
  <si>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</si>
  <si>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</si>
  <si>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</si>
  <si>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</si>
  <si>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</si>
  <si>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</si>
  <si>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</si>
  <si>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</si>
  <si>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</si>
  <si>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</si>
  <si>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</si>
  <si>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</si>
  <si>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</si>
  <si>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</si>
  <si>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</si>
  <si>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</si>
  <si>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</si>
  <si>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</si>
  <si>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</si>
  <si>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</si>
  <si>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</si>
  <si>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</si>
  <si>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</si>
  <si>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</si>
  <si>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</si>
  <si>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</si>
  <si>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</si>
  <si>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</si>
  <si>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</si>
  <si>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</si>
  <si>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</si>
  <si>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</si>
  <si>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</si>
  <si>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</si>
  <si>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</si>
  <si>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</si>
  <si>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</si>
  <si>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</si>
  <si>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</si>
  <si>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</si>
  <si>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</si>
  <si>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</si>
  <si>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</si>
  <si>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</si>
  <si>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</si>
  <si>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</si>
  <si>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</si>
  <si>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</si>
  <si>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</si>
  <si>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</si>
  <si>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</si>
  <si>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</si>
  <si>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</si>
  <si>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</si>
  <si>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</si>
  <si>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</si>
  <si>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</si>
  <si>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</si>
  <si>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</si>
  <si>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</si>
  <si>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</si>
  <si>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</si>
  <si>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</si>
  <si>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</si>
  <si>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</si>
  <si>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</si>
  <si>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</si>
  <si>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</si>
  <si>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</si>
  <si>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</si>
  <si>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</si>
  <si>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</si>
  <si>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</si>
  <si>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</si>
  <si>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</si>
  <si>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</si>
  <si>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</si>
  <si>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</si>
  <si>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</si>
  <si>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</si>
  <si>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</si>
  <si>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</si>
  <si>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</si>
  <si>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</si>
  <si>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</si>
  <si>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</si>
  <si>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</si>
  <si>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</si>
  <si>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</si>
  <si>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</si>
  <si>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</si>
  <si>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</si>
  <si>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</si>
  <si>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</si>
  <si>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</si>
  <si>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</si>
  <si>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</si>
  <si>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</si>
  <si>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</si>
  <si>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</si>
  <si>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</si>
  <si>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</si>
  <si>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</si>
  <si>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</si>
  <si>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</si>
  <si>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</si>
  <si>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</si>
  <si>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</si>
  <si>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</si>
  <si>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</si>
  <si>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</si>
  <si>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</si>
  <si>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</si>
  <si>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</si>
  <si>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</si>
  <si>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</si>
  <si>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</si>
  <si>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</si>
  <si>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</si>
  <si>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</si>
  <si>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</si>
  <si>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</si>
  <si>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</si>
  <si>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</si>
  <si>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</si>
  <si>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</si>
  <si>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</si>
  <si>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</si>
  <si>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</si>
  <si>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</si>
  <si>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</si>
  <si>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</si>
  <si>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</si>
  <si>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</si>
  <si>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</si>
  <si>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</si>
  <si>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</si>
  <si>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</si>
  <si>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</si>
  <si>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</si>
  <si>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</si>
  <si>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</si>
  <si>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</si>
  <si>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</si>
  <si>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</si>
  <si>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</si>
  <si>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</si>
  <si>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</si>
  <si>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</si>
  <si>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</si>
  <si>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</si>
  <si>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</si>
  <si>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</si>
  <si>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</si>
  <si>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</si>
  <si>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</si>
  <si>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</si>
  <si>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</si>
  <si>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</si>
  <si>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</si>
  <si>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</si>
  <si>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</si>
  <si>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</si>
  <si>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</si>
  <si>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</si>
  <si>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</si>
  <si>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</si>
  <si>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</si>
  <si>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</si>
  <si>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</si>
  <si>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</si>
  <si>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</si>
  <si>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</si>
  <si>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</si>
  <si>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</si>
  <si>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</si>
  <si>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</si>
  <si>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</si>
  <si>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</si>
  <si>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</si>
  <si>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</si>
  <si>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</si>
  <si>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</si>
  <si>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</si>
  <si>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</si>
  <si>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</si>
  <si>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</si>
  <si>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</si>
  <si>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</si>
  <si>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</si>
  <si>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</si>
  <si>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</si>
  <si>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</si>
  <si>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</si>
  <si>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</si>
  <si>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</si>
  <si>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</si>
  <si>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</si>
  <si>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</si>
  <si>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</si>
  <si>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</si>
  <si>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</si>
  <si>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</si>
  <si>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</si>
  <si>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</si>
  <si>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</si>
  <si>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</si>
  <si>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</si>
  <si>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</si>
  <si>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</si>
  <si>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</si>
  <si>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</si>
  <si>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</si>
  <si>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</si>
  <si>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</si>
  <si>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</si>
  <si>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</si>
  <si>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</si>
  <si>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</si>
  <si>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</si>
  <si>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</si>
  <si>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</si>
  <si>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</si>
  <si>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</si>
  <si>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</si>
  <si>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</si>
  <si>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</si>
  <si>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</si>
  <si>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</si>
  <si>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</si>
  <si>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</si>
  <si>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</si>
  <si>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</si>
  <si>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</si>
  <si>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</si>
  <si>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</si>
  <si>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</si>
  <si>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</si>
  <si>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</si>
  <si>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</si>
  <si>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</si>
  <si>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</si>
  <si>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</si>
  <si>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</si>
  <si>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</si>
  <si>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</si>
  <si>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</si>
  <si>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</si>
  <si>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</si>
  <si>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</si>
  <si>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</si>
  <si>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</si>
  <si>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</si>
  <si>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</si>
  <si>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</si>
  <si>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</si>
  <si>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</si>
  <si>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</si>
  <si>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</si>
  <si>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</si>
  <si>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</si>
  <si>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</si>
  <si>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</si>
  <si>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</si>
  <si>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</si>
  <si>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</si>
  <si>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</si>
  <si>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</si>
  <si>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</si>
  <si>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</si>
  <si>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</si>
  <si>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</si>
  <si>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</si>
  <si>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</si>
  <si>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</si>
  <si>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</si>
  <si>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</si>
  <si>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</si>
  <si>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</si>
  <si>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</si>
  <si>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</si>
  <si>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</si>
  <si>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</si>
  <si>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</si>
  <si>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</si>
  <si>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</si>
  <si>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</si>
  <si>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</si>
  <si>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</si>
  <si>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</si>
  <si>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</si>
  <si>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</si>
  <si>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</si>
  <si>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</si>
  <si>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</si>
  <si>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</si>
  <si>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</si>
  <si>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</si>
  <si>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</si>
  <si>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</si>
  <si>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</si>
  <si>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</si>
  <si>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</si>
  <si>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</si>
  <si>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</si>
  <si>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</si>
  <si>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</si>
  <si>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</si>
  <si>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</si>
  <si>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</si>
  <si>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</si>
  <si>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Fremtidsbillede 1: Optimering</t>
  </si>
  <si>
    <t>Udregninger til CONCITO</t>
  </si>
  <si>
    <t>Produktion minus forbrug til dem med 1 [tonVV]</t>
  </si>
  <si>
    <t>Til kcal</t>
  </si>
  <si>
    <t>Produktion [billion kcal]</t>
  </si>
  <si>
    <t>Kød</t>
  </si>
  <si>
    <t>Kategori til kalorier</t>
  </si>
  <si>
    <t>Cereals - excluding beer</t>
  </si>
  <si>
    <t>Starchy roots</t>
  </si>
  <si>
    <t>Sugar crops</t>
  </si>
  <si>
    <t>Sugar &amp; sweeteners</t>
  </si>
  <si>
    <t>Pulses</t>
  </si>
  <si>
    <t>Treenuts</t>
  </si>
  <si>
    <t>Oilcrops</t>
  </si>
  <si>
    <t>Vegetable oils</t>
  </si>
  <si>
    <t>Vegetables</t>
  </si>
  <si>
    <t>Fruits - excluding wine</t>
  </si>
  <si>
    <t>Stimulants</t>
  </si>
  <si>
    <t>Spices</t>
  </si>
  <si>
    <t>Alcoholic beverages</t>
  </si>
  <si>
    <t>Meat</t>
  </si>
  <si>
    <t>Offals</t>
  </si>
  <si>
    <t>Animal fats</t>
  </si>
  <si>
    <t>Eggs</t>
  </si>
  <si>
    <t>Milk - excluding butter</t>
  </si>
  <si>
    <t>Fish, seafood</t>
  </si>
  <si>
    <t>Aquatic products, other</t>
  </si>
  <si>
    <t>Miscellaneous</t>
  </si>
  <si>
    <t>Nødder</t>
  </si>
  <si>
    <t>Stimulanter</t>
  </si>
  <si>
    <t>Krydderier</t>
  </si>
  <si>
    <t>Rapport</t>
  </si>
  <si>
    <t>Fisk mm</t>
  </si>
  <si>
    <t>Olieafgrøder</t>
  </si>
  <si>
    <t>Model</t>
  </si>
  <si>
    <t>Gruppe</t>
  </si>
  <si>
    <t>billion kcal</t>
  </si>
  <si>
    <t>Difference 2019</t>
  </si>
  <si>
    <t>kcal</t>
  </si>
  <si>
    <t>ton</t>
  </si>
  <si>
    <t>https://static-curis.ku.dk/portal/files/209323723/IFRO_Udredning_2016_30.pdf</t>
  </si>
  <si>
    <t>kton</t>
  </si>
  <si>
    <t>Produktivitet fra dyrene</t>
  </si>
  <si>
    <t>Slagtesvin</t>
  </si>
  <si>
    <t>Slagtefjerkræ</t>
  </si>
  <si>
    <t>Slagtekøer</t>
  </si>
  <si>
    <t>Produceret</t>
  </si>
  <si>
    <t>Total domestic supply</t>
  </si>
  <si>
    <t>År i modellen</t>
  </si>
  <si>
    <t>Ton</t>
  </si>
  <si>
    <t>Billion kcal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</si>
</sst>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  <numFmt numFmtId="175" formatCode="#,##0.0"/>
    <numFmt numFmtId="177" formatCode="#,##0.000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0" tint="-0.14999847407452621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9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9" fontId="0" fillId="2" borderId="0" xfId="2" applyFont="1" applyFill="1" applyBorder="1"/>
    <xf numFmtId="9" fontId="0" fillId="2" borderId="0" xfId="0" applyNumberFormat="1" applyFill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>
      <alignment horizontal="left"/>
    </xf>
    <xf numFmtId="0" fontId="6" fillId="2" borderId="5" xfId="1" applyFont="1" applyFill="1" applyBorder="1" applyAlignment="1">
      <alignment horizontal="left"/>
    </xf>
    <xf numFmtId="0" fontId="6" fillId="2" borderId="2" xfId="1" applyFont="1" applyFill="1" applyBorder="1" applyAlignment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Alignment="1">
      <alignment horizontal="center"/>
    </xf>
    <xf numFmtId="1" fontId="0" fillId="7" borderId="0" xfId="2" applyNumberFormat="1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1" fontId="0" fillId="7" borderId="0" xfId="0" applyNumberFormat="1" applyFill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1" fontId="0" fillId="2" borderId="0" xfId="0" applyNumberFormat="1" applyFill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/>
    <xf numFmtId="0" fontId="15" fillId="0" borderId="0" xfId="0" applyFont="1"/>
    <xf numFmtId="1" fontId="15" fillId="0" borderId="0" xfId="0" applyNumberFormat="1" applyFont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0" fillId="0" borderId="49" xfId="0" applyBorder="1"/>
    <xf numFmtId="0" fontId="0" fillId="0" borderId="50" xfId="0" applyBorder="1"/>
    <xf numFmtId="0" fontId="2" fillId="0" borderId="0" xfId="1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1" fillId="0" borderId="49" xfId="0" applyFont="1" applyBorder="1"/>
    <xf numFmtId="0" fontId="1" fillId="0" borderId="50" xfId="0" applyFont="1" applyBorder="1"/>
    <xf numFmtId="0" fontId="1" fillId="0" borderId="6" xfId="0" applyFont="1" applyBorder="1"/>
    <xf numFmtId="0" fontId="1" fillId="0" borderId="7" xfId="0" applyFont="1" applyBorder="1"/>
    <xf numFmtId="3" fontId="0" fillId="0" borderId="6" xfId="0" applyNumberFormat="1" applyBorder="1"/>
    <xf numFmtId="3" fontId="0" fillId="0" borderId="7" xfId="0" applyNumberFormat="1" applyBorder="1"/>
    <xf numFmtId="3" fontId="0" fillId="0" borderId="25" xfId="0" applyNumberFormat="1" applyBorder="1"/>
    <xf numFmtId="3" fontId="0" fillId="0" borderId="14" xfId="0" applyNumberFormat="1" applyBorder="1"/>
    <xf numFmtId="3" fontId="0" fillId="0" borderId="17" xfId="0" applyNumberFormat="1" applyBorder="1"/>
    <xf numFmtId="0" fontId="0" fillId="2" borderId="49" xfId="0" applyFill="1" applyBorder="1"/>
    <xf numFmtId="0" fontId="0" fillId="2" borderId="50" xfId="0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Alignment="1">
      <alignment wrapText="1"/>
    </xf>
    <xf numFmtId="0" fontId="20" fillId="0" borderId="0" xfId="0" applyFont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>
      <alignment horizontal="left"/>
    </xf>
    <xf numFmtId="0" fontId="27" fillId="2" borderId="5" xfId="1" applyFont="1" applyFill="1" applyBorder="1" applyAlignment="1">
      <alignment horizontal="left"/>
    </xf>
    <xf numFmtId="0" fontId="27" fillId="2" borderId="2" xfId="1" applyFont="1" applyFill="1" applyBorder="1" applyAlignment="1">
      <alignment horizontal="left"/>
    </xf>
    <xf numFmtId="0" fontId="27" fillId="2" borderId="0" xfId="1" applyFont="1" applyFill="1" applyBorder="1" applyAlignment="1">
      <alignment horizontal="left"/>
    </xf>
    <xf numFmtId="165" fontId="26" fillId="2" borderId="0" xfId="5" applyNumberFormat="1" applyFont="1" applyFill="1" applyBorder="1"/>
    <xf numFmtId="164" fontId="26" fillId="2" borderId="0" xfId="5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9" fontId="15" fillId="4" borderId="1" xfId="2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3" borderId="0" xfId="0" applyFill="1"/>
    <xf numFmtId="0" fontId="0" fillId="34" borderId="0" xfId="0" applyFill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/>
    <xf numFmtId="0" fontId="0" fillId="44" borderId="0" xfId="0" applyFill="1"/>
    <xf numFmtId="0" fontId="2" fillId="45" borderId="0" xfId="1" applyFill="1" applyBorder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/>
    <xf numFmtId="0" fontId="0" fillId="52" borderId="0" xfId="0" applyFill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/>
    <xf numFmtId="0" fontId="0" fillId="62" borderId="0" xfId="0" applyFill="1"/>
    <xf numFmtId="164" fontId="0" fillId="2" borderId="0" xfId="5" applyFont="1" applyFill="1"/>
    <xf numFmtId="171" fontId="0" fillId="3" borderId="1" xfId="5" applyNumberFormat="1" applyFont="1" applyFill="1" applyBorder="1"/>
    <xf numFmtId="171" fontId="28" fillId="3" borderId="1" xfId="5" applyNumberFormat="1" applyFont="1" applyFill="1" applyBorder="1"/>
    <xf numFmtId="171" fontId="28" fillId="4" borderId="1" xfId="5" applyNumberFormat="1" applyFont="1" applyFill="1" applyBorder="1"/>
    <xf numFmtId="171" fontId="0" fillId="2" borderId="0" xfId="5" applyNumberFormat="1" applyFont="1" applyFill="1"/>
    <xf numFmtId="171" fontId="0" fillId="0" borderId="0" xfId="5" applyNumberFormat="1" applyFont="1" applyFill="1" applyBorder="1"/>
    <xf numFmtId="171" fontId="0" fillId="0" borderId="0" xfId="5" applyNumberFormat="1" applyFont="1" applyFill="1"/>
    <xf numFmtId="167" fontId="0" fillId="2" borderId="0" xfId="0" applyNumberFormat="1" applyFill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49" xfId="0" applyBorder="1" applyAlignment="1">
      <alignment horizontal="center"/>
    </xf>
    <xf numFmtId="0" fontId="1" fillId="33" borderId="0" xfId="0" applyFont="1" applyFill="1"/>
    <xf numFmtId="175" fontId="0" fillId="0" borderId="0" xfId="0" applyNumberFormat="1"/>
    <xf numFmtId="0" fontId="18" fillId="0" borderId="0" xfId="11"/>
    <xf numFmtId="0" fontId="0" fillId="63" borderId="0" xfId="0" applyFill="1"/>
    <xf numFmtId="3" fontId="0" fillId="14" borderId="6" xfId="5" applyNumberFormat="1" applyFont="1" applyFill="1" applyBorder="1"/>
    <xf numFmtId="3" fontId="0" fillId="14" borderId="0" xfId="5" applyNumberFormat="1" applyFont="1" applyFill="1" applyBorder="1"/>
    <xf numFmtId="3" fontId="0" fillId="14" borderId="7" xfId="5" applyNumberFormat="1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0" xfId="0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6" xfId="0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3" fontId="0" fillId="0" borderId="15" xfId="0" applyNumberFormat="1" applyBorder="1"/>
    <xf numFmtId="177" fontId="0" fillId="0" borderId="16" xfId="0" applyNumberFormat="1" applyBorder="1"/>
    <xf numFmtId="177" fontId="0" fillId="0" borderId="7" xfId="0" applyNumberFormat="1" applyBorder="1"/>
    <xf numFmtId="177" fontId="0" fillId="0" borderId="17" xfId="0" applyNumberFormat="1" applyBorder="1"/>
    <xf numFmtId="3" fontId="0" fillId="0" borderId="16" xfId="0" applyNumberFormat="1" applyBorder="1"/>
    <xf numFmtId="3" fontId="0" fillId="0" borderId="59" xfId="0" applyNumberFormat="1" applyBorder="1"/>
    <xf numFmtId="3" fontId="0" fillId="0" borderId="60" xfId="0" applyNumberFormat="1" applyBorder="1"/>
    <xf numFmtId="3" fontId="0" fillId="0" borderId="33" xfId="0" applyNumberFormat="1" applyBorder="1"/>
    <xf numFmtId="177" fontId="0" fillId="0" borderId="59" xfId="0" applyNumberFormat="1" applyBorder="1"/>
    <xf numFmtId="177" fontId="0" fillId="0" borderId="60" xfId="0" applyNumberFormat="1" applyBorder="1"/>
    <xf numFmtId="177" fontId="0" fillId="0" borderId="33" xfId="0" applyNumberFormat="1" applyBorder="1"/>
    <xf numFmtId="0" fontId="0" fillId="0" borderId="0" xfId="0" applyFont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1.xml"/><Relationship Id="rId47" Type="http://schemas.openxmlformats.org/officeDocument/2006/relationships/pivotCacheDefinition" Target="pivotCache/pivotCacheDefinition6.xml"/><Relationship Id="rId50" Type="http://schemas.openxmlformats.org/officeDocument/2006/relationships/theme" Target="theme/theme1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pivotCacheDefinition" Target="pivotCache/pivotCacheDefinition4.xml"/><Relationship Id="rId53" Type="http://schemas.openxmlformats.org/officeDocument/2006/relationships/sheetMetadata" Target="metadata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2.xml"/><Relationship Id="rId48" Type="http://schemas.openxmlformats.org/officeDocument/2006/relationships/pivotCacheDefinition" Target="pivotCache/pivotCacheDefinition7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5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8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3.xml"/><Relationship Id="rId5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2487929.2592592589</c:v>
                </c:pt>
                <c:pt idx="2">
                  <c:v>2228670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531515.92592592596</c:v>
                </c:pt>
                <c:pt idx="2">
                  <c:v>605590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627224.81481481483</c:v>
                </c:pt>
                <c:pt idx="2">
                  <c:v>812410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5458126.7080017729</c:v>
                </c:pt>
                <c:pt idx="2">
                  <c:v>5346052.9408816844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8758493.8205350302</c:v>
                </c:pt>
                <c:pt idx="2">
                  <c:v>5988081.1767114392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-1506235.598111971</c:v>
                </c:pt>
                <c:pt idx="2">
                  <c:v>-3453383.6897283746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-465812.99708206637</c:v>
                </c:pt>
                <c:pt idx="2">
                  <c:v>-531599.37200353772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-608453.5670373945</c:v>
                </c:pt>
                <c:pt idx="2">
                  <c:v>-1366687.5910038012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11635959.929105373</c:v>
                </c:pt>
                <c:pt idx="2">
                  <c:v>5982305.027657412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74465.960662957616</c:v>
                </c:pt>
                <c:pt idx="2">
                  <c:v>67401.823042054006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4965.7278060180488</c:v>
                </c:pt>
                <c:pt idx="2">
                  <c:v>4544.0123810345967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274118.94849419035</c:v>
                </c:pt>
                <c:pt idx="2">
                  <c:v>232820.24745657752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12403.430241602413</c:v>
                </c:pt>
                <c:pt idx="2">
                  <c:v>11446.944760904047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18343.468531193015</c:v>
                </c:pt>
                <c:pt idx="2">
                  <c:v>16591.471711632348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53126.188735828859</c:v>
                </c:pt>
                <c:pt idx="2">
                  <c:v>47414.837867163187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1297917.718029706</c:v>
                </c:pt>
                <c:pt idx="2">
                  <c:v>1183051.5320061678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174456.26406747426</c:v>
                </c:pt>
                <c:pt idx="2">
                  <c:v>157504.132423776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67756.15488584133</c:v>
                </c:pt>
                <c:pt idx="2">
                  <c:v>61408.179534528455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156813.07759481133</c:v>
                </c:pt>
                <c:pt idx="2">
                  <c:v>143705.68991029685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33091.703230921303</c:v>
                </c:pt>
                <c:pt idx="2">
                  <c:v>31310.50853367247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207998.55904521749</c:v>
                </c:pt>
                <c:pt idx="2">
                  <c:v>171131.79922201723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8158.5416009002738</c:v>
                </c:pt>
                <c:pt idx="2">
                  <c:v>6935.410038090351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104313.51633259642</c:v>
                </c:pt>
                <c:pt idx="2">
                  <c:v>93403.411112084825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14.678649289287103</c:v>
                </c:pt>
                <c:pt idx="2">
                  <c:v>10.068588212156007</c:v>
                </c:pt>
                <c:pt idx="3">
                  <c:v>7.483154704207001</c:v>
                </c:pt>
                <c:pt idx="4">
                  <c:v>4.0123558190228108</c:v>
                </c:pt>
                <c:pt idx="5">
                  <c:v>5.0872686366759083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20.46888379301523</c:v>
                </c:pt>
                <c:pt idx="2">
                  <c:v>17.507230362576006</c:v>
                </c:pt>
                <c:pt idx="3">
                  <c:v>1.420171986175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43.745095635723615</c:v>
                </c:pt>
                <c:pt idx="2">
                  <c:v>48.680669859134994</c:v>
                </c:pt>
                <c:pt idx="3">
                  <c:v>0.45076703431999982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1.1331835E-3</c:v>
                </c:pt>
                <c:pt idx="2">
                  <c:v>1.1331835E-3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0.9767157123837249</c:v>
                </c:pt>
                <c:pt idx="2">
                  <c:v>0.38540174937787086</c:v>
                </c:pt>
                <c:pt idx="3">
                  <c:v>5.0922829580050024</c:v>
                </c:pt>
                <c:pt idx="4">
                  <c:v>15.376338739383602</c:v>
                </c:pt>
                <c:pt idx="5">
                  <c:v>17.565716583876835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7.8112428316740701</c:v>
                </c:pt>
                <c:pt idx="2">
                  <c:v>7.5264568791286592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45.382683089213458</c:v>
                </c:pt>
                <c:pt idx="2">
                  <c:v>45.77603591800802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1137423.5648385542</c:v>
                </c:pt>
                <c:pt idx="2">
                  <c:v>1150052.3061987155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2239888.1288856766</c:v>
                </c:pt>
                <c:pt idx="2">
                  <c:v>1790512.7192554944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3665250.2773501943</c:v>
                </c:pt>
                <c:pt idx="2">
                  <c:v>4069006.9406604851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189.39</c:v>
                </c:pt>
                <c:pt idx="2">
                  <c:v>189.39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2210080.3180264877</c:v>
                </c:pt>
                <c:pt idx="2">
                  <c:v>2433815.2686092323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1503974.5536280596</c:v>
                </c:pt>
                <c:pt idx="2">
                  <c:v>1523026.0725507722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757171"/>
          </a:solidFill>
          <a:ln>
            <a:solidFill>
              <a:srgbClr val="75717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70594.781553755733</c:v>
                </c:pt>
                <c:pt idx="5">
                  <c:v>67285.125780707793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2189034.0302520012</c:v>
                </c:pt>
                <c:pt idx="2">
                  <c:v>2591309.4281482003</c:v>
                </c:pt>
                <c:pt idx="15">
                  <c:v>823764.99285714305</c:v>
                </c:pt>
                <c:pt idx="16">
                  <c:v>276235.24667465733</c:v>
                </c:pt>
                <c:pt idx="17">
                  <c:v>108999.52356496397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6782.1960455237531</c:v>
                </c:pt>
                <c:pt idx="2">
                  <c:v>8404.7671078658768</c:v>
                </c:pt>
                <c:pt idx="15">
                  <c:v>4441.5</c:v>
                </c:pt>
                <c:pt idx="16">
                  <c:v>2260.7320151745844</c:v>
                </c:pt>
                <c:pt idx="17">
                  <c:v>933.86301198509727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85676.999999999956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13394379.31674801</c:v>
                </c:pt>
                <c:pt idx="5">
                  <c:v>12766418.101253457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75933.999999999971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846156.89556793321</c:v>
                </c:pt>
                <c:pt idx="5">
                  <c:v>806486.99373265042</c:v>
                </c:pt>
                <c:pt idx="9">
                  <c:v>1895494.5192748301</c:v>
                </c:pt>
                <c:pt idx="10">
                  <c:v>3440673.5939957332</c:v>
                </c:pt>
                <c:pt idx="11">
                  <c:v>3943177.206576285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750000</c:v>
                </c:pt>
                <c:pt idx="2">
                  <c:v>980000</c:v>
                </c:pt>
                <c:pt idx="9">
                  <c:v>982731</c:v>
                </c:pt>
                <c:pt idx="10">
                  <c:v>232809.00000000006</c:v>
                </c:pt>
                <c:pt idx="11">
                  <c:v>2808.9999999999418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5284803.7857603254</c:v>
                </c:pt>
                <c:pt idx="5">
                  <c:v>5037039.2771946527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3786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6434910.4352402603</c:v>
                </c:pt>
                <c:pt idx="5">
                  <c:v>6133226.1180386841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10429714.413001494</c:v>
                </c:pt>
                <c:pt idx="2">
                  <c:v>12276506.618354084</c:v>
                </c:pt>
                <c:pt idx="15">
                  <c:v>9696490.333333334</c:v>
                </c:pt>
                <c:pt idx="16">
                  <c:v>3476571.4710004977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1658977.3665132597</c:v>
                </c:pt>
                <c:pt idx="5">
                  <c:v>1581200.4558466333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330026.00000000006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6191750.632110659</c:v>
                </c:pt>
                <c:pt idx="5">
                  <c:v>5901466.2403495796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678325.22851124685</c:v>
                </c:pt>
                <c:pt idx="19">
                  <c:v>697432.39568518498</c:v>
                </c:pt>
                <c:pt idx="20">
                  <c:v>672005.07849363028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28644.999999999993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920673.60943023092</c:v>
                </c:pt>
                <c:pt idx="5">
                  <c:v>877510.18205673085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43141.255393961845</c:v>
                </c:pt>
                <c:pt idx="5">
                  <c:v>41118.687977099209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5488473.8162016999</c:v>
                </c:pt>
                <c:pt idx="2">
                  <c:v>6859902.6806595214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12485034.123782061</c:v>
                </c:pt>
                <c:pt idx="2">
                  <c:v>13384026.259465635</c:v>
                </c:pt>
                <c:pt idx="15">
                  <c:v>14742130.666666664</c:v>
                </c:pt>
                <c:pt idx="16">
                  <c:v>4161678.0412606872</c:v>
                </c:pt>
                <c:pt idx="17">
                  <c:v>1487114.0288295147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209867.13867694439</c:v>
                </c:pt>
                <c:pt idx="10">
                  <c:v>209871.78410050535</c:v>
                </c:pt>
                <c:pt idx="11">
                  <c:v>183432.40969824954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3010292.0648196544</c:v>
                </c:pt>
                <c:pt idx="10">
                  <c:v>2864790.7596825948</c:v>
                </c:pt>
                <c:pt idx="11">
                  <c:v>2925496.1196818841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234335.4554353836</c:v>
                </c:pt>
                <c:pt idx="5">
                  <c:v>223349.23696651615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112873.31802427149</c:v>
                </c:pt>
                <c:pt idx="10">
                  <c:v>223178.36661925918</c:v>
                </c:pt>
                <c:pt idx="11">
                  <c:v>215041.6251179617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23357523.299669795</c:v>
                </c:pt>
                <c:pt idx="17">
                  <c:v>26291745.297047496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944817.29105430027</c:v>
                </c:pt>
                <c:pt idx="16">
                  <c:v>925665.22791706468</c:v>
                </c:pt>
                <c:pt idx="17">
                  <c:v>764553.83032718813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827707.93518034508</c:v>
                </c:pt>
                <c:pt idx="13">
                  <c:v>788679.64758670493</c:v>
                </c:pt>
                <c:pt idx="14">
                  <c:v>840705.04818703001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</c:pivotFmt>
      <c:pivotFmt>
        <c:idx val="50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214730.89604157759</c:v>
                </c:pt>
                <c:pt idx="2">
                  <c:v>242414.90437786453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925665.22791706468</c:v>
                </c:pt>
                <c:pt idx="2">
                  <c:v>764553.83032718813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438365.53046636889</c:v>
                </c:pt>
                <c:pt idx="2">
                  <c:v>460568.82999267662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5284803.7857603254</c:v>
                </c:pt>
                <c:pt idx="2">
                  <c:v>5037039.2771946527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04-4B60-A9ED-787A209D6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221734.27469450119</c:v>
                </c:pt>
                <c:pt idx="2">
                  <c:v>210893.10462341903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5592870.5868648645</c:v>
                </c:pt>
                <c:pt idx="2">
                  <c:v>7026345.0921613742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453442.76340934308</c:v>
                </c:pt>
                <c:pt idx="2">
                  <c:v>178923.74622928078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1536609.9114825001</c:v>
                </c:pt>
                <c:pt idx="2">
                  <c:v>1433074.1712037951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4574065.475491859</c:v>
                </c:pt>
                <c:pt idx="2">
                  <c:v>2982756.1787720933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718058.01774869044</c:v>
                </c:pt>
                <c:pt idx="2">
                  <c:v>700822.02997791977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2074886.4977874923</c:v>
                </c:pt>
                <c:pt idx="2">
                  <c:v>1912897.876041021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2389282.9756574854</c:v>
                </c:pt>
                <c:pt idx="2">
                  <c:v>2313891.3389375592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77227.032746996076</c:v>
                </c:pt>
                <c:pt idx="2">
                  <c:v>122753.48159481354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2001163.0190917293</c:v>
                </c:pt>
                <c:pt idx="2">
                  <c:v>1964071.9525106091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1794004.4501021868</c:v>
                </c:pt>
                <c:pt idx="2">
                  <c:v>1830597.0172306281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208732.58409629596</c:v>
                </c:pt>
                <c:pt idx="2">
                  <c:v>193960.34098460112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99849.781295313049</c:v>
                </c:pt>
                <c:pt idx="2">
                  <c:v>89083.545536354475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1294298.8490218334</c:v>
                </c:pt>
                <c:pt idx="2">
                  <c:v>1143799.9939275736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933739.34333929513</c:v>
                </c:pt>
                <c:pt idx="2">
                  <c:v>886511.28127233672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2055003.2426024945</c:v>
                </c:pt>
                <c:pt idx="2">
                  <c:v>1955120.5101390816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114380.74240720889</c:v>
                </c:pt>
                <c:pt idx="2">
                  <c:v>112653.30228029896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2487929.2592592589</c:v>
                </c:pt>
                <c:pt idx="2">
                  <c:v>2228670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531515.92592592596</c:v>
                </c:pt>
                <c:pt idx="2">
                  <c:v>605590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627224.81481481483</c:v>
                </c:pt>
                <c:pt idx="2">
                  <c:v>812410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5458126.7080017729</c:v>
                </c:pt>
                <c:pt idx="2">
                  <c:v>5346052.9408816844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8758493.8205350302</c:v>
                </c:pt>
                <c:pt idx="2">
                  <c:v>5988081.1767114392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-1506235.598111971</c:v>
                </c:pt>
                <c:pt idx="2">
                  <c:v>-3453383.6897283746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-465812.99708206637</c:v>
                </c:pt>
                <c:pt idx="2">
                  <c:v>-531599.37200353772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-608453.5670373945</c:v>
                </c:pt>
                <c:pt idx="2">
                  <c:v>-1366687.5910038012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11635959.929105373</c:v>
                </c:pt>
                <c:pt idx="2">
                  <c:v>5982305.027657412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>
            <a:solidFill>
              <a:srgbClr val="CCFF6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214730.89604157759</c:v>
                </c:pt>
                <c:pt idx="2">
                  <c:v>242414.90437786453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925665.22791706468</c:v>
                </c:pt>
                <c:pt idx="2">
                  <c:v>764553.83032718813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solidFill>
                <a:srgbClr val="CCFF6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438365.53046636889</c:v>
                </c:pt>
                <c:pt idx="2">
                  <c:v>460568.82999267662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5284803.7857603254</c:v>
                </c:pt>
                <c:pt idx="2">
                  <c:v>5037039.2771946527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52-413B-A4EA-68F7D5889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221734.27469450119</c:v>
                </c:pt>
                <c:pt idx="2">
                  <c:v>210893.10462341903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5592870.5868648645</c:v>
                </c:pt>
                <c:pt idx="2">
                  <c:v>7026345.0921613742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453442.76340934308</c:v>
                </c:pt>
                <c:pt idx="2">
                  <c:v>178923.74622928078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1536609.9114825001</c:v>
                </c:pt>
                <c:pt idx="2">
                  <c:v>1433074.1712037951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4574065.475491859</c:v>
                </c:pt>
                <c:pt idx="2">
                  <c:v>2982756.1787720933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718058.01774869044</c:v>
                </c:pt>
                <c:pt idx="2">
                  <c:v>700822.02997791977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2074886.4977874923</c:v>
                </c:pt>
                <c:pt idx="2">
                  <c:v>1912897.876041021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2389282.9756574854</c:v>
                </c:pt>
                <c:pt idx="2">
                  <c:v>2313891.3389375592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77227.032746996076</c:v>
                </c:pt>
                <c:pt idx="2">
                  <c:v>122753.48159481354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2001163.0190917293</c:v>
                </c:pt>
                <c:pt idx="2">
                  <c:v>1964071.9525106091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1794004.4501021868</c:v>
                </c:pt>
                <c:pt idx="2">
                  <c:v>1830597.0172306281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208732.58409629596</c:v>
                </c:pt>
                <c:pt idx="2">
                  <c:v>193960.34098460112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99849.781295313049</c:v>
                </c:pt>
                <c:pt idx="2">
                  <c:v>89083.545536354475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1294298.8490218334</c:v>
                </c:pt>
                <c:pt idx="2">
                  <c:v>1143799.9939275736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933739.34333929513</c:v>
                </c:pt>
                <c:pt idx="2">
                  <c:v>886511.28127233672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2055003.2426024945</c:v>
                </c:pt>
                <c:pt idx="2">
                  <c:v>1955120.5101390816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114380.74240720889</c:v>
                </c:pt>
                <c:pt idx="2">
                  <c:v>112653.30228029896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5458126.7080017729</c:v>
                </c:pt>
                <c:pt idx="2">
                  <c:v>5346052.9408816844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8758493.8205350302</c:v>
                </c:pt>
                <c:pt idx="2">
                  <c:v>5988081.1767114392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-1506235.598111971</c:v>
                </c:pt>
                <c:pt idx="2">
                  <c:v>-3453383.6897283746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-465812.99708206637</c:v>
                </c:pt>
                <c:pt idx="2">
                  <c:v>-531599.37200353772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-608453.5670373945</c:v>
                </c:pt>
                <c:pt idx="2">
                  <c:v>-1366687.5910038012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11635959.929105373</c:v>
                </c:pt>
                <c:pt idx="2">
                  <c:v>5982305.027657412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A9D08E"/>
          </a:solidFill>
          <a:ln>
            <a:solidFill>
              <a:srgbClr val="A9D08E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marker>
          <c:symbol val="none"/>
        </c:marker>
      </c:pivotFmt>
      <c:pivotFmt>
        <c:idx val="5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214730.89604157759</c:v>
                </c:pt>
                <c:pt idx="2">
                  <c:v>242414.90437786453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925665.22791706468</c:v>
                </c:pt>
                <c:pt idx="2">
                  <c:v>764553.83032718813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438365.53046636889</c:v>
                </c:pt>
                <c:pt idx="2">
                  <c:v>460568.82999267662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5284803.7857603254</c:v>
                </c:pt>
                <c:pt idx="2">
                  <c:v>5037039.2771946527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D0-4CDC-AB54-42203DF4F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221734.27469450119</c:v>
                </c:pt>
                <c:pt idx="2">
                  <c:v>210893.10462341903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5592870.5868648645</c:v>
                </c:pt>
                <c:pt idx="2">
                  <c:v>7026345.0921613742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453442.76340934308</c:v>
                </c:pt>
                <c:pt idx="2">
                  <c:v>178923.74622928078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1536609.9114825001</c:v>
                </c:pt>
                <c:pt idx="2">
                  <c:v>1433074.1712037951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4574065.475491859</c:v>
                </c:pt>
                <c:pt idx="2">
                  <c:v>2982756.1787720933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718058.01774869044</c:v>
                </c:pt>
                <c:pt idx="2">
                  <c:v>700822.02997791977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2074886.4977874923</c:v>
                </c:pt>
                <c:pt idx="2">
                  <c:v>1912897.876041021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2389282.9756574854</c:v>
                </c:pt>
                <c:pt idx="2">
                  <c:v>2313891.3389375592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77227.032746996076</c:v>
                </c:pt>
                <c:pt idx="2">
                  <c:v>122753.48159481354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2001163.0190917293</c:v>
                </c:pt>
                <c:pt idx="2">
                  <c:v>1964071.9525106091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1794004.4501021868</c:v>
                </c:pt>
                <c:pt idx="2">
                  <c:v>1830597.0172306281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208732.58409629596</c:v>
                </c:pt>
                <c:pt idx="2">
                  <c:v>193960.34098460112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99849.781295313049</c:v>
                </c:pt>
                <c:pt idx="2">
                  <c:v>89083.545536354475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1294298.8490218334</c:v>
                </c:pt>
                <c:pt idx="2">
                  <c:v>1143799.9939275736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933739.34333929513</c:v>
                </c:pt>
                <c:pt idx="2">
                  <c:v>886511.28127233672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2055003.2426024945</c:v>
                </c:pt>
                <c:pt idx="2">
                  <c:v>1955120.5101390816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114380.74240720889</c:v>
                </c:pt>
                <c:pt idx="2">
                  <c:v>112653.30228029896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3010292.0648196544</c:v>
                </c:pt>
                <c:pt idx="1">
                  <c:v>2864790.7596825948</c:v>
                </c:pt>
                <c:pt idx="2">
                  <c:v>2925496.1196818841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827707.93518034508</c:v>
                </c:pt>
                <c:pt idx="1">
                  <c:v>788679.64758670493</c:v>
                </c:pt>
                <c:pt idx="2">
                  <c:v>840705.04818703001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7758.5360383560746</c:v>
                </c:pt>
                <c:pt idx="2">
                  <c:v>16547.038499606468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69826.824345204674</c:v>
                </c:pt>
                <c:pt idx="2">
                  <c:v>148923.34649645822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7758.5360383560746</c:v>
                </c:pt>
                <c:pt idx="2">
                  <c:v>16547.038499606468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69826.824345204674</c:v>
                </c:pt>
                <c:pt idx="2">
                  <c:v>148923.34649645822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440.29999999999995</c:v>
                </c:pt>
                <c:pt idx="2">
                  <c:v>440.29999999999995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214017.95756831454</c:v>
                </c:pt>
                <c:pt idx="1">
                  <c:v>880.09999999999991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210893.10462341903</c:v>
                </c:pt>
                <c:pt idx="1">
                  <c:v>880.09999999999991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Fødevarer</a:t>
            </a:r>
            <a:r>
              <a:rPr lang="en-US" baseline="0"/>
              <a:t> [ton]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CONCITO!$C$17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CONCITO!$B$18:$B$29</c:f>
              <c:strCache>
                <c:ptCount val="12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Grøntsager</c:v>
                </c:pt>
                <c:pt idx="5">
                  <c:v>Olieafgrøder</c:v>
                </c:pt>
                <c:pt idx="6">
                  <c:v>Kartofler</c:v>
                </c:pt>
                <c:pt idx="7">
                  <c:v>Korn</c:v>
                </c:pt>
                <c:pt idx="8">
                  <c:v>Mejeriprodukter</c:v>
                </c:pt>
                <c:pt idx="9">
                  <c:v>Fisk mm</c:v>
                </c:pt>
                <c:pt idx="10">
                  <c:v>Øvrige</c:v>
                </c:pt>
                <c:pt idx="11">
                  <c:v>Roer</c:v>
                </c:pt>
              </c:strCache>
            </c:strRef>
          </c:cat>
          <c:val>
            <c:numRef>
              <c:f>CONCITO!$C$18:$C$29</c:f>
              <c:numCache>
                <c:formatCode>#,##0</c:formatCode>
                <c:ptCount val="12"/>
                <c:pt idx="0">
                  <c:v>235000</c:v>
                </c:pt>
                <c:pt idx="1">
                  <c:v>212954.76453418657</c:v>
                </c:pt>
                <c:pt idx="2">
                  <c:v>1918344.9215345967</c:v>
                </c:pt>
                <c:pt idx="3">
                  <c:v>41728.949017214291</c:v>
                </c:pt>
                <c:pt idx="4">
                  <c:v>280322.43675931642</c:v>
                </c:pt>
                <c:pt idx="5">
                  <c:v>-5204010.1923478451</c:v>
                </c:pt>
                <c:pt idx="6">
                  <c:v>2263176.157376945</c:v>
                </c:pt>
                <c:pt idx="7">
                  <c:v>3781951.1214967929</c:v>
                </c:pt>
                <c:pt idx="8">
                  <c:v>3383628.2</c:v>
                </c:pt>
                <c:pt idx="9">
                  <c:v>956.59999999999991</c:v>
                </c:pt>
                <c:pt idx="10">
                  <c:v>2006067.2488276002</c:v>
                </c:pt>
                <c:pt idx="11">
                  <c:v>1637775.5474174484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4D-4897-AC14-0BCC173D3FA7}"/>
            </c:ext>
          </c:extLst>
        </c:ser>
        <c:ser>
          <c:idx val="1"/>
          <c:order val="1"/>
          <c:tx>
            <c:strRef>
              <c:f>CONCITO!$D$17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CONCITO!$B$18:$B$29</c:f>
              <c:strCache>
                <c:ptCount val="12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Grøntsager</c:v>
                </c:pt>
                <c:pt idx="5">
                  <c:v>Olieafgrøder</c:v>
                </c:pt>
                <c:pt idx="6">
                  <c:v>Kartofler</c:v>
                </c:pt>
                <c:pt idx="7">
                  <c:v>Korn</c:v>
                </c:pt>
                <c:pt idx="8">
                  <c:v>Mejeriprodukter</c:v>
                </c:pt>
                <c:pt idx="9">
                  <c:v>Fisk mm</c:v>
                </c:pt>
                <c:pt idx="10">
                  <c:v>Øvrige</c:v>
                </c:pt>
                <c:pt idx="11">
                  <c:v>Roer</c:v>
                </c:pt>
              </c:strCache>
            </c:strRef>
          </c:cat>
          <c:val>
            <c:numRef>
              <c:f>CONCITO!$D$18:$D$29</c:f>
              <c:numCache>
                <c:formatCode>#,##0</c:formatCode>
                <c:ptCount val="12"/>
                <c:pt idx="0">
                  <c:v>225699.33858382018</c:v>
                </c:pt>
                <c:pt idx="1">
                  <c:v>210893.104623419</c:v>
                </c:pt>
                <c:pt idx="2">
                  <c:v>1679228.9288541514</c:v>
                </c:pt>
                <c:pt idx="3">
                  <c:v>41205.106350818656</c:v>
                </c:pt>
                <c:pt idx="4">
                  <c:v>283127.27105558576</c:v>
                </c:pt>
                <c:pt idx="5">
                  <c:v>-4821997.6520766914</c:v>
                </c:pt>
                <c:pt idx="6">
                  <c:v>2153221.1823950112</c:v>
                </c:pt>
                <c:pt idx="7">
                  <c:v>4853682.860515967</c:v>
                </c:pt>
                <c:pt idx="8">
                  <c:v>3287746.765328066</c:v>
                </c:pt>
                <c:pt idx="9">
                  <c:v>1262.5999999999999</c:v>
                </c:pt>
                <c:pt idx="10">
                  <c:v>1955120.5101390816</c:v>
                </c:pt>
                <c:pt idx="11">
                  <c:v>1830597.0172306283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4D-4897-AC14-0BCC173D3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1568671"/>
        <c:axId val="1360041215"/>
      </c:barChart>
      <c:catAx>
        <c:axId val="1371568671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0041215"/>
        <c:crosses val="autoZero"/>
        <c:auto val="1"/>
        <c:lblAlgn val="ctr"/>
        <c:lblOffset val="100"/>
        <c:noMultiLvlLbl val="0"/>
      </c:catAx>
      <c:valAx>
        <c:axId val="1360041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Produktion minus forbrug[ton]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568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Fødevarer [kcal]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CONCITO!$E$17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CONCITO!$B$18:$B$29</c:f>
              <c:strCache>
                <c:ptCount val="12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Grøntsager</c:v>
                </c:pt>
                <c:pt idx="5">
                  <c:v>Olieafgrøder</c:v>
                </c:pt>
                <c:pt idx="6">
                  <c:v>Kartofler</c:v>
                </c:pt>
                <c:pt idx="7">
                  <c:v>Korn</c:v>
                </c:pt>
                <c:pt idx="8">
                  <c:v>Mejeriprodukter</c:v>
                </c:pt>
                <c:pt idx="9">
                  <c:v>Fisk mm</c:v>
                </c:pt>
                <c:pt idx="10">
                  <c:v>Øvrige</c:v>
                </c:pt>
                <c:pt idx="11">
                  <c:v>Roer</c:v>
                </c:pt>
              </c:strCache>
            </c:strRef>
          </c:cat>
          <c:val>
            <c:numRef>
              <c:f>CONCITO!$E$18:$E$29</c:f>
              <c:numCache>
                <c:formatCode>#,##0.000</c:formatCode>
                <c:ptCount val="12"/>
                <c:pt idx="0">
                  <c:v>0.32429999999999998</c:v>
                </c:pt>
                <c:pt idx="1">
                  <c:v>1.4789708396899257</c:v>
                </c:pt>
                <c:pt idx="2">
                  <c:v>3.654108115551467</c:v>
                </c:pt>
                <c:pt idx="3">
                  <c:v>2.1699053488951431E-2</c:v>
                </c:pt>
                <c:pt idx="4">
                  <c:v>0.10932575033613341</c:v>
                </c:pt>
                <c:pt idx="5">
                  <c:v>-1.1364356732063328</c:v>
                </c:pt>
                <c:pt idx="6">
                  <c:v>1.765277402754017</c:v>
                </c:pt>
                <c:pt idx="7">
                  <c:v>10.337098879069501</c:v>
                </c:pt>
                <c:pt idx="8">
                  <c:v>2.1316857659999999</c:v>
                </c:pt>
                <c:pt idx="9">
                  <c:v>7.6169499999999995E-4</c:v>
                </c:pt>
                <c:pt idx="10">
                  <c:v>0.78236622704276404</c:v>
                </c:pt>
                <c:pt idx="11">
                  <c:v>0.49133266422523447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8-48D7-947F-87AF01A018FD}"/>
            </c:ext>
          </c:extLst>
        </c:ser>
        <c:ser>
          <c:idx val="1"/>
          <c:order val="1"/>
          <c:tx>
            <c:strRef>
              <c:f>CONCITO!$F$17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CONCITO!$B$18:$B$29</c:f>
              <c:strCache>
                <c:ptCount val="12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Grøntsager</c:v>
                </c:pt>
                <c:pt idx="5">
                  <c:v>Olieafgrøder</c:v>
                </c:pt>
                <c:pt idx="6">
                  <c:v>Kartofler</c:v>
                </c:pt>
                <c:pt idx="7">
                  <c:v>Korn</c:v>
                </c:pt>
                <c:pt idx="8">
                  <c:v>Mejeriprodukter</c:v>
                </c:pt>
                <c:pt idx="9">
                  <c:v>Fisk mm</c:v>
                </c:pt>
                <c:pt idx="10">
                  <c:v>Øvrige</c:v>
                </c:pt>
                <c:pt idx="11">
                  <c:v>Roer</c:v>
                </c:pt>
              </c:strCache>
            </c:strRef>
          </c:cat>
          <c:val>
            <c:numRef>
              <c:f>CONCITO!$F$18:$F$29</c:f>
              <c:numCache>
                <c:formatCode>#,##0.000</c:formatCode>
                <c:ptCount val="12"/>
                <c:pt idx="0">
                  <c:v>0.3114650872456719</c:v>
                </c:pt>
                <c:pt idx="1">
                  <c:v>1.464652611609645</c:v>
                </c:pt>
                <c:pt idx="2">
                  <c:v>3.1935558488242162</c:v>
                </c:pt>
                <c:pt idx="3">
                  <c:v>2.1426655302425702E-2</c:v>
                </c:pt>
                <c:pt idx="4">
                  <c:v>0.11041963571167845</c:v>
                </c:pt>
                <c:pt idx="5">
                  <c:v>-0.93573776193929703</c:v>
                </c:pt>
                <c:pt idx="6">
                  <c:v>1.6795125222681087</c:v>
                </c:pt>
                <c:pt idx="7">
                  <c:v>12.363281400084265</c:v>
                </c:pt>
                <c:pt idx="8">
                  <c:v>2.0712804621566816</c:v>
                </c:pt>
                <c:pt idx="9">
                  <c:v>8.8654299999999994E-4</c:v>
                </c:pt>
                <c:pt idx="10">
                  <c:v>0.76249699895424183</c:v>
                </c:pt>
                <c:pt idx="11">
                  <c:v>0.54917910516918844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78-48D7-947F-87AF01A01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1539391"/>
        <c:axId val="1081987999"/>
      </c:barChart>
      <c:catAx>
        <c:axId val="1371539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1987999"/>
        <c:crosses val="autoZero"/>
        <c:auto val="1"/>
        <c:lblAlgn val="ctr"/>
        <c:lblOffset val="100"/>
        <c:noMultiLvlLbl val="0"/>
      </c:catAx>
      <c:valAx>
        <c:axId val="108198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Produktion minus forbrug[kcal]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539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Biomassekategori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CONCITO!$C$3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CONCITO!$B$4:$B$12</c:f>
              <c:strCache>
                <c:ptCount val="9"/>
                <c:pt idx="0">
                  <c:v>Bionedbrydeligt affald</c:v>
                </c:pt>
                <c:pt idx="1">
                  <c:v>Husdyrgødning</c:v>
                </c:pt>
                <c:pt idx="2">
                  <c:v>Glycerin</c:v>
                </c:pt>
                <c:pt idx="3">
                  <c:v>Græs og urter</c:v>
                </c:pt>
                <c:pt idx="4">
                  <c:v>Halm og strå</c:v>
                </c:pt>
                <c:pt idx="5">
                  <c:v>Havbiomasse</c:v>
                </c:pt>
                <c:pt idx="6">
                  <c:v>Vedmasse</c:v>
                </c:pt>
                <c:pt idx="7">
                  <c:v>Pyrolyseprodukter</c:v>
                </c:pt>
                <c:pt idx="8">
                  <c:v>Rapsolie</c:v>
                </c:pt>
              </c:strCache>
            </c:strRef>
          </c:cat>
          <c:val>
            <c:numRef>
              <c:f>CONCITO!$C$4:$C$12</c:f>
              <c:numCache>
                <c:formatCode>#,##0</c:formatCode>
                <c:ptCount val="9"/>
                <c:pt idx="0">
                  <c:v>4698263.1968560591</c:v>
                </c:pt>
                <c:pt idx="1">
                  <c:v>1352218.0071428572</c:v>
                </c:pt>
                <c:pt idx="2">
                  <c:v>-142742</c:v>
                </c:pt>
                <c:pt idx="3">
                  <c:v>6999835.1830202974</c:v>
                </c:pt>
                <c:pt idx="4">
                  <c:v>4402957.5587320747</c:v>
                </c:pt>
                <c:pt idx="5">
                  <c:v>956.59999999999991</c:v>
                </c:pt>
                <c:pt idx="6">
                  <c:v>3220159.2034965986</c:v>
                </c:pt>
                <c:pt idx="7">
                  <c:v>0</c:v>
                </c:pt>
                <c:pt idx="8">
                  <c:v>217064.073123599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CE-4618-B54A-496ADF74DB98}"/>
            </c:ext>
          </c:extLst>
        </c:ser>
        <c:ser>
          <c:idx val="1"/>
          <c:order val="1"/>
          <c:tx>
            <c:strRef>
              <c:f>CONCITO!$D$3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CONCITO!$B$4:$B$12</c:f>
              <c:strCache>
                <c:ptCount val="9"/>
                <c:pt idx="0">
                  <c:v>Bionedbrydeligt affald</c:v>
                </c:pt>
                <c:pt idx="1">
                  <c:v>Husdyrgødning</c:v>
                </c:pt>
                <c:pt idx="2">
                  <c:v>Glycerin</c:v>
                </c:pt>
                <c:pt idx="3">
                  <c:v>Græs og urter</c:v>
                </c:pt>
                <c:pt idx="4">
                  <c:v>Halm og strå</c:v>
                </c:pt>
                <c:pt idx="5">
                  <c:v>Havbiomasse</c:v>
                </c:pt>
                <c:pt idx="6">
                  <c:v>Vedmasse</c:v>
                </c:pt>
                <c:pt idx="7">
                  <c:v>Pyrolyseprodukter</c:v>
                </c:pt>
                <c:pt idx="8">
                  <c:v>Rapsolie</c:v>
                </c:pt>
              </c:strCache>
            </c:strRef>
          </c:cat>
          <c:val>
            <c:numRef>
              <c:f>CONCITO!$D$4:$D$12</c:f>
              <c:numCache>
                <c:formatCode>#,##0</c:formatCode>
                <c:ptCount val="9"/>
                <c:pt idx="0">
                  <c:v>1835619.2540496881</c:v>
                </c:pt>
                <c:pt idx="1">
                  <c:v>178923.74622928072</c:v>
                </c:pt>
                <c:pt idx="2">
                  <c:v>-142742</c:v>
                </c:pt>
                <c:pt idx="3">
                  <c:v>6777425.1485133301</c:v>
                </c:pt>
                <c:pt idx="4">
                  <c:v>6832788.1145816427</c:v>
                </c:pt>
                <c:pt idx="5">
                  <c:v>1262.5999999999999</c:v>
                </c:pt>
                <c:pt idx="6">
                  <c:v>3138071.7453591116</c:v>
                </c:pt>
                <c:pt idx="7">
                  <c:v>0</c:v>
                </c:pt>
                <c:pt idx="8">
                  <c:v>215041.6251179617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CE-4618-B54A-496ADF74D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1544671"/>
        <c:axId val="1419536640"/>
      </c:barChart>
      <c:catAx>
        <c:axId val="1371544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9536640"/>
        <c:crosses val="autoZero"/>
        <c:auto val="1"/>
        <c:lblAlgn val="ctr"/>
        <c:lblOffset val="100"/>
        <c:noMultiLvlLbl val="0"/>
      </c:catAx>
      <c:valAx>
        <c:axId val="14195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Produktion</a:t>
                </a:r>
                <a:r>
                  <a:rPr lang="en-US" baseline="0"/>
                  <a:t> minus forbrug[ton]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544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70594.781553755733</c:v>
                </c:pt>
                <c:pt idx="5">
                  <c:v>67285.125780707793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2189034.0302520012</c:v>
                </c:pt>
                <c:pt idx="2">
                  <c:v>2591309.4281482003</c:v>
                </c:pt>
                <c:pt idx="15">
                  <c:v>823764.99285714305</c:v>
                </c:pt>
                <c:pt idx="16">
                  <c:v>276235.24667465733</c:v>
                </c:pt>
                <c:pt idx="17">
                  <c:v>108999.52356496397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6782.1960455237531</c:v>
                </c:pt>
                <c:pt idx="2">
                  <c:v>8404.7671078658768</c:v>
                </c:pt>
                <c:pt idx="15">
                  <c:v>4441.5</c:v>
                </c:pt>
                <c:pt idx="16">
                  <c:v>2260.7320151745844</c:v>
                </c:pt>
                <c:pt idx="17">
                  <c:v>933.86301198509727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85676.999999999956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13394379.31674801</c:v>
                </c:pt>
                <c:pt idx="5">
                  <c:v>12766418.101253457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75933.999999999971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846156.89556793321</c:v>
                </c:pt>
                <c:pt idx="5">
                  <c:v>806486.99373265042</c:v>
                </c:pt>
                <c:pt idx="9">
                  <c:v>1895494.5192748301</c:v>
                </c:pt>
                <c:pt idx="10">
                  <c:v>3440673.5939957332</c:v>
                </c:pt>
                <c:pt idx="11">
                  <c:v>3943177.206576285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750000</c:v>
                </c:pt>
                <c:pt idx="2">
                  <c:v>980000</c:v>
                </c:pt>
                <c:pt idx="9">
                  <c:v>982731</c:v>
                </c:pt>
                <c:pt idx="10">
                  <c:v>232809.00000000006</c:v>
                </c:pt>
                <c:pt idx="11">
                  <c:v>2808.9999999999418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5284803.7857603254</c:v>
                </c:pt>
                <c:pt idx="5">
                  <c:v>5037039.2771946527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3786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6434910.4352402603</c:v>
                </c:pt>
                <c:pt idx="5">
                  <c:v>6133226.1180386841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10429714.413001494</c:v>
                </c:pt>
                <c:pt idx="2">
                  <c:v>12276506.618354084</c:v>
                </c:pt>
                <c:pt idx="15">
                  <c:v>9696490.333333334</c:v>
                </c:pt>
                <c:pt idx="16">
                  <c:v>3476571.4710004977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1658977.3665132597</c:v>
                </c:pt>
                <c:pt idx="5">
                  <c:v>1581200.4558466333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330026.00000000006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6191750.632110659</c:v>
                </c:pt>
                <c:pt idx="5">
                  <c:v>5901466.2403495796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678325.22851124685</c:v>
                </c:pt>
                <c:pt idx="19">
                  <c:v>697432.39568518498</c:v>
                </c:pt>
                <c:pt idx="20">
                  <c:v>672005.07849363028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28644.999999999993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920673.60943023092</c:v>
                </c:pt>
                <c:pt idx="5">
                  <c:v>877510.18205673085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43141.255393961845</c:v>
                </c:pt>
                <c:pt idx="5">
                  <c:v>41118.687977099209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5488473.8162016999</c:v>
                </c:pt>
                <c:pt idx="2">
                  <c:v>6859902.6806595214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12485034.123782061</c:v>
                </c:pt>
                <c:pt idx="2">
                  <c:v>13384026.259465635</c:v>
                </c:pt>
                <c:pt idx="15">
                  <c:v>14742130.666666664</c:v>
                </c:pt>
                <c:pt idx="16">
                  <c:v>4161678.0412606872</c:v>
                </c:pt>
                <c:pt idx="17">
                  <c:v>1487114.0288295147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209867.13867694439</c:v>
                </c:pt>
                <c:pt idx="10">
                  <c:v>209871.78410050535</c:v>
                </c:pt>
                <c:pt idx="11">
                  <c:v>183432.40969824954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3010292.0648196544</c:v>
                </c:pt>
                <c:pt idx="10">
                  <c:v>2864790.7596825948</c:v>
                </c:pt>
                <c:pt idx="11">
                  <c:v>2925496.1196818841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234335.4554353836</c:v>
                </c:pt>
                <c:pt idx="5">
                  <c:v>223349.23696651615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112873.31802427149</c:v>
                </c:pt>
                <c:pt idx="10">
                  <c:v>223178.36661925918</c:v>
                </c:pt>
                <c:pt idx="11">
                  <c:v>215041.6251179617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23357523.299669795</c:v>
                </c:pt>
                <c:pt idx="17">
                  <c:v>26291745.297047496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944817.29105430027</c:v>
                </c:pt>
                <c:pt idx="16">
                  <c:v>925665.22791706468</c:v>
                </c:pt>
                <c:pt idx="17">
                  <c:v>764553.83032718813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827707.93518034508</c:v>
                </c:pt>
                <c:pt idx="13">
                  <c:v>788679.64758670493</c:v>
                </c:pt>
                <c:pt idx="14">
                  <c:v>840705.04818703001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1586773526891476"/>
          <c:h val="0.83422694731251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214730.89604157759</c:v>
                </c:pt>
                <c:pt idx="2">
                  <c:v>242414.90437786453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925665.22791706468</c:v>
                </c:pt>
                <c:pt idx="2">
                  <c:v>764553.83032718813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438365.53046636889</c:v>
                </c:pt>
                <c:pt idx="2">
                  <c:v>460568.82999267662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5284803.7857603254</c:v>
                </c:pt>
                <c:pt idx="2">
                  <c:v>5037039.2771946527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56-4810-9F97-DD8B1E41E1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221734.27469450119</c:v>
                </c:pt>
                <c:pt idx="2">
                  <c:v>210893.10462341903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5592870.5868648645</c:v>
                </c:pt>
                <c:pt idx="2">
                  <c:v>7026345.0921613742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453442.76340934308</c:v>
                </c:pt>
                <c:pt idx="2">
                  <c:v>178923.74622928078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1536609.9114825001</c:v>
                </c:pt>
                <c:pt idx="2">
                  <c:v>1433074.1712037951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4574065.475491859</c:v>
                </c:pt>
                <c:pt idx="2">
                  <c:v>2982756.1787720933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718058.01774869044</c:v>
                </c:pt>
                <c:pt idx="2">
                  <c:v>700822.02997791977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2074886.4977874923</c:v>
                </c:pt>
                <c:pt idx="2">
                  <c:v>1912897.876041021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2389282.9756574854</c:v>
                </c:pt>
                <c:pt idx="2">
                  <c:v>2313891.3389375592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77227.032746996076</c:v>
                </c:pt>
                <c:pt idx="2">
                  <c:v>122753.48159481354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2001163.0190917293</c:v>
                </c:pt>
                <c:pt idx="2">
                  <c:v>1964071.9525106091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1794004.4501021868</c:v>
                </c:pt>
                <c:pt idx="2">
                  <c:v>1830597.0172306281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208732.58409629596</c:v>
                </c:pt>
                <c:pt idx="2">
                  <c:v>193960.34098460112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99849.781295313049</c:v>
                </c:pt>
                <c:pt idx="2">
                  <c:v>89083.545536354475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1294298.8490218334</c:v>
                </c:pt>
                <c:pt idx="2">
                  <c:v>1143799.9939275736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933739.34333929513</c:v>
                </c:pt>
                <c:pt idx="2">
                  <c:v>886511.28127233672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2055003.2426024945</c:v>
                </c:pt>
                <c:pt idx="2">
                  <c:v>1955120.5101390816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114380.74240720889</c:v>
                </c:pt>
                <c:pt idx="2">
                  <c:v>112653.30228029896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413721721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14.678649289287103</c:v>
                </c:pt>
                <c:pt idx="2">
                  <c:v>10.068588212156007</c:v>
                </c:pt>
                <c:pt idx="3">
                  <c:v>7.483154704207001</c:v>
                </c:pt>
                <c:pt idx="4">
                  <c:v>4.0123558190228108</c:v>
                </c:pt>
                <c:pt idx="5">
                  <c:v>5.0872686366759083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20.46888379301523</c:v>
                </c:pt>
                <c:pt idx="2">
                  <c:v>17.507230362576006</c:v>
                </c:pt>
                <c:pt idx="3">
                  <c:v>1.420171986175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43.745095635723615</c:v>
                </c:pt>
                <c:pt idx="2">
                  <c:v>48.680669859134994</c:v>
                </c:pt>
                <c:pt idx="3">
                  <c:v>0.45076703431999982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1.1331835E-3</c:v>
                </c:pt>
                <c:pt idx="2">
                  <c:v>1.1331835E-3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0.9767157123837249</c:v>
                </c:pt>
                <c:pt idx="2">
                  <c:v>0.38540174937787086</c:v>
                </c:pt>
                <c:pt idx="3">
                  <c:v>5.0922829580050024</c:v>
                </c:pt>
                <c:pt idx="4">
                  <c:v>15.376338739383602</c:v>
                </c:pt>
                <c:pt idx="5">
                  <c:v>17.565716583876835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7.8112428316740701</c:v>
                </c:pt>
                <c:pt idx="2">
                  <c:v>7.5264568791286592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45.382683089213458</c:v>
                </c:pt>
                <c:pt idx="2">
                  <c:v>45.77603591800802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1137423.5648385542</c:v>
                </c:pt>
                <c:pt idx="2">
                  <c:v>1150052.3061987155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2239888.1288856766</c:v>
                </c:pt>
                <c:pt idx="2">
                  <c:v>1790512.7192554944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3665250.2773501943</c:v>
                </c:pt>
                <c:pt idx="2">
                  <c:v>4069006.9406604851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189.39</c:v>
                </c:pt>
                <c:pt idx="2">
                  <c:v>189.39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2210080.3180264877</c:v>
                </c:pt>
                <c:pt idx="2">
                  <c:v>2433815.2686092323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1503974.5536280596</c:v>
                </c:pt>
                <c:pt idx="2">
                  <c:v>1523026.0725507722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174</xdr:row>
      <xdr:rowOff>51954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5197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17033" y="3773981"/>
          <a:ext cx="11862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5745" y="179294"/>
          <a:ext cx="1200897" cy="380377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499412" y="200025"/>
          <a:ext cx="1190064" cy="38268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72380" y="212912"/>
          <a:ext cx="1213437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46722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304800</xdr:colOff>
      <xdr:row>27</xdr:row>
      <xdr:rowOff>57150</xdr:rowOff>
    </xdr:from>
    <xdr:to>
      <xdr:col>15</xdr:col>
      <xdr:colOff>0</xdr:colOff>
      <xdr:row>46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A8618B-1C74-2AB3-AEBD-D0A295DED6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485775</xdr:colOff>
      <xdr:row>27</xdr:row>
      <xdr:rowOff>76200</xdr:rowOff>
    </xdr:from>
    <xdr:to>
      <xdr:col>23</xdr:col>
      <xdr:colOff>180975</xdr:colOff>
      <xdr:row>46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9E446B5-F1EC-8B8B-93F2-5733BC9E0A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100011</xdr:colOff>
      <xdr:row>0</xdr:row>
      <xdr:rowOff>28575</xdr:rowOff>
    </xdr:from>
    <xdr:to>
      <xdr:col>16</xdr:col>
      <xdr:colOff>504824</xdr:colOff>
      <xdr:row>19</xdr:row>
      <xdr:rowOff>19049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FD2608D-C157-7836-93F0-61D3DC2312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uliusLindbergSteens\Documents\Git_repositories\DK-BioRES\DK-BioRes.xlsm" TargetMode="External"/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  <sheetName val="kcal"/>
    </sheetNames>
    <sheetDataSet>
      <sheetData sheetId="0"/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0.17060507458971214</v>
          </cell>
          <cell r="I87">
            <v>0.17060507458971214</v>
          </cell>
          <cell r="J87">
            <v>0.17060507458971214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0.22563896961865154</v>
          </cell>
          <cell r="I88">
            <v>0.22563896961865154</v>
          </cell>
          <cell r="J88">
            <v>0.22563896961865154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2.051145640608</v>
          </cell>
          <cell r="I91">
            <v>2.051145640608</v>
          </cell>
          <cell r="J91">
            <v>2.051145640608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1.1188067130589092</v>
          </cell>
          <cell r="I92">
            <v>1.1188067130589092</v>
          </cell>
          <cell r="J92">
            <v>1.1188067130589092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/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</row>
        <row r="12">
          <cell r="C12" t="str">
            <v>Frø</v>
          </cell>
        </row>
        <row r="13">
          <cell r="C13" t="str">
            <v>Juletræer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</sheetData>
      <sheetData sheetId="10"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</sheetData>
      <sheetData sheetId="12"/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</sheetData>
      <sheetData sheetId="14"/>
      <sheetData sheetId="15"/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  <sheetData sheetId="19">
        <row r="2">
          <cell r="A2" t="str">
            <v>Æg</v>
          </cell>
          <cell r="B2" t="str">
            <v>Friske æg (kun hele æg)</v>
          </cell>
          <cell r="C2">
            <v>138</v>
          </cell>
        </row>
        <row r="3">
          <cell r="A3" t="str">
            <v>Bælgsæd</v>
          </cell>
          <cell r="B3" t="str">
            <v>Friske bælgplanter</v>
          </cell>
          <cell r="C3">
            <v>694.5</v>
          </cell>
        </row>
        <row r="4">
          <cell r="A4" t="str">
            <v>Bioaffald</v>
          </cell>
          <cell r="B4" t="str">
            <v>-</v>
          </cell>
        </row>
        <row r="5">
          <cell r="A5" t="str">
            <v>Biogas</v>
          </cell>
          <cell r="B5" t="str">
            <v>-</v>
          </cell>
        </row>
        <row r="6">
          <cell r="A6" t="str">
            <v>Biogasgylle</v>
          </cell>
          <cell r="B6" t="str">
            <v>-</v>
          </cell>
        </row>
        <row r="7">
          <cell r="A7" t="str">
            <v>Brun saft</v>
          </cell>
          <cell r="B7" t="str">
            <v>-</v>
          </cell>
        </row>
        <row r="8">
          <cell r="A8" t="str">
            <v>Dybstrøelse</v>
          </cell>
          <cell r="B8" t="str">
            <v>-</v>
          </cell>
        </row>
        <row r="9">
          <cell r="A9" t="str">
            <v>Fiberfraktion</v>
          </cell>
          <cell r="B9" t="str">
            <v>-</v>
          </cell>
        </row>
        <row r="10">
          <cell r="A10" t="str">
            <v>Fjerkrægylle</v>
          </cell>
          <cell r="B10" t="str">
            <v>-</v>
          </cell>
        </row>
        <row r="11">
          <cell r="A11" t="str">
            <v>Fjerkrækød</v>
          </cell>
          <cell r="B11" t="str">
            <v>Høns og kylling (kun "rå")</v>
          </cell>
          <cell r="C11">
            <v>152</v>
          </cell>
        </row>
        <row r="12">
          <cell r="A12" t="str">
            <v>Frø</v>
          </cell>
          <cell r="B12" t="str">
            <v>Fedtrige frø</v>
          </cell>
          <cell r="C12">
            <v>559</v>
          </cell>
        </row>
        <row r="13">
          <cell r="A13" t="str">
            <v>Frugt</v>
          </cell>
          <cell r="B13" t="str">
            <v>Kernefrugt (her valgt æble og pære)</v>
          </cell>
          <cell r="C13">
            <v>52</v>
          </cell>
        </row>
        <row r="14">
          <cell r="A14" t="str">
            <v>Glycerin</v>
          </cell>
          <cell r="B14" t="str">
            <v>-</v>
          </cell>
        </row>
        <row r="15">
          <cell r="A15" t="str">
            <v>Græs</v>
          </cell>
          <cell r="C15">
            <v>17</v>
          </cell>
        </row>
        <row r="16">
          <cell r="A16" t="str">
            <v>Græsprotein</v>
          </cell>
          <cell r="B16" t="str">
            <v>-</v>
          </cell>
        </row>
        <row r="17">
          <cell r="A17" t="str">
            <v>Grøntsager</v>
          </cell>
          <cell r="B17" t="str">
            <v>Rod- og knoldgrøntsager + Blad- og stængelgrøntsager</v>
          </cell>
          <cell r="C17">
            <v>39</v>
          </cell>
        </row>
        <row r="18">
          <cell r="A18" t="str">
            <v>Halm</v>
          </cell>
          <cell r="B18" t="str">
            <v>-</v>
          </cell>
        </row>
        <row r="19">
          <cell r="A19" t="str">
            <v>Have/parkaffald</v>
          </cell>
          <cell r="B19" t="str">
            <v>-</v>
          </cell>
        </row>
        <row r="20">
          <cell r="A20" t="str">
            <v>Import af foder</v>
          </cell>
          <cell r="B20" t="str">
            <v>-</v>
          </cell>
          <cell r="C20">
            <v>57</v>
          </cell>
        </row>
        <row r="21">
          <cell r="A21" t="str">
            <v>Industriaffald</v>
          </cell>
          <cell r="B21" t="str">
            <v>-</v>
          </cell>
        </row>
        <row r="22">
          <cell r="A22" t="str">
            <v>Juletræer</v>
          </cell>
          <cell r="B22" t="str">
            <v>-</v>
          </cell>
        </row>
        <row r="23">
          <cell r="A23" t="str">
            <v>Kartofler</v>
          </cell>
          <cell r="B23" t="str">
            <v>Rod- og knoldgrøntsager (kun kartoffel + rå)</v>
          </cell>
          <cell r="C23">
            <v>78</v>
          </cell>
        </row>
        <row r="24">
          <cell r="A24" t="str">
            <v>Korn</v>
          </cell>
          <cell r="B24" t="str">
            <v>Korn og gryn (Havregryn, hvedekim, hvedegryn)</v>
          </cell>
          <cell r="C24">
            <v>366</v>
          </cell>
        </row>
        <row r="25">
          <cell r="A25" t="str">
            <v>Kunstgødning</v>
          </cell>
          <cell r="B25" t="str">
            <v>-</v>
          </cell>
        </row>
        <row r="26">
          <cell r="A26" t="str">
            <v>Kvæggylle</v>
          </cell>
          <cell r="B26" t="str">
            <v>-</v>
          </cell>
        </row>
        <row r="27">
          <cell r="A27" t="str">
            <v>Mælk til foder</v>
          </cell>
          <cell r="B27" t="str">
            <v>-</v>
          </cell>
        </row>
        <row r="28">
          <cell r="A28" t="str">
            <v>Majs</v>
          </cell>
          <cell r="B28" t="str">
            <v>Frugt-grøntsager (majskolbe rå)</v>
          </cell>
          <cell r="C28">
            <v>91</v>
          </cell>
        </row>
        <row r="29">
          <cell r="A29" t="str">
            <v>Mejeriprodukter</v>
          </cell>
          <cell r="B29" t="str">
            <v>Usyrnede mækeprodukter (sødmælk konventionel, sødmælk økologisk)</v>
          </cell>
          <cell r="C29">
            <v>63</v>
          </cell>
        </row>
        <row r="30">
          <cell r="A30" t="str">
            <v>Muslinger</v>
          </cell>
          <cell r="B30" t="str">
            <v>Bløddyr og produkter heraf (musling rå)</v>
          </cell>
          <cell r="C30">
            <v>83</v>
          </cell>
        </row>
        <row r="31">
          <cell r="A31" t="str">
            <v>Oksekød</v>
          </cell>
          <cell r="B31" t="str">
            <v>Oksekød</v>
          </cell>
          <cell r="C31">
            <v>195</v>
          </cell>
        </row>
        <row r="32">
          <cell r="A32" t="str">
            <v>Øvrige</v>
          </cell>
          <cell r="B32" t="str">
            <v>(antaget lig med grøntsager)</v>
          </cell>
          <cell r="C32">
            <v>39</v>
          </cell>
        </row>
        <row r="33">
          <cell r="A33" t="str">
            <v>Pil &amp; poppel</v>
          </cell>
          <cell r="B33" t="str">
            <v>-</v>
          </cell>
        </row>
        <row r="34">
          <cell r="A34" t="str">
            <v>Pyrolysegas</v>
          </cell>
          <cell r="B34" t="str">
            <v>-</v>
          </cell>
        </row>
        <row r="35">
          <cell r="A35" t="str">
            <v>Pyrolyseolie</v>
          </cell>
          <cell r="B35" t="str">
            <v>-</v>
          </cell>
        </row>
        <row r="36">
          <cell r="A36" t="str">
            <v>Råmælk</v>
          </cell>
          <cell r="B36" t="str">
            <v>Antaget lig med mejeriprodukter</v>
          </cell>
          <cell r="C36">
            <v>63</v>
          </cell>
        </row>
        <row r="37">
          <cell r="A37" t="str">
            <v>Raps</v>
          </cell>
        </row>
        <row r="38">
          <cell r="A38" t="str">
            <v>Rapskage</v>
          </cell>
        </row>
        <row r="39">
          <cell r="A39" t="str">
            <v>Rapsolie</v>
          </cell>
          <cell r="B39" t="str">
            <v>(søgt på rapsolie)</v>
          </cell>
          <cell r="C39">
            <v>900</v>
          </cell>
        </row>
        <row r="40">
          <cell r="A40" t="str">
            <v>Roer</v>
          </cell>
          <cell r="B40" t="str">
            <v>(majroe + kålrabi)</v>
          </cell>
          <cell r="C40">
            <v>30</v>
          </cell>
        </row>
        <row r="41">
          <cell r="A41" t="str">
            <v>Slagteriaffald til andet</v>
          </cell>
          <cell r="B41" t="str">
            <v>-</v>
          </cell>
        </row>
        <row r="42">
          <cell r="A42" t="str">
            <v>Slagteriaffald til foder</v>
          </cell>
          <cell r="B42" t="str">
            <v>-</v>
          </cell>
        </row>
        <row r="43">
          <cell r="A43" t="str">
            <v>Spildevandsslam</v>
          </cell>
          <cell r="B43" t="str">
            <v>-</v>
          </cell>
        </row>
        <row r="44">
          <cell r="A44" t="str">
            <v>Svinegylle</v>
          </cell>
          <cell r="B44" t="str">
            <v>-</v>
          </cell>
        </row>
        <row r="45">
          <cell r="A45" t="str">
            <v>Svinekød</v>
          </cell>
          <cell r="B45" t="str">
            <v>Svinekød (Gris)</v>
          </cell>
          <cell r="C45">
            <v>195</v>
          </cell>
        </row>
        <row r="46">
          <cell r="A46" t="str">
            <v>Tang</v>
          </cell>
          <cell r="B46" t="str">
            <v>(søgt på tang)</v>
          </cell>
          <cell r="C46">
            <v>40.799999999999997</v>
          </cell>
        </row>
        <row r="47">
          <cell r="A47" t="str">
            <v>Total til biogas</v>
          </cell>
          <cell r="B47" t="str">
            <v>-</v>
          </cell>
        </row>
        <row r="48">
          <cell r="A48" t="str">
            <v>Træ til energi</v>
          </cell>
          <cell r="B48" t="str">
            <v>-</v>
          </cell>
        </row>
        <row r="49">
          <cell r="A49" t="str">
            <v>Træmaterialer</v>
          </cell>
          <cell r="B49" t="str">
            <v>-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197337962" createdVersion="7" refreshedVersion="8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1610883.0728686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197569447" createdVersion="6" refreshedVersion="8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197685186" createdVersion="6" refreshedVersion="8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780.226177538038" maxValue="15769668.3371752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19791667" createdVersion="6" refreshedVersion="8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6024.05830682674"/>
    </cacheField>
    <cacheField name="Udbytte, hovedafgrøde" numFmtId="0">
      <sharedItems containsSemiMixedTypes="0" containsString="0" containsNumber="1" minValue="0" maxValue="9409787.8886368591"/>
    </cacheField>
    <cacheField name="Halmudbytte" numFmtId="0">
      <sharedItems containsSemiMixedTypes="0" containsString="0" containsNumber="1" minValue="0" maxValue="2806351.2692099959"/>
    </cacheField>
    <cacheField name="Potentielt til bioenergi" numFmtId="1">
      <sharedItems containsSemiMixedTypes="0" containsString="0" containsNumber="1" minValue="0" maxValue="9409787.88863685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198032409" createdVersion="7" refreshedVersion="8" minRefreshableVersion="3" recordCount="288" xr:uid="{E73CE649-34D2-4547-A4AF-B1792D0E11FA}">
  <cacheSource type="worksheet">
    <worksheetSource ref="A3:Z291" sheet="Resultat-Produktion &amp; forbrug"/>
  </cacheSource>
  <cacheFields count="27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3663167.57084477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690156.331739446"/>
    </cacheField>
    <cacheField name="Gødning" numFmtId="0">
      <sharedItems containsSemiMixedTypes="0" containsString="0" containsNumber="1" minValue="0" maxValue="21610883.072868608"/>
    </cacheField>
    <cacheField name="Energi" numFmtId="0">
      <sharedItems containsSemiMixedTypes="0" containsString="0" containsNumber="1" minValue="0" maxValue="563663167.57084477"/>
    </cacheField>
    <cacheField name="Materialer og processer" numFmtId="0">
      <sharedItems containsSemiMixedTypes="0" containsString="0" containsNumber="1" minValue="0" maxValue="659548.66396073136"/>
    </cacheField>
    <cacheField name="Produktion minus forbrug [ton]" numFmtId="3">
      <sharedItems containsSemiMixedTypes="0" containsString="0" containsNumber="1" minValue="-4828427.5390456235" maxValue="5775406.7103858478"/>
    </cacheField>
    <cacheField name="Potentiale til energi [ton]" numFmtId="3">
      <sharedItems containsSemiMixedTypes="0" containsString="0" containsNumber="1" minValue="0" maxValue="3833646.2930569407"/>
    </cacheField>
    <cacheField name="Forbrug energi [ton/m3]" numFmtId="3">
      <sharedItems containsSemiMixedTypes="0" containsString="0" containsNumber="1" minValue="0" maxValue="563663167.57084477"/>
    </cacheField>
    <cacheField name="Potentiale til energi [PJ]" numFmtId="0">
      <sharedItems containsSemiMixedTypes="0" containsString="0" containsNumber="1" minValue="0" maxValue="7.1841752385393089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5.8018818757731268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1073420.9620559434"/>
    </cacheField>
    <cacheField name="Forbrug/potentiale [Ton TS]" numFmtId="0">
      <sharedItems containsSemiMixedTypes="0" containsString="0" containsNumber="1" minValue="0" maxValue="2228396.0790854068"/>
    </cacheField>
    <cacheField name="Biogasproduktion [Ton TS]" numFmtId="0">
      <sharedItems containsSemiMixedTypes="0" containsString="0" containsNumber="1" minValue="0" maxValue="871101.804774408"/>
    </cacheField>
    <cacheField name="Biomasser til energi eksl. biogas [Ton TS]" numFmtId="0">
      <sharedItems containsSemiMixedTypes="0" containsString="0" containsNumber="1" minValue="0" maxValue="2228396.0790854068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198263886" createdVersion="7" refreshedVersion="8" minRefreshableVersion="3" recordCount="288" xr:uid="{DB7E48C5-4053-49AC-B0E7-43CEB6C0C35A}">
  <cacheSource type="worksheet">
    <worksheetSource ref="A3:AA291" sheet="Resultat-Produktion &amp; forbrug"/>
  </cacheSource>
  <cacheFields count="27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3663167.57084477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690156.331739446"/>
    </cacheField>
    <cacheField name="Gødning" numFmtId="0">
      <sharedItems containsSemiMixedTypes="0" containsString="0" containsNumber="1" minValue="0" maxValue="21610883.072868608"/>
    </cacheField>
    <cacheField name="Energi" numFmtId="0">
      <sharedItems containsSemiMixedTypes="0" containsString="0" containsNumber="1" minValue="0" maxValue="563663167.57084477"/>
    </cacheField>
    <cacheField name="Materialer og processer" numFmtId="0">
      <sharedItems containsSemiMixedTypes="0" containsString="0" containsNumber="1" minValue="0" maxValue="659548.66396073136"/>
    </cacheField>
    <cacheField name="Produktion minus forbrug [ton]" numFmtId="3">
      <sharedItems containsSemiMixedTypes="0" containsString="0" containsNumber="1" minValue="-4828427.5390456235" maxValue="5775406.7103858478"/>
    </cacheField>
    <cacheField name="Potentiale til energi [ton]" numFmtId="3">
      <sharedItems containsSemiMixedTypes="0" containsString="0" containsNumber="1" minValue="0" maxValue="3833646.2930569407"/>
    </cacheField>
    <cacheField name="Forbrug energi [ton/m3]" numFmtId="3">
      <sharedItems containsSemiMixedTypes="0" containsString="0" containsNumber="1" minValue="0" maxValue="563663167.57084477"/>
    </cacheField>
    <cacheField name="Potentiale til energi [PJ]" numFmtId="0">
      <sharedItems containsSemiMixedTypes="0" containsString="0" containsNumber="1" minValue="0" maxValue="7.1841752385393089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5.8018818757731268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1073420.9620559434"/>
    </cacheField>
    <cacheField name="Forbrug/potentiale [Ton TS]" numFmtId="0">
      <sharedItems containsSemiMixedTypes="0" containsString="0" containsNumber="1" minValue="0" maxValue="2228396.0790854068"/>
    </cacheField>
    <cacheField name="Biogasproduktion [Ton TS]" numFmtId="0">
      <sharedItems containsSemiMixedTypes="0" containsString="0" containsNumber="1" minValue="0" maxValue="871101.804774408"/>
    </cacheField>
    <cacheField name="Biomasser til energi eksl. biogas [Ton TS]" numFmtId="0">
      <sharedItems containsSemiMixedTypes="0" containsString="0" containsNumber="1" minValue="0" maxValue="2228396.0790854068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198495371" createdVersion="7" refreshedVersion="8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887651.1003491962" maxValue="11941424.383000549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19861111" createdVersion="6" refreshedVersion="8" minRefreshableVersion="3" recordCount="288" xr:uid="{822B5E33-E9A7-41DC-AB73-B52BC0B6315D}">
  <cacheSource type="worksheet">
    <worksheetSource ref="A3:Y291" sheet="Resultat-Produktion &amp; forbrug"/>
  </cacheSource>
  <cacheFields count="25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3663167.57084477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690156.331739446"/>
    </cacheField>
    <cacheField name="Gødning" numFmtId="0">
      <sharedItems containsSemiMixedTypes="0" containsString="0" containsNumber="1" minValue="0" maxValue="21610883.072868608"/>
    </cacheField>
    <cacheField name="Energi" numFmtId="0">
      <sharedItems containsSemiMixedTypes="0" containsString="0" containsNumber="1" minValue="0" maxValue="563663167.57084477"/>
    </cacheField>
    <cacheField name="Materialer og processer" numFmtId="0">
      <sharedItems containsSemiMixedTypes="0" containsString="0" containsNumber="1" minValue="0" maxValue="659548.66396073136"/>
    </cacheField>
    <cacheField name="Produktion minus forbrug [ton]" numFmtId="3">
      <sharedItems containsSemiMixedTypes="0" containsString="0" containsNumber="1" minValue="-4828427.5390456235" maxValue="5775406.7103858478"/>
    </cacheField>
    <cacheField name="Potentiale til energi [ton]" numFmtId="3">
      <sharedItems containsSemiMixedTypes="0" containsString="0" containsNumber="1" minValue="0" maxValue="3833646.2930569407"/>
    </cacheField>
    <cacheField name="Forbrug energi [ton/m3]" numFmtId="3">
      <sharedItems containsSemiMixedTypes="0" containsString="0" containsNumber="1" minValue="0" maxValue="563663167.57084477"/>
    </cacheField>
    <cacheField name="Potentiale til energi [PJ]" numFmtId="0">
      <sharedItems containsSemiMixedTypes="0" containsString="0" containsNumber="1" minValue="0" maxValue="7.1841752385393089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5.8018818757731268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1073420.9620559434"/>
    </cacheField>
    <cacheField name="Forbrug/potentiale [Ton TS]" numFmtId="0">
      <sharedItems containsSemiMixedTypes="0" containsString="0" containsNumber="1" minValue="0" maxValue="2228396.0790854068"/>
    </cacheField>
    <cacheField name="Biogasproduktion [Ton TS]" numFmtId="0">
      <sharedItems containsSemiMixedTypes="0" containsString="0" containsNumber="1" minValue="0" maxValue="871101.804774408"/>
    </cacheField>
    <cacheField name="Biomasser til energi eksl. biogas [Ton TS]" numFmtId="0">
      <sharedItems containsSemiMixedTypes="0" containsString="0" containsNumber="1" minValue="0" maxValue="2228396.07908540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0904939.805455904"/>
  </r>
  <r>
    <x v="1"/>
    <s v="Vestdanmark"/>
    <x v="15"/>
    <x v="1"/>
    <n v="9737622.5335018374"/>
  </r>
  <r>
    <x v="1"/>
    <s v="Vestdanmark"/>
    <x v="16"/>
    <x v="1"/>
    <n v="6257.0446016591122"/>
  </r>
  <r>
    <x v="1"/>
    <s v="Vestdanmark"/>
    <x v="17"/>
    <x v="1"/>
    <n v="2980433.248128525"/>
  </r>
  <r>
    <x v="1"/>
    <s v="Vestdanmark"/>
    <x v="18"/>
    <x v="1"/>
    <n v="0"/>
  </r>
  <r>
    <x v="1"/>
    <s v="Vestdanmark"/>
    <x v="19"/>
    <x v="1"/>
    <n v="0"/>
  </r>
  <r>
    <x v="1"/>
    <s v="Vestdanmark"/>
    <x v="20"/>
    <x v="1"/>
    <n v="1929250.7965815454"/>
  </r>
  <r>
    <x v="1"/>
    <s v="Vestdanmark"/>
    <x v="21"/>
    <x v="1"/>
    <n v="0"/>
  </r>
  <r>
    <x v="1"/>
    <s v="Vestdanmark"/>
    <x v="22"/>
    <x v="1"/>
    <n v="0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401960.68859899876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1690156.331739446"/>
  </r>
  <r>
    <x v="1"/>
    <s v="Vestdanmark"/>
    <x v="15"/>
    <x v="2"/>
    <n v="11461865.852294842"/>
  </r>
  <r>
    <x v="1"/>
    <s v="Vestdanmark"/>
    <x v="16"/>
    <x v="2"/>
    <n v="7753.9785502341792"/>
  </r>
  <r>
    <x v="1"/>
    <s v="Vestdanmark"/>
    <x v="17"/>
    <x v="2"/>
    <n v="3709649.3380054114"/>
  </r>
  <r>
    <x v="1"/>
    <s v="Vestdanmark"/>
    <x v="18"/>
    <x v="2"/>
    <n v="0"/>
  </r>
  <r>
    <x v="1"/>
    <s v="Vestdanmark"/>
    <x v="19"/>
    <x v="2"/>
    <n v="0"/>
  </r>
  <r>
    <x v="1"/>
    <s v="Vestdanmark"/>
    <x v="20"/>
    <x v="2"/>
    <n v="2283371.9816891025"/>
  </r>
  <r>
    <x v="1"/>
    <s v="Vestdanmark"/>
    <x v="21"/>
    <x v="2"/>
    <n v="0"/>
  </r>
  <r>
    <x v="1"/>
    <s v="Vestdanmark"/>
    <x v="22"/>
    <x v="2"/>
    <n v="0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0"/>
  </r>
  <r>
    <x v="1"/>
    <s v="Vestdanmark"/>
    <x v="25"/>
    <x v="2"/>
    <n v="0"/>
  </r>
  <r>
    <x v="1"/>
    <s v="Vestdanmark"/>
    <x v="26"/>
    <x v="2"/>
    <n v="523381.7919235682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580094.3183261557"/>
  </r>
  <r>
    <x v="1"/>
    <s v="Østdanmark"/>
    <x v="15"/>
    <x v="1"/>
    <n v="692091.87949965673"/>
  </r>
  <r>
    <x v="1"/>
    <s v="Østdanmark"/>
    <x v="16"/>
    <x v="1"/>
    <n v="525.15144386464101"/>
  </r>
  <r>
    <x v="1"/>
    <s v="Østdanmark"/>
    <x v="17"/>
    <x v="1"/>
    <n v="2508040.5680731749"/>
  </r>
  <r>
    <x v="1"/>
    <s v="Østdanmark"/>
    <x v="18"/>
    <x v="1"/>
    <n v="0"/>
  </r>
  <r>
    <x v="1"/>
    <s v="Østdanmark"/>
    <x v="19"/>
    <x v="1"/>
    <n v="0"/>
  </r>
  <r>
    <x v="1"/>
    <s v="Østdanmark"/>
    <x v="20"/>
    <x v="1"/>
    <n v="259783.2336704561"/>
  </r>
  <r>
    <x v="1"/>
    <s v="Østdanmark"/>
    <x v="21"/>
    <x v="1"/>
    <n v="0"/>
  </r>
  <r>
    <x v="1"/>
    <s v="Østdanmark"/>
    <x v="22"/>
    <x v="1"/>
    <n v="0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348039.31140100124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693869.9277261887"/>
  </r>
  <r>
    <x v="1"/>
    <s v="Østdanmark"/>
    <x v="15"/>
    <x v="2"/>
    <n v="814640.76605924184"/>
  </r>
  <r>
    <x v="1"/>
    <s v="Østdanmark"/>
    <x v="16"/>
    <x v="2"/>
    <n v="650.78855763169781"/>
  </r>
  <r>
    <x v="1"/>
    <s v="Østdanmark"/>
    <x v="17"/>
    <x v="2"/>
    <n v="3150253.3426541099"/>
  </r>
  <r>
    <x v="1"/>
    <s v="Østdanmark"/>
    <x v="18"/>
    <x v="2"/>
    <n v="0"/>
  </r>
  <r>
    <x v="1"/>
    <s v="Østdanmark"/>
    <x v="19"/>
    <x v="2"/>
    <n v="0"/>
  </r>
  <r>
    <x v="1"/>
    <s v="Østdanmark"/>
    <x v="20"/>
    <x v="2"/>
    <n v="307937.44645909779"/>
  </r>
  <r>
    <x v="1"/>
    <s v="Østdanmark"/>
    <x v="21"/>
    <x v="2"/>
    <n v="0"/>
  </r>
  <r>
    <x v="1"/>
    <s v="Østdanmark"/>
    <x v="22"/>
    <x v="2"/>
    <n v="0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0"/>
  </r>
  <r>
    <x v="1"/>
    <s v="Østdanmark"/>
    <x v="25"/>
    <x v="2"/>
    <n v="0"/>
  </r>
  <r>
    <x v="1"/>
    <s v="Østdanmark"/>
    <x v="26"/>
    <x v="2"/>
    <n v="456618.20807643177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734288.3153172266"/>
  </r>
  <r>
    <x v="2"/>
    <s v="Vestdanmark"/>
    <x v="22"/>
    <x v="1"/>
    <n v="754028.76978801878"/>
  </r>
  <r>
    <x v="2"/>
    <s v="Vestdanmark"/>
    <x v="2"/>
    <x v="1"/>
    <n v="0"/>
  </r>
  <r>
    <x v="2"/>
    <s v="Vestdanmark"/>
    <x v="5"/>
    <x v="1"/>
    <n v="62908.541627737373"/>
  </r>
  <r>
    <x v="2"/>
    <s v="Vestdanmark"/>
    <x v="25"/>
    <x v="1"/>
    <n v="820432.23039507493"/>
  </r>
  <r>
    <x v="2"/>
    <s v="Vestdanmark"/>
    <x v="24"/>
    <x v="1"/>
    <n v="5517603.3385994658"/>
  </r>
  <r>
    <x v="2"/>
    <s v="Vestdanmark"/>
    <x v="28"/>
    <x v="1"/>
    <n v="208821.40901429488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1936022.044118334"/>
  </r>
  <r>
    <x v="2"/>
    <s v="Vestdanmark"/>
    <x v="29"/>
    <x v="1"/>
    <n v="1478350.728251828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8444.108772506181"/>
  </r>
  <r>
    <x v="2"/>
    <s v="Vestdanmark"/>
    <x v="33"/>
    <x v="1"/>
    <n v="4709403.3246320067"/>
  </r>
  <r>
    <x v="2"/>
    <s v="Vestdanmark"/>
    <x v="0"/>
    <x v="2"/>
    <n v="5470784.8849928668"/>
  </r>
  <r>
    <x v="2"/>
    <s v="Vestdanmark"/>
    <x v="22"/>
    <x v="2"/>
    <n v="719379.45387000521"/>
  </r>
  <r>
    <x v="2"/>
    <s v="Vestdanmark"/>
    <x v="2"/>
    <x v="2"/>
    <n v="0"/>
  </r>
  <r>
    <x v="2"/>
    <s v="Vestdanmark"/>
    <x v="5"/>
    <x v="2"/>
    <n v="60017.752814183521"/>
  </r>
  <r>
    <x v="2"/>
    <s v="Vestdanmark"/>
    <x v="25"/>
    <x v="2"/>
    <n v="782731.52628497675"/>
  </r>
  <r>
    <x v="2"/>
    <s v="Vestdanmark"/>
    <x v="24"/>
    <x v="2"/>
    <n v="5264057.0697440123"/>
  </r>
  <r>
    <x v="2"/>
    <s v="Vestdanmark"/>
    <x v="28"/>
    <x v="2"/>
    <n v="199225.59614708141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1387535.016591122"/>
  </r>
  <r>
    <x v="2"/>
    <s v="Vestdanmark"/>
    <x v="29"/>
    <x v="2"/>
    <n v="1410417.1911333126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6677.515608667709"/>
  </r>
  <r>
    <x v="2"/>
    <s v="Vestdanmark"/>
    <x v="33"/>
    <x v="2"/>
    <n v="4492995.6620617937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00622.1199230341"/>
  </r>
  <r>
    <x v="2"/>
    <s v="Østdanmark"/>
    <x v="22"/>
    <x v="1"/>
    <n v="92128.125779914451"/>
  </r>
  <r>
    <x v="2"/>
    <s v="Østdanmark"/>
    <x v="2"/>
    <x v="1"/>
    <n v="0"/>
  </r>
  <r>
    <x v="2"/>
    <s v="Østdanmark"/>
    <x v="5"/>
    <x v="1"/>
    <n v="7686.2399260183547"/>
  </r>
  <r>
    <x v="2"/>
    <s v="Østdanmark"/>
    <x v="25"/>
    <x v="1"/>
    <n v="100241.37903515603"/>
  </r>
  <r>
    <x v="2"/>
    <s v="Østdanmark"/>
    <x v="24"/>
    <x v="1"/>
    <n v="674147.29351119313"/>
  </r>
  <r>
    <x v="2"/>
    <s v="Østdanmark"/>
    <x v="28"/>
    <x v="1"/>
    <n v="25514.046421088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458357.2726296766"/>
  </r>
  <r>
    <x v="2"/>
    <s v="Østdanmark"/>
    <x v="29"/>
    <x v="1"/>
    <n v="180626.6382614313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697.1466214556613"/>
  </r>
  <r>
    <x v="2"/>
    <s v="Østdanmark"/>
    <x v="33"/>
    <x v="1"/>
    <n v="575400.46112831845"/>
  </r>
  <r>
    <x v="2"/>
    <s v="Østdanmark"/>
    <x v="0"/>
    <x v="2"/>
    <n v="662441.233045817"/>
  </r>
  <r>
    <x v="2"/>
    <s v="Østdanmark"/>
    <x v="22"/>
    <x v="2"/>
    <n v="87107.539862645164"/>
  </r>
  <r>
    <x v="2"/>
    <s v="Østdanmark"/>
    <x v="2"/>
    <x v="2"/>
    <n v="0"/>
  </r>
  <r>
    <x v="2"/>
    <s v="Østdanmark"/>
    <x v="5"/>
    <x v="2"/>
    <n v="7267.3729665242781"/>
  </r>
  <r>
    <x v="2"/>
    <s v="Østdanmark"/>
    <x v="25"/>
    <x v="2"/>
    <n v="94778.655771754129"/>
  </r>
  <r>
    <x v="2"/>
    <s v="Østdanmark"/>
    <x v="24"/>
    <x v="2"/>
    <n v="637409.17060556682"/>
  </r>
  <r>
    <x v="2"/>
    <s v="Østdanmark"/>
    <x v="28"/>
    <x v="2"/>
    <n v="24123.640819434757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378883.0846623355"/>
  </r>
  <r>
    <x v="2"/>
    <s v="Østdanmark"/>
    <x v="29"/>
    <x v="2"/>
    <n v="170783.2647133205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441.1723684315039"/>
  </r>
  <r>
    <x v="2"/>
    <s v="Østdanmark"/>
    <x v="33"/>
    <x v="2"/>
    <n v="544043.61513285921"/>
  </r>
  <r>
    <x v="3"/>
    <s v="Vestdanmark"/>
    <x v="22"/>
    <x v="0"/>
    <n v="1162838.9310658472"/>
  </r>
  <r>
    <x v="3"/>
    <s v="Vestdanmark"/>
    <x v="34"/>
    <x v="0"/>
    <n v="80830.79719489353"/>
  </r>
  <r>
    <x v="3"/>
    <s v="Vestdanmark"/>
    <x v="35"/>
    <x v="0"/>
    <n v="171006.78248665464"/>
  </r>
  <r>
    <x v="3"/>
    <s v="Vestdanmark"/>
    <x v="36"/>
    <x v="0"/>
    <n v="2328677.081002241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613.043564517109"/>
  </r>
  <r>
    <x v="4"/>
    <s v="Vestdanmark"/>
    <x v="35"/>
    <x v="0"/>
    <n v="0"/>
  </r>
  <r>
    <x v="4"/>
    <s v="Vestdanmark"/>
    <x v="37"/>
    <x v="0"/>
    <n v="640291.52551137318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2655.58820898295"/>
  </r>
  <r>
    <x v="3"/>
    <s v="Østdanmark"/>
    <x v="34"/>
    <x v="0"/>
    <n v="32042.520829377954"/>
  </r>
  <r>
    <x v="3"/>
    <s v="Østdanmark"/>
    <x v="35"/>
    <x v="0"/>
    <n v="38860.356190289756"/>
  </r>
  <r>
    <x v="3"/>
    <s v="Østdanmark"/>
    <x v="36"/>
    <x v="0"/>
    <n v="681614.98381741357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577.711534810416"/>
  </r>
  <r>
    <x v="4"/>
    <s v="Østdanmark"/>
    <x v="35"/>
    <x v="0"/>
    <n v="0"/>
  </r>
  <r>
    <x v="4"/>
    <s v="Østdanmark"/>
    <x v="37"/>
    <x v="0"/>
    <n v="187416.40966897184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2293765.6188591849"/>
  </r>
  <r>
    <x v="3"/>
    <s v="Vestdanmark"/>
    <x v="34"/>
    <x v="1"/>
    <n v="159083.12542284423"/>
  </r>
  <r>
    <x v="3"/>
    <s v="Vestdanmark"/>
    <x v="35"/>
    <x v="1"/>
    <n v="170203.15251490066"/>
  </r>
  <r>
    <x v="3"/>
    <s v="Vestdanmark"/>
    <x v="36"/>
    <x v="1"/>
    <n v="2217144.8993992088"/>
  </r>
  <r>
    <x v="3"/>
    <s v="Vestdanmark"/>
    <x v="26"/>
    <x v="1"/>
    <n v="124773.42126939242"/>
  </r>
  <r>
    <x v="3"/>
    <s v="Vestdanmark"/>
    <x v="18"/>
    <x v="1"/>
    <n v="195082.22598438186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0444.4261939266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1146907.9751365485"/>
  </r>
  <r>
    <x v="3"/>
    <s v="Østdanmark"/>
    <x v="34"/>
    <x v="1"/>
    <n v="64095.241196414951"/>
  </r>
  <r>
    <x v="3"/>
    <s v="Østdanmark"/>
    <x v="35"/>
    <x v="1"/>
    <n v="39668.631585604686"/>
  </r>
  <r>
    <x v="3"/>
    <s v="Østdanmark"/>
    <x v="36"/>
    <x v="1"/>
    <n v="647645.86028338596"/>
  </r>
  <r>
    <x v="3"/>
    <s v="Østdanmark"/>
    <x v="26"/>
    <x v="1"/>
    <n v="108035.57873060764"/>
  </r>
  <r>
    <x v="3"/>
    <s v="Østdanmark"/>
    <x v="18"/>
    <x v="1"/>
    <n v="168912.745758362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235.22139277839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2621642.4459828315"/>
  </r>
  <r>
    <x v="3"/>
    <s v="Vestdanmark"/>
    <x v="34"/>
    <x v="2"/>
    <n v="151027.97877060805"/>
  </r>
  <r>
    <x v="3"/>
    <s v="Vestdanmark"/>
    <x v="35"/>
    <x v="2"/>
    <n v="146472.78733520172"/>
  </r>
  <r>
    <x v="3"/>
    <s v="Vestdanmark"/>
    <x v="36"/>
    <x v="2"/>
    <n v="2287577.6202536402"/>
  </r>
  <r>
    <x v="3"/>
    <s v="Vestdanmark"/>
    <x v="26"/>
    <x v="2"/>
    <n v="1500.1831158298883"/>
  </r>
  <r>
    <x v="3"/>
    <s v="Vestdanmark"/>
    <x v="18"/>
    <x v="2"/>
    <n v="197484.13479984918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659548.66396073136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1321534.7605934532"/>
  </r>
  <r>
    <x v="3"/>
    <s v="Østdanmark"/>
    <x v="34"/>
    <x v="2"/>
    <n v="64013.646347353635"/>
  </r>
  <r>
    <x v="3"/>
    <s v="Østdanmark"/>
    <x v="35"/>
    <x v="2"/>
    <n v="36959.622363047813"/>
  </r>
  <r>
    <x v="3"/>
    <s v="Østdanmark"/>
    <x v="36"/>
    <x v="2"/>
    <n v="637918.49942824384"/>
  </r>
  <r>
    <x v="3"/>
    <s v="Østdanmark"/>
    <x v="26"/>
    <x v="2"/>
    <n v="1308.8168841700535"/>
  </r>
  <r>
    <x v="3"/>
    <s v="Østdanmark"/>
    <x v="18"/>
    <x v="2"/>
    <n v="172292.68030975034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1156.3842262987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629.6154696662"/>
  </r>
  <r>
    <x v="5"/>
    <s v="Vestdanmark"/>
    <x v="39"/>
    <x v="0"/>
    <n v="569996.93502990273"/>
  </r>
  <r>
    <x v="5"/>
    <s v="Vestdanmark"/>
    <x v="14"/>
    <x v="1"/>
    <n v="3634979.9351519686"/>
  </r>
  <r>
    <x v="5"/>
    <s v="Vestdanmark"/>
    <x v="15"/>
    <x v="1"/>
    <n v="3245874.1778339455"/>
  </r>
  <r>
    <x v="5"/>
    <s v="Vestdanmark"/>
    <x v="16"/>
    <x v="1"/>
    <n v="2085.6815338863707"/>
  </r>
  <r>
    <x v="5"/>
    <s v="Vestdanmark"/>
    <x v="20"/>
    <x v="1"/>
    <n v="243453.07671148074"/>
  </r>
  <r>
    <x v="5"/>
    <s v="Vestdanmark"/>
    <x v="38"/>
    <x v="1"/>
    <n v="19339631.292659696"/>
  </r>
  <r>
    <x v="5"/>
    <s v="Vestdanmark"/>
    <x v="39"/>
    <x v="1"/>
    <n v="590491.77533861843"/>
  </r>
  <r>
    <x v="5"/>
    <s v="Vestdanmark"/>
    <x v="14"/>
    <x v="2"/>
    <n v="1298906.2590821604"/>
  </r>
  <r>
    <x v="5"/>
    <s v="Vestdanmark"/>
    <x v="15"/>
    <x v="2"/>
    <n v="1273540.6502549821"/>
  </r>
  <r>
    <x v="5"/>
    <s v="Vestdanmark"/>
    <x v="16"/>
    <x v="2"/>
    <n v="861.55317224824194"/>
  </r>
  <r>
    <x v="5"/>
    <s v="Vestdanmark"/>
    <x v="20"/>
    <x v="2"/>
    <n v="96046.599229779691"/>
  </r>
  <r>
    <x v="5"/>
    <s v="Vestdanmark"/>
    <x v="38"/>
    <x v="2"/>
    <n v="21610883.072868608"/>
  </r>
  <r>
    <x v="5"/>
    <s v="Vestdanmark"/>
    <x v="39"/>
    <x v="2"/>
    <n v="475615.83979339601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862.1200388186"/>
  </r>
  <r>
    <x v="5"/>
    <s v="Østdanmark"/>
    <x v="39"/>
    <x v="0"/>
    <n v="374820.3560243976"/>
  </r>
  <r>
    <x v="5"/>
    <s v="Østdanmark"/>
    <x v="14"/>
    <x v="1"/>
    <n v="526698.10610871855"/>
  </r>
  <r>
    <x v="5"/>
    <s v="Østdanmark"/>
    <x v="15"/>
    <x v="1"/>
    <n v="230697.29316655223"/>
  </r>
  <r>
    <x v="5"/>
    <s v="Østdanmark"/>
    <x v="16"/>
    <x v="1"/>
    <n v="175.05048128821366"/>
  </r>
  <r>
    <x v="5"/>
    <s v="Østdanmark"/>
    <x v="20"/>
    <x v="1"/>
    <n v="32782.169963176602"/>
  </r>
  <r>
    <x v="5"/>
    <s v="Østdanmark"/>
    <x v="38"/>
    <x v="1"/>
    <n v="4017892.007010099"/>
  </r>
  <r>
    <x v="5"/>
    <s v="Østdanmark"/>
    <x v="39"/>
    <x v="1"/>
    <n v="335173.45257844625"/>
  </r>
  <r>
    <x v="5"/>
    <s v="Østdanmark"/>
    <x v="14"/>
    <x v="2"/>
    <n v="188207.76974735426"/>
  </r>
  <r>
    <x v="5"/>
    <s v="Østdanmark"/>
    <x v="15"/>
    <x v="2"/>
    <n v="90515.640673249072"/>
  </r>
  <r>
    <x v="5"/>
    <s v="Østdanmark"/>
    <x v="16"/>
    <x v="2"/>
    <n v="72.309839736855295"/>
  </r>
  <r>
    <x v="5"/>
    <s v="Østdanmark"/>
    <x v="20"/>
    <x v="2"/>
    <n v="12952.924335184269"/>
  </r>
  <r>
    <x v="5"/>
    <s v="Østdanmark"/>
    <x v="38"/>
    <x v="2"/>
    <n v="4680862.224178886"/>
  </r>
  <r>
    <x v="5"/>
    <s v="Østdanmark"/>
    <x v="39"/>
    <x v="2"/>
    <n v="288937.99053379206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5762.00237315823"/>
  </r>
  <r>
    <x v="7"/>
    <s v="Vestdanmark"/>
    <x v="40"/>
    <x v="1"/>
    <n v="497134.76694638823"/>
  </r>
  <r>
    <x v="7"/>
    <s v="Vestdanmark"/>
    <x v="40"/>
    <x v="2"/>
    <n v="471962.43365815014"/>
  </r>
  <r>
    <x v="7"/>
    <s v="Østdanmark"/>
    <x v="40"/>
    <x v="0"/>
    <n v="192563.22613808865"/>
  </r>
  <r>
    <x v="7"/>
    <s v="Østdanmark"/>
    <x v="40"/>
    <x v="1"/>
    <n v="200297.62873879672"/>
  </r>
  <r>
    <x v="7"/>
    <s v="Østdanmark"/>
    <x v="40"/>
    <x v="2"/>
    <n v="200042.64483548011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797607.2776597517"/>
  </r>
  <r>
    <x v="0"/>
    <x v="2"/>
    <x v="1"/>
    <s v="JB1-10"/>
    <n v="491333.38307711121"/>
  </r>
  <r>
    <x v="0"/>
    <x v="3"/>
    <x v="1"/>
    <s v="JB1-10"/>
    <n v="317835.5825103767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82351.182880658438"/>
  </r>
  <r>
    <x v="0"/>
    <x v="2"/>
    <x v="1"/>
    <s v="OC6"/>
    <n v="0"/>
  </r>
  <r>
    <x v="0"/>
    <x v="3"/>
    <x v="1"/>
    <s v="OC6"/>
    <n v="58288.817119341562"/>
  </r>
  <r>
    <x v="0"/>
    <x v="4"/>
    <x v="1"/>
    <s v="OC6"/>
    <n v="0"/>
  </r>
  <r>
    <x v="0"/>
    <x v="0"/>
    <x v="1"/>
    <s v="OC12"/>
    <n v="0"/>
  </r>
  <r>
    <x v="0"/>
    <x v="1"/>
    <x v="1"/>
    <s v="OC12"/>
    <n v="50308.863648834013"/>
  </r>
  <r>
    <x v="0"/>
    <x v="2"/>
    <x v="1"/>
    <s v="OC12"/>
    <n v="0"/>
  </r>
  <r>
    <x v="0"/>
    <x v="3"/>
    <x v="1"/>
    <s v="OC12"/>
    <n v="61682.247462277082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636839.1020767612"/>
  </r>
  <r>
    <x v="0"/>
    <x v="2"/>
    <x v="2"/>
    <s v="JB1-10"/>
    <n v="652101.55866010161"/>
  </r>
  <r>
    <x v="0"/>
    <x v="3"/>
    <x v="2"/>
    <s v="JB1-10"/>
    <n v="317835.5825103767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68352.776296296302"/>
  </r>
  <r>
    <x v="0"/>
    <x v="2"/>
    <x v="2"/>
    <s v="OC6"/>
    <n v="0"/>
  </r>
  <r>
    <x v="0"/>
    <x v="3"/>
    <x v="2"/>
    <s v="OC6"/>
    <n v="72287.223703703698"/>
  </r>
  <r>
    <x v="0"/>
    <x v="4"/>
    <x v="2"/>
    <s v="OC6"/>
    <n v="0"/>
  </r>
  <r>
    <x v="0"/>
    <x v="0"/>
    <x v="2"/>
    <s v="OC12"/>
    <n v="0"/>
  </r>
  <r>
    <x v="0"/>
    <x v="1"/>
    <x v="2"/>
    <s v="OC12"/>
    <n v="0"/>
  </r>
  <r>
    <x v="0"/>
    <x v="2"/>
    <x v="2"/>
    <s v="OC12"/>
    <n v="0"/>
  </r>
  <r>
    <x v="0"/>
    <x v="3"/>
    <x v="2"/>
    <s v="OC12"/>
    <n v="111991.11111111109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37513.90752543334"/>
  </r>
  <r>
    <x v="1"/>
    <x v="2"/>
    <x v="1"/>
    <s v="JB1-10"/>
    <n v="135891.43173770356"/>
  </r>
  <r>
    <x v="1"/>
    <x v="3"/>
    <x v="1"/>
    <s v="JB1-10"/>
    <n v="75488.417489623345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12507.261563786009"/>
  </r>
  <r>
    <x v="1"/>
    <x v="2"/>
    <x v="1"/>
    <s v="OC6"/>
    <n v="0"/>
  </r>
  <r>
    <x v="1"/>
    <x v="3"/>
    <x v="1"/>
    <s v="OC6"/>
    <n v="8852.7384362139928"/>
  </r>
  <r>
    <x v="1"/>
    <x v="4"/>
    <x v="1"/>
    <s v="OC6"/>
    <n v="0"/>
  </r>
  <r>
    <x v="1"/>
    <x v="0"/>
    <x v="1"/>
    <s v="OC12"/>
    <n v="0"/>
  </r>
  <r>
    <x v="1"/>
    <x v="1"/>
    <x v="1"/>
    <s v="OC12"/>
    <n v="7640.7659807956097"/>
  </r>
  <r>
    <x v="1"/>
    <x v="2"/>
    <x v="1"/>
    <s v="OC12"/>
    <n v="0"/>
  </r>
  <r>
    <x v="1"/>
    <x v="3"/>
    <x v="1"/>
    <s v="OC12"/>
    <n v="9368.122908093279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513096.89792323852"/>
  </r>
  <r>
    <x v="1"/>
    <x v="2"/>
    <x v="2"/>
    <s v="JB1-10"/>
    <n v="160308.44133989836"/>
  </r>
  <r>
    <x v="1"/>
    <x v="3"/>
    <x v="2"/>
    <s v="JB1-10"/>
    <n v="75488.417489623345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10381.223703703705"/>
  </r>
  <r>
    <x v="1"/>
    <x v="2"/>
    <x v="2"/>
    <s v="OC6"/>
    <n v="0"/>
  </r>
  <r>
    <x v="1"/>
    <x v="3"/>
    <x v="2"/>
    <s v="OC6"/>
    <n v="10978.776296296297"/>
  </r>
  <r>
    <x v="1"/>
    <x v="4"/>
    <x v="2"/>
    <s v="OC6"/>
    <n v="0"/>
  </r>
  <r>
    <x v="1"/>
    <x v="0"/>
    <x v="2"/>
    <s v="OC12"/>
    <n v="0"/>
  </r>
  <r>
    <x v="1"/>
    <x v="1"/>
    <x v="2"/>
    <s v="OC12"/>
    <n v="0"/>
  </r>
  <r>
    <x v="1"/>
    <x v="2"/>
    <x v="2"/>
    <s v="OC12"/>
    <n v="0"/>
  </r>
  <r>
    <x v="1"/>
    <x v="3"/>
    <x v="2"/>
    <s v="OC12"/>
    <n v="17008.888888888891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7012260.3004318569"/>
  </r>
  <r>
    <x v="1"/>
    <x v="0"/>
    <x v="1"/>
    <n v="264281.48271181755"/>
  </r>
  <r>
    <x v="2"/>
    <x v="0"/>
    <x v="1"/>
    <n v="497134.76694638823"/>
  </r>
  <r>
    <x v="3"/>
    <x v="0"/>
    <x v="1"/>
    <n v="15769668.337175274"/>
  </r>
  <r>
    <x v="4"/>
    <x v="0"/>
    <x v="1"/>
    <n v="189947.9283403279"/>
  </r>
  <r>
    <x v="5"/>
    <x v="0"/>
    <x v="1"/>
    <n v="2184559.2882253225"/>
  </r>
  <r>
    <x v="6"/>
    <x v="0"/>
    <x v="1"/>
    <n v="387359.23061650008"/>
  </r>
  <r>
    <x v="7"/>
    <x v="0"/>
    <x v="1"/>
    <n v="7810797.3149183672"/>
  </r>
  <r>
    <x v="8"/>
    <x v="0"/>
    <x v="1"/>
    <n v="26490.425666789368"/>
  </r>
  <r>
    <x v="9"/>
    <x v="0"/>
    <x v="1"/>
    <n v="1644241.434656535"/>
  </r>
  <r>
    <x v="10"/>
    <x v="0"/>
    <x v="1"/>
    <n v="896684.85799615958"/>
  </r>
  <r>
    <x v="11"/>
    <x v="0"/>
    <x v="1"/>
    <n v="782472.88933192089"/>
  </r>
  <r>
    <x v="12"/>
    <x v="0"/>
    <x v="1"/>
    <n v="170203.15251490066"/>
  </r>
  <r>
    <x v="0"/>
    <x v="0"/>
    <x v="2"/>
    <n v="6657445.6000957079"/>
  </r>
  <r>
    <x v="1"/>
    <x v="0"/>
    <x v="2"/>
    <n v="250215.04217969507"/>
  </r>
  <r>
    <x v="2"/>
    <x v="0"/>
    <x v="2"/>
    <n v="471962.43365815014"/>
  </r>
  <r>
    <x v="3"/>
    <x v="0"/>
    <x v="2"/>
    <n v="13682245.34995167"/>
  </r>
  <r>
    <x v="4"/>
    <x v="0"/>
    <x v="2"/>
    <n v="182765.86123576926"/>
  </r>
  <r>
    <x v="5"/>
    <x v="0"/>
    <x v="2"/>
    <n v="2034058.7589381256"/>
  </r>
  <r>
    <x v="6"/>
    <x v="0"/>
    <x v="2"/>
    <n v="370630.07456563454"/>
  </r>
  <r>
    <x v="7"/>
    <x v="0"/>
    <x v="2"/>
    <n v="7480186.4136029035"/>
  </r>
  <r>
    <x v="8"/>
    <x v="0"/>
    <x v="2"/>
    <n v="24926.840286441191"/>
  </r>
  <r>
    <x v="9"/>
    <x v="0"/>
    <x v="2"/>
    <n v="1547190.8284741363"/>
  </r>
  <r>
    <x v="10"/>
    <x v="0"/>
    <x v="2"/>
    <n v="813451.18685438076"/>
  </r>
  <r>
    <x v="11"/>
    <x v="0"/>
    <x v="2"/>
    <n v="736287.78133601486"/>
  </r>
  <r>
    <x v="12"/>
    <x v="0"/>
    <x v="2"/>
    <n v="146472.78733520172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2364100.9929543477"/>
  </r>
  <r>
    <x v="1"/>
    <x v="1"/>
    <x v="1"/>
    <n v="28047.573536439377"/>
  </r>
  <r>
    <x v="2"/>
    <x v="1"/>
    <x v="1"/>
    <n v="200297.62873879672"/>
  </r>
  <r>
    <x v="3"/>
    <x v="1"/>
    <x v="1"/>
    <n v="2198776.4550645952"/>
  </r>
  <r>
    <x v="4"/>
    <x v="1"/>
    <x v="1"/>
    <n v="99364.334403430083"/>
  </r>
  <r>
    <x v="5"/>
    <x v="1"/>
    <x v="1"/>
    <n v="120819.30729817749"/>
  </r>
  <r>
    <x v="6"/>
    <x v="1"/>
    <x v="1"/>
    <n v="2327318.8289159178"/>
  </r>
  <r>
    <x v="7"/>
    <x v="1"/>
    <x v="1"/>
    <n v="382116.33628402097"/>
  </r>
  <r>
    <x v="8"/>
    <x v="1"/>
    <x v="1"/>
    <n v="16391.280898066685"/>
  </r>
  <r>
    <x v="9"/>
    <x v="1"/>
    <x v="1"/>
    <n v="410761.8079459595"/>
  </r>
  <r>
    <x v="10"/>
    <x v="1"/>
    <x v="1"/>
    <n v="639925.05348634056"/>
  </r>
  <r>
    <x v="11"/>
    <x v="1"/>
    <x v="1"/>
    <n v="151266.45400737421"/>
  </r>
  <r>
    <x v="12"/>
    <x v="1"/>
    <x v="1"/>
    <n v="39668.631585604686"/>
  </r>
  <r>
    <x v="0"/>
    <x v="1"/>
    <x v="2"/>
    <n v="2365391.4259483349"/>
  </r>
  <r>
    <x v="1"/>
    <x v="1"/>
    <x v="2"/>
    <n v="27963.188224431749"/>
  </r>
  <r>
    <x v="2"/>
    <x v="1"/>
    <x v="2"/>
    <n v="200042.64483548011"/>
  </r>
  <r>
    <x v="3"/>
    <x v="1"/>
    <x v="2"/>
    <n v="2066928.9300738815"/>
  </r>
  <r>
    <x v="4"/>
    <x v="1"/>
    <x v="2"/>
    <n v="100361.40981981652"/>
  </r>
  <r>
    <x v="5"/>
    <x v="1"/>
    <x v="2"/>
    <n v="119162.42345688539"/>
  </r>
  <r>
    <x v="6"/>
    <x v="1"/>
    <x v="2"/>
    <n v="2337477.1247217245"/>
  </r>
  <r>
    <x v="7"/>
    <x v="1"/>
    <x v="2"/>
    <n v="385351.77925728471"/>
  </r>
  <r>
    <x v="8"/>
    <x v="1"/>
    <x v="2"/>
    <n v="16278.266064377463"/>
  </r>
  <r>
    <x v="9"/>
    <x v="1"/>
    <x v="2"/>
    <n v="407929.68166494544"/>
  </r>
  <r>
    <x v="10"/>
    <x v="1"/>
    <x v="2"/>
    <n v="619622.98434941436"/>
  </r>
  <r>
    <x v="11"/>
    <x v="1"/>
    <x v="2"/>
    <n v="150223.49993632184"/>
  </r>
  <r>
    <x v="12"/>
    <x v="1"/>
    <x v="2"/>
    <n v="36959.62236304781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809789.15928333369"/>
    <n v="5676622.0065761693"/>
    <n v="2672553.6406960608"/>
    <n v="2672553.6406960608"/>
  </r>
  <r>
    <x v="0"/>
    <x v="1"/>
    <x v="1"/>
    <s v="Konventionel"/>
    <x v="0"/>
    <s v="Halm"/>
    <n v="55949.560086021185"/>
    <n v="215965.30193204177"/>
    <n v="92481.042050347532"/>
    <n v="92481.042050347532"/>
  </r>
  <r>
    <x v="0"/>
    <x v="2"/>
    <x v="1"/>
    <s v="Konventionel"/>
    <x v="0"/>
    <s v="Halm"/>
    <n v="94087.082412375472"/>
    <n v="413983.16261445213"/>
    <n v="318932.62847817392"/>
    <n v="318932.62847817392"/>
  </r>
  <r>
    <x v="0"/>
    <x v="3"/>
    <x v="1"/>
    <s v="Konventionel"/>
    <x v="0"/>
    <s v="Græs"/>
    <n v="179394.47433816589"/>
    <n v="8901553.8166597914"/>
    <n v="0"/>
    <n v="8901553.8166597914"/>
  </r>
  <r>
    <x v="0"/>
    <x v="4"/>
    <x v="1"/>
    <s v="Konventionel"/>
    <x v="0"/>
    <s v="Grøntsager"/>
    <n v="6942.1581713830101"/>
    <n v="144049.78205619747"/>
    <n v="0"/>
    <n v="144049.78205619747"/>
  </r>
  <r>
    <x v="0"/>
    <x v="5"/>
    <x v="1"/>
    <s v="Konventionel"/>
    <x v="0"/>
    <s v="Kartofler"/>
    <n v="41355.317643651651"/>
    <n v="1756397.5382306445"/>
    <n v="0"/>
    <n v="1756397.5382306445"/>
  </r>
  <r>
    <x v="0"/>
    <x v="6"/>
    <x v="1"/>
    <s v="Konventionel"/>
    <x v="0"/>
    <s v="Roer"/>
    <n v="4037.1409759488074"/>
    <n v="328032.76825470605"/>
    <n v="0"/>
    <n v="328032.76825470605"/>
  </r>
  <r>
    <x v="0"/>
    <x v="7"/>
    <x v="1"/>
    <s v="Konventionel"/>
    <x v="0"/>
    <s v="Majs"/>
    <n v="138250.29972976272"/>
    <n v="6153520.840971739"/>
    <n v="0"/>
    <n v="6153520.840971739"/>
  </r>
  <r>
    <x v="0"/>
    <x v="8"/>
    <x v="1"/>
    <s v="Konventionel"/>
    <x v="0"/>
    <s v="Frugt"/>
    <n v="2540.3874452133937"/>
    <n v="21567.889409861717"/>
    <n v="0"/>
    <n v="21567.889409861717"/>
  </r>
  <r>
    <x v="0"/>
    <x v="9"/>
    <x v="1"/>
    <s v="Konventionel"/>
    <x v="0"/>
    <s v="Øvrige"/>
    <n v="44929.041857570082"/>
    <n v="1338703.1930650962"/>
    <n v="0"/>
    <n v="1338703.1930650962"/>
  </r>
  <r>
    <x v="0"/>
    <x v="10"/>
    <x v="1"/>
    <s v="Konventionel"/>
    <x v="0"/>
    <s v="Halm"/>
    <n v="47261.400630257056"/>
    <n v="675311.57290438947"/>
    <n v="161823.03575800019"/>
    <n v="161823.03575800019"/>
  </r>
  <r>
    <x v="0"/>
    <x v="11"/>
    <x v="1"/>
    <s v="Konventionel"/>
    <x v="0"/>
    <s v="Juletræer"/>
    <n v="12741.4251138164"/>
    <n v="637071.25569082005"/>
    <n v="0"/>
    <n v="637071.25569082005"/>
  </r>
  <r>
    <x v="0"/>
    <x v="12"/>
    <x v="1"/>
    <s v="Konventionel"/>
    <x v="0"/>
    <s v="Pil &amp; poppel"/>
    <n v="4686.7049638673298"/>
    <n v="114309.87716749586"/>
    <n v="0"/>
    <n v="114309.87716749586"/>
  </r>
  <r>
    <x v="0"/>
    <x v="13"/>
    <x v="1"/>
    <s v="Konventionel"/>
    <x v="0"/>
    <s v="Græs"/>
    <n v="112966.14252431852"/>
    <n v="1557803.1054103526"/>
    <n v="0"/>
    <n v="1557803.1054103526"/>
  </r>
  <r>
    <x v="0"/>
    <x v="0"/>
    <x v="2"/>
    <s v="Konventionel"/>
    <x v="0"/>
    <s v="Halm"/>
    <n v="703268.18873094791"/>
    <n v="4929910.0030039446"/>
    <n v="2806351.2692099959"/>
    <n v="2806351.2692099959"/>
  </r>
  <r>
    <x v="0"/>
    <x v="1"/>
    <x v="2"/>
    <s v="Konventionel"/>
    <x v="0"/>
    <s v="Halm"/>
    <n v="48589.864819642906"/>
    <n v="187556.87820382163"/>
    <n v="97110.97498056601"/>
    <n v="97110.97498056601"/>
  </r>
  <r>
    <x v="0"/>
    <x v="2"/>
    <x v="2"/>
    <s v="Konventionel"/>
    <x v="0"/>
    <s v="Halm"/>
    <n v="81710.716021056694"/>
    <n v="359527.15049264947"/>
    <n v="334899.54068390297"/>
    <n v="334899.54068390297"/>
  </r>
  <r>
    <x v="0"/>
    <x v="3"/>
    <x v="2"/>
    <s v="Konventionel"/>
    <x v="0"/>
    <s v="Græs"/>
    <n v="155796.63618588899"/>
    <n v="7730629.0875438116"/>
    <n v="0"/>
    <n v="7730629.0875438116"/>
  </r>
  <r>
    <x v="0"/>
    <x v="4"/>
    <x v="2"/>
    <s v="Konventionel"/>
    <x v="0"/>
    <s v="Grøntsager"/>
    <n v="6028.9755019603408"/>
    <n v="125101.24166567708"/>
    <n v="0"/>
    <n v="125101.24166567708"/>
  </r>
  <r>
    <x v="0"/>
    <x v="5"/>
    <x v="2"/>
    <s v="Konventionel"/>
    <x v="0"/>
    <s v="Kartofler"/>
    <n v="35915.372538925141"/>
    <n v="1525358.1765605931"/>
    <n v="0"/>
    <n v="1525358.1765605931"/>
  </r>
  <r>
    <x v="0"/>
    <x v="6"/>
    <x v="2"/>
    <s v="Konventionel"/>
    <x v="0"/>
    <s v="Roer"/>
    <n v="3506.0889482883485"/>
    <n v="284882.80946987716"/>
    <n v="0"/>
    <n v="284882.80946987716"/>
  </r>
  <r>
    <x v="0"/>
    <x v="7"/>
    <x v="2"/>
    <s v="Konventionel"/>
    <x v="0"/>
    <s v="Majs"/>
    <n v="120064.63258721215"/>
    <n v="5344076.7964568138"/>
    <n v="0"/>
    <n v="5344076.7964568138"/>
  </r>
  <r>
    <x v="0"/>
    <x v="8"/>
    <x v="2"/>
    <s v="Konventionel"/>
    <x v="0"/>
    <s v="Frugt"/>
    <n v="2206.2207882002126"/>
    <n v="18730.814491819805"/>
    <n v="0"/>
    <n v="18730.814491819805"/>
  </r>
  <r>
    <x v="0"/>
    <x v="9"/>
    <x v="2"/>
    <s v="Konventionel"/>
    <x v="0"/>
    <s v="Øvrige"/>
    <n v="39019.003312607769"/>
    <n v="1162608.0184481952"/>
    <n v="0"/>
    <n v="1162608.0184481952"/>
  </r>
  <r>
    <x v="0"/>
    <x v="10"/>
    <x v="2"/>
    <s v="Konventionel"/>
    <x v="0"/>
    <s v="Halm"/>
    <n v="41044.559854992149"/>
    <n v="586480.00070268649"/>
    <n v="169924.47779966751"/>
    <n v="169924.47779966751"/>
  </r>
  <r>
    <x v="0"/>
    <x v="11"/>
    <x v="2"/>
    <s v="Konventionel"/>
    <x v="0"/>
    <s v="Juletræer"/>
    <n v="11065.397528382413"/>
    <n v="553269.8764191207"/>
    <n v="0"/>
    <n v="553269.8764191207"/>
  </r>
  <r>
    <x v="0"/>
    <x v="12"/>
    <x v="2"/>
    <s v="Konventionel"/>
    <x v="0"/>
    <s v="Pil &amp; poppel"/>
    <n v="4070.2082428126114"/>
    <n v="99273.37177591736"/>
    <n v="0"/>
    <n v="99273.37177591736"/>
  </r>
  <r>
    <x v="0"/>
    <x v="13"/>
    <x v="2"/>
    <s v="Konventionel"/>
    <x v="0"/>
    <s v="Græs"/>
    <n v="98106.394152410197"/>
    <n v="1352887.1753617367"/>
    <n v="0"/>
    <n v="1352887.1753617367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126383.27919450874"/>
    <n v="593584.34739284916"/>
    <n v="279459.51075255353"/>
    <n v="279459.51075255353"/>
  </r>
  <r>
    <x v="0"/>
    <x v="1"/>
    <x v="1"/>
    <s v="Økologisk"/>
    <x v="0"/>
    <s v="Halm"/>
    <n v="8732.0122677605341"/>
    <n v="19212.173391526729"/>
    <n v="8227.0707349991262"/>
    <n v="8227.0707349991262"/>
  </r>
  <r>
    <x v="0"/>
    <x v="2"/>
    <x v="1"/>
    <s v="Økologisk"/>
    <x v="0"/>
    <s v="Halm"/>
    <n v="14684.111127942995"/>
    <n v="35535.548929622055"/>
    <n v="27376.586895380835"/>
    <n v="27376.586895380835"/>
  </r>
  <r>
    <x v="0"/>
    <x v="3"/>
    <x v="1"/>
    <s v="Økologisk"/>
    <x v="0"/>
    <s v="Græs"/>
    <n v="27997.981544106817"/>
    <n v="1083622.6784904927"/>
    <n v="0"/>
    <n v="1083622.6784904927"/>
  </r>
  <r>
    <x v="0"/>
    <x v="4"/>
    <x v="1"/>
    <s v="Økologisk"/>
    <x v="0"/>
    <s v="Grøntsager"/>
    <n v="1083.4582117187358"/>
    <n v="12814.601999103348"/>
    <n v="0"/>
    <n v="12814.601999103348"/>
  </r>
  <r>
    <x v="0"/>
    <x v="5"/>
    <x v="1"/>
    <s v="Økologisk"/>
    <x v="0"/>
    <s v="Kartofler"/>
    <n v="6454.2981293560397"/>
    <n v="156248.31279404403"/>
    <n v="0"/>
    <n v="156248.31279404403"/>
  </r>
  <r>
    <x v="0"/>
    <x v="6"/>
    <x v="1"/>
    <s v="Økologisk"/>
    <x v="0"/>
    <s v="Roer"/>
    <n v="630.07402514807984"/>
    <n v="29181.643372485123"/>
    <n v="0"/>
    <n v="29181.643372485123"/>
  </r>
  <r>
    <x v="0"/>
    <x v="7"/>
    <x v="1"/>
    <s v="Økologisk"/>
    <x v="0"/>
    <s v="Majs"/>
    <n v="21576.636374009206"/>
    <n v="797112.15055593429"/>
    <n v="0"/>
    <n v="797112.15055593429"/>
  </r>
  <r>
    <x v="0"/>
    <x v="8"/>
    <x v="1"/>
    <s v="Økologisk"/>
    <x v="0"/>
    <s v="Frugt"/>
    <n v="396.47665329920017"/>
    <n v="1918.6694683108196"/>
    <n v="0"/>
    <n v="1918.6694683108196"/>
  </r>
  <r>
    <x v="0"/>
    <x v="9"/>
    <x v="1"/>
    <s v="Økologisk"/>
    <x v="0"/>
    <s v="Øvrige"/>
    <n v="7012.0469951120949"/>
    <n v="119090.41700157127"/>
    <n v="0"/>
    <n v="119090.41700157127"/>
  </r>
  <r>
    <x v="0"/>
    <x v="10"/>
    <x v="1"/>
    <s v="Økologisk"/>
    <x v="0"/>
    <s v="Halm"/>
    <n v="7376.0567457626612"/>
    <n v="60075.405242766195"/>
    <n v="14395.702429570072"/>
    <n v="14395.702429570072"/>
  </r>
  <r>
    <x v="0"/>
    <x v="11"/>
    <x v="1"/>
    <s v="Økologisk"/>
    <x v="0"/>
    <s v="Juletræer"/>
    <n v="1988.5461160291493"/>
    <n v="56673.564306830755"/>
    <n v="0"/>
    <n v="56673.564306830755"/>
  </r>
  <r>
    <x v="0"/>
    <x v="12"/>
    <x v="1"/>
    <s v="Økologisk"/>
    <x v="0"/>
    <s v="Pil &amp; poppel"/>
    <n v="731.451063724959"/>
    <n v="10168.953812761625"/>
    <n v="0"/>
    <n v="10168.953812761625"/>
  </r>
  <r>
    <x v="0"/>
    <x v="13"/>
    <x v="1"/>
    <s v="Økologisk"/>
    <x v="0"/>
    <s v="Græs"/>
    <n v="17630.554035587287"/>
    <n v="243125.34015074873"/>
    <n v="0"/>
    <n v="243125.34015074873"/>
  </r>
  <r>
    <x v="0"/>
    <x v="0"/>
    <x v="2"/>
    <s v="Økologisk"/>
    <x v="0"/>
    <s v="Halm"/>
    <n v="149178.10063989804"/>
    <n v="700644.78527540923"/>
    <n v="398842.04401802667"/>
    <n v="398842.04401802667"/>
  </r>
  <r>
    <x v="0"/>
    <x v="1"/>
    <x v="2"/>
    <s v="Økologisk"/>
    <x v="0"/>
    <s v="Halm"/>
    <n v="10306.941022348496"/>
    <n v="22677.33163737116"/>
    <n v="11741.599702195708"/>
    <n v="11741.599702195708"/>
  </r>
  <r>
    <x v="0"/>
    <x v="2"/>
    <x v="2"/>
    <s v="Økologisk"/>
    <x v="0"/>
    <s v="Halm"/>
    <n v="17332.576125678694"/>
    <n v="41944.834224142447"/>
    <n v="39071.61307978868"/>
    <n v="39071.61307978868"/>
  </r>
  <r>
    <x v="0"/>
    <x v="3"/>
    <x v="2"/>
    <s v="Økologisk"/>
    <x v="0"/>
    <s v="Græs"/>
    <n v="33047.771312158278"/>
    <n v="1279067.7217572492"/>
    <n v="0"/>
    <n v="1279067.7217572492"/>
  </r>
  <r>
    <x v="0"/>
    <x v="4"/>
    <x v="2"/>
    <s v="Økologisk"/>
    <x v="0"/>
    <s v="Grøntsager"/>
    <n v="1278.8735913249209"/>
    <n v="15125.877401395501"/>
    <n v="0"/>
    <n v="15125.877401395501"/>
  </r>
  <r>
    <x v="0"/>
    <x v="5"/>
    <x v="2"/>
    <s v="Økologisk"/>
    <x v="0"/>
    <s v="Kartofler"/>
    <n v="7618.4123567416955"/>
    <n v="184429.67043868985"/>
    <n v="0"/>
    <n v="184429.67043868985"/>
  </r>
  <r>
    <x v="0"/>
    <x v="6"/>
    <x v="2"/>
    <s v="Økologisk"/>
    <x v="0"/>
    <s v="Roer"/>
    <n v="743.71583751571029"/>
    <n v="34444.921508630599"/>
    <n v="0"/>
    <n v="34444.921508630599"/>
  </r>
  <r>
    <x v="0"/>
    <x v="7"/>
    <x v="2"/>
    <s v="Økologisk"/>
    <x v="0"/>
    <s v="Majs"/>
    <n v="25468.255397287427"/>
    <n v="940881.39961860876"/>
    <n v="0"/>
    <n v="940881.39961860876"/>
  </r>
  <r>
    <x v="0"/>
    <x v="8"/>
    <x v="2"/>
    <s v="Økologisk"/>
    <x v="0"/>
    <s v="Frugt"/>
    <n v="467.98622780004507"/>
    <n v="2264.7257521927581"/>
    <n v="0"/>
    <n v="2264.7257521927581"/>
  </r>
  <r>
    <x v="0"/>
    <x v="9"/>
    <x v="2"/>
    <s v="Økologisk"/>
    <x v="0"/>
    <s v="Øvrige"/>
    <n v="8276.7582784319511"/>
    <n v="140569.8785941909"/>
    <n v="0"/>
    <n v="140569.8785941909"/>
  </r>
  <r>
    <x v="0"/>
    <x v="10"/>
    <x v="2"/>
    <s v="Økologisk"/>
    <x v="0"/>
    <s v="Halm"/>
    <n v="8706.4217874225778"/>
    <n v="70910.763721324838"/>
    <n v="20545.414133959799"/>
    <n v="20545.414133959799"/>
  </r>
  <r>
    <x v="0"/>
    <x v="11"/>
    <x v="2"/>
    <s v="Økologisk"/>
    <x v="0"/>
    <s v="Juletræer"/>
    <n v="2347.2055363235422"/>
    <n v="66895.357785220942"/>
    <n v="0"/>
    <n v="66895.357785220942"/>
  </r>
  <r>
    <x v="0"/>
    <x v="12"/>
    <x v="2"/>
    <s v="Økologisk"/>
    <x v="0"/>
    <s v="Pil &amp; poppel"/>
    <n v="863.37750605116003"/>
    <n v="12003.053132906372"/>
    <n v="0"/>
    <n v="12003.053132906372"/>
  </r>
  <r>
    <x v="0"/>
    <x v="13"/>
    <x v="2"/>
    <s v="Økologisk"/>
    <x v="0"/>
    <s v="Græs"/>
    <n v="20810.447244450646"/>
    <n v="286976.06750097446"/>
    <n v="0"/>
    <n v="286976.06750097446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20843.531266124886"/>
    <n v="175335.78501064255"/>
    <n v="82548.087583010521"/>
    <n v="82548.087583010521"/>
  </r>
  <r>
    <x v="0"/>
    <x v="1"/>
    <x v="1"/>
    <s v="Konventionel"/>
    <x v="1"/>
    <s v="Halm"/>
    <n v="1786.7951054397183"/>
    <n v="8276.4349283967749"/>
    <n v="3544.1495452861272"/>
    <n v="3544.1495452861272"/>
  </r>
  <r>
    <x v="0"/>
    <x v="2"/>
    <x v="1"/>
    <s v="Konventionel"/>
    <x v="1"/>
    <s v="Halm"/>
    <n v="1913.2698208119741"/>
    <n v="10102.064653887224"/>
    <n v="7782.6306093547173"/>
    <n v="7782.6306093547173"/>
  </r>
  <r>
    <x v="0"/>
    <x v="3"/>
    <x v="1"/>
    <s v="Konventionel"/>
    <x v="1"/>
    <s v="Græs"/>
    <n v="17656.329249729286"/>
    <n v="1051328.4688458806"/>
    <n v="0"/>
    <n v="1051328.4688458806"/>
  </r>
  <r>
    <x v="0"/>
    <x v="4"/>
    <x v="1"/>
    <s v="Konventionel"/>
    <x v="1"/>
    <s v="Grøntsager"/>
    <n v="82.579316026090069"/>
    <n v="2056.2249690496424"/>
    <n v="0"/>
    <n v="2056.2249690496424"/>
  </r>
  <r>
    <x v="0"/>
    <x v="5"/>
    <x v="1"/>
    <s v="Konventionel"/>
    <x v="1"/>
    <s v="Kartofler"/>
    <n v="1303.7133622629699"/>
    <n v="66443.854977046722"/>
    <n v="0"/>
    <n v="66443.854977046722"/>
  </r>
  <r>
    <x v="0"/>
    <x v="6"/>
    <x v="1"/>
    <s v="Konventionel"/>
    <x v="1"/>
    <s v="Roer"/>
    <n v="34.203336491457428"/>
    <n v="3334.9784571849705"/>
    <n v="0"/>
    <n v="3334.9784571849705"/>
  </r>
  <r>
    <x v="0"/>
    <x v="7"/>
    <x v="1"/>
    <s v="Konventionel"/>
    <x v="1"/>
    <s v="Majs"/>
    <n v="4415.1367500105207"/>
    <n v="235821.28409156195"/>
    <n v="0"/>
    <n v="235821.28409156195"/>
  </r>
  <r>
    <x v="0"/>
    <x v="8"/>
    <x v="1"/>
    <s v="Konventionel"/>
    <x v="1"/>
    <s v="Frugt"/>
    <n v="75.215650030725556"/>
    <n v="766.29704251303201"/>
    <n v="0"/>
    <n v="766.29704251303201"/>
  </r>
  <r>
    <x v="0"/>
    <x v="9"/>
    <x v="1"/>
    <s v="Konventionel"/>
    <x v="1"/>
    <s v="Øvrige"/>
    <n v="1330.2565696985414"/>
    <n v="47563.499522557722"/>
    <n v="0"/>
    <n v="47563.499522557722"/>
  </r>
  <r>
    <x v="0"/>
    <x v="10"/>
    <x v="1"/>
    <s v="Konventionel"/>
    <x v="1"/>
    <s v="Halm"/>
    <n v="3283.4655055701205"/>
    <n v="56300.377701230325"/>
    <n v="13491.103069286512"/>
    <n v="13491.103069286512"/>
  </r>
  <r>
    <x v="0"/>
    <x v="11"/>
    <x v="1"/>
    <s v="Konventionel"/>
    <x v="1"/>
    <s v="Juletræer"/>
    <n v="377.24740533545247"/>
    <n v="22634.844320127148"/>
    <n v="0"/>
    <n v="22634.844320127148"/>
  </r>
  <r>
    <x v="0"/>
    <x v="12"/>
    <x v="1"/>
    <s v="Konventionel"/>
    <x v="1"/>
    <s v="Pil &amp; poppel"/>
    <n v="619.57934642519353"/>
    <n v="18134.029651469082"/>
    <n v="0"/>
    <n v="18134.029651469082"/>
  </r>
  <r>
    <x v="0"/>
    <x v="13"/>
    <x v="1"/>
    <s v="Konventionel"/>
    <x v="1"/>
    <s v="Græs"/>
    <n v="17512.450507812609"/>
    <n v="289796.03100328305"/>
    <n v="0"/>
    <n v="289796.03100328305"/>
  </r>
  <r>
    <x v="0"/>
    <x v="0"/>
    <x v="2"/>
    <s v="Konventionel"/>
    <x v="1"/>
    <s v="Halm"/>
    <n v="16500.437390404819"/>
    <n v="138801.67932808533"/>
    <n v="79012.855957512569"/>
    <n v="79012.855957512569"/>
  </r>
  <r>
    <x v="0"/>
    <x v="1"/>
    <x v="2"/>
    <s v="Konventionel"/>
    <x v="1"/>
    <s v="Halm"/>
    <n v="1414.4868444007736"/>
    <n v="6551.9030632643844"/>
    <n v="3392.366627900064"/>
    <n v="3392.366627900064"/>
  </r>
  <r>
    <x v="0"/>
    <x v="2"/>
    <x v="2"/>
    <s v="Konventionel"/>
    <x v="1"/>
    <s v="Halm"/>
    <n v="1514.6084646686793"/>
    <n v="7997.132693450626"/>
    <n v="7449.3291039492588"/>
    <n v="7449.3291039492588"/>
  </r>
  <r>
    <x v="0"/>
    <x v="3"/>
    <x v="2"/>
    <s v="Konventionel"/>
    <x v="1"/>
    <s v="Græs"/>
    <n v="13977.341536317093"/>
    <n v="832266.82443846506"/>
    <n v="0"/>
    <n v="832266.82443846506"/>
  </r>
  <r>
    <x v="0"/>
    <x v="4"/>
    <x v="2"/>
    <s v="Konventionel"/>
    <x v="1"/>
    <s v="Grøntsager"/>
    <n v="65.372552109030366"/>
    <n v="1627.7765475148562"/>
    <n v="0"/>
    <n v="1627.7765475148562"/>
  </r>
  <r>
    <x v="0"/>
    <x v="5"/>
    <x v="2"/>
    <s v="Konventionel"/>
    <x v="1"/>
    <s v="Kartofler"/>
    <n v="1032.0631583197971"/>
    <n v="52599.180773542932"/>
    <n v="0"/>
    <n v="52599.180773542932"/>
  </r>
  <r>
    <x v="0"/>
    <x v="6"/>
    <x v="2"/>
    <s v="Konventionel"/>
    <x v="1"/>
    <s v="Roer"/>
    <n v="27.076506620423842"/>
    <n v="2640.0806335806697"/>
    <n v="0"/>
    <n v="2640.0806335806697"/>
  </r>
  <r>
    <x v="0"/>
    <x v="7"/>
    <x v="2"/>
    <s v="Konventionel"/>
    <x v="1"/>
    <s v="Majs"/>
    <n v="3495.1701121787992"/>
    <n v="186684.02603169403"/>
    <n v="0"/>
    <n v="186684.02603169403"/>
  </r>
  <r>
    <x v="0"/>
    <x v="8"/>
    <x v="2"/>
    <s v="Konventionel"/>
    <x v="1"/>
    <s v="Frugt"/>
    <n v="59.54322750136015"/>
    <n v="606.62640178385732"/>
    <n v="0"/>
    <n v="606.62640178385732"/>
  </r>
  <r>
    <x v="0"/>
    <x v="9"/>
    <x v="2"/>
    <s v="Konventionel"/>
    <x v="1"/>
    <s v="Øvrige"/>
    <n v="1053.0756502454326"/>
    <n v="37652.859101471367"/>
    <n v="0"/>
    <n v="37652.859101471367"/>
  </r>
  <r>
    <x v="0"/>
    <x v="10"/>
    <x v="2"/>
    <s v="Konventionel"/>
    <x v="1"/>
    <s v="Halm"/>
    <n v="2599.3012559376307"/>
    <n v="44569.264461683793"/>
    <n v="12913.328639498148"/>
    <n v="12913.328639498148"/>
  </r>
  <r>
    <x v="0"/>
    <x v="11"/>
    <x v="2"/>
    <s v="Konventionel"/>
    <x v="1"/>
    <s v="Juletræer"/>
    <n v="298.64167990319493"/>
    <n v="17918.500794191696"/>
    <n v="0"/>
    <n v="17918.500794191696"/>
  </r>
  <r>
    <x v="0"/>
    <x v="12"/>
    <x v="2"/>
    <s v="Konventionel"/>
    <x v="1"/>
    <s v="Pil &amp; poppel"/>
    <n v="490.4797600535137"/>
    <n v="14355.505172297962"/>
    <n v="0"/>
    <n v="14355.505172297962"/>
  </r>
  <r>
    <x v="0"/>
    <x v="13"/>
    <x v="2"/>
    <s v="Konventionel"/>
    <x v="1"/>
    <s v="Græs"/>
    <n v="13863.442305783894"/>
    <n v="229412.2432761119"/>
    <n v="0"/>
    <n v="229412.2432761119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3253.0366715917453"/>
    <n v="18334.24480255794"/>
    <n v="8631.7624530442808"/>
    <n v="8631.7624530442808"/>
  </r>
  <r>
    <x v="0"/>
    <x v="1"/>
    <x v="1"/>
    <s v="Økologisk"/>
    <x v="1"/>
    <s v="Halm"/>
    <n v="278.86397599348209"/>
    <n v="736.26782397703118"/>
    <n v="315.28590463556941"/>
    <n v="315.28590463556941"/>
  </r>
  <r>
    <x v="0"/>
    <x v="2"/>
    <x v="1"/>
    <s v="Økologisk"/>
    <x v="1"/>
    <s v="Halm"/>
    <n v="298.60280440418097"/>
    <n v="867.14254398974163"/>
    <n v="668.04661588969702"/>
    <n v="668.04661588969702"/>
  </r>
  <r>
    <x v="0"/>
    <x v="3"/>
    <x v="1"/>
    <s v="Økologisk"/>
    <x v="1"/>
    <s v="Græs"/>
    <n v="2755.6120794375188"/>
    <n v="127982.52921326154"/>
    <n v="0"/>
    <n v="127982.52921326154"/>
  </r>
  <r>
    <x v="0"/>
    <x v="4"/>
    <x v="1"/>
    <s v="Økologisk"/>
    <x v="1"/>
    <s v="Grøntsager"/>
    <n v="12.888101345112323"/>
    <n v="182.92082239117917"/>
    <n v="0"/>
    <n v="182.92082239117917"/>
  </r>
  <r>
    <x v="0"/>
    <x v="5"/>
    <x v="1"/>
    <s v="Økologisk"/>
    <x v="1"/>
    <s v="Kartofler"/>
    <n v="203.46971549768895"/>
    <n v="5910.8146132760057"/>
    <n v="0"/>
    <n v="5910.8146132760057"/>
  </r>
  <r>
    <x v="0"/>
    <x v="6"/>
    <x v="1"/>
    <s v="Økologisk"/>
    <x v="1"/>
    <s v="Roer"/>
    <n v="5.3380929784355526"/>
    <n v="296.67814136460527"/>
    <n v="0"/>
    <n v="296.67814136460527"/>
  </r>
  <r>
    <x v="0"/>
    <x v="7"/>
    <x v="1"/>
    <s v="Økologisk"/>
    <x v="1"/>
    <s v="Majs"/>
    <n v="689.0675852617577"/>
    <n v="30547.716627120833"/>
    <n v="0"/>
    <n v="30547.716627120833"/>
  </r>
  <r>
    <x v="0"/>
    <x v="8"/>
    <x v="1"/>
    <s v="Økologisk"/>
    <x v="1"/>
    <s v="Frugt"/>
    <n v="11.73885867531555"/>
    <n v="68.169430544945442"/>
    <n v="0"/>
    <n v="68.169430544945442"/>
  </r>
  <r>
    <x v="0"/>
    <x v="9"/>
    <x v="1"/>
    <s v="Økologisk"/>
    <x v="1"/>
    <s v="Øvrige"/>
    <n v="207.61229700497469"/>
    <n v="4231.2269228448749"/>
    <n v="0"/>
    <n v="4231.2269228448749"/>
  </r>
  <r>
    <x v="0"/>
    <x v="10"/>
    <x v="1"/>
    <s v="Økologisk"/>
    <x v="1"/>
    <s v="Halm"/>
    <n v="512.44837370169512"/>
    <n v="5008.4555654447104"/>
    <n v="1200.1622903833493"/>
    <n v="1200.1622903833493"/>
  </r>
  <r>
    <x v="0"/>
    <x v="11"/>
    <x v="1"/>
    <s v="Økologisk"/>
    <x v="1"/>
    <s v="Juletræer"/>
    <n v="58.876762682411666"/>
    <n v="2013.5852837384791"/>
    <n v="0"/>
    <n v="2013.5852837384791"/>
  </r>
  <r>
    <x v="0"/>
    <x v="12"/>
    <x v="1"/>
    <s v="Økologisk"/>
    <x v="1"/>
    <s v="Pil &amp; poppel"/>
    <n v="96.697354644394366"/>
    <n v="1613.1948921162375"/>
    <n v="0"/>
    <n v="1613.1948921162375"/>
  </r>
  <r>
    <x v="0"/>
    <x v="13"/>
    <x v="1"/>
    <s v="Økologisk"/>
    <x v="1"/>
    <s v="Græs"/>
    <n v="2733.1570156701764"/>
    <n v="45228.282295310084"/>
    <n v="0"/>
    <n v="45228.282295310084"/>
  </r>
  <r>
    <x v="0"/>
    <x v="0"/>
    <x v="2"/>
    <s v="Økologisk"/>
    <x v="1"/>
    <s v="Halm"/>
    <n v="3500.0927797828404"/>
    <n v="19726.66291056728"/>
    <n v="11229.402861840425"/>
    <n v="11229.402861840425"/>
  </r>
  <r>
    <x v="0"/>
    <x v="1"/>
    <x v="2"/>
    <s v="Økologisk"/>
    <x v="1"/>
    <s v="Halm"/>
    <n v="300.04266396380046"/>
    <n v="792.18464310378454"/>
    <n v="410.16796500973498"/>
    <n v="410.16796500973498"/>
  </r>
  <r>
    <x v="0"/>
    <x v="2"/>
    <x v="2"/>
    <s v="Økologisk"/>
    <x v="1"/>
    <s v="Halm"/>
    <n v="321.28058341456835"/>
    <n v="932.99881423590659"/>
    <n v="869.08839546074694"/>
    <n v="869.08839546074694"/>
  </r>
  <r>
    <x v="0"/>
    <x v="3"/>
    <x v="2"/>
    <s v="Økologisk"/>
    <x v="1"/>
    <s v="Græs"/>
    <n v="2964.8906289157476"/>
    <n v="137702.32913436423"/>
    <n v="0"/>
    <n v="137702.32913436423"/>
  </r>
  <r>
    <x v="0"/>
    <x v="4"/>
    <x v="2"/>
    <s v="Økologisk"/>
    <x v="1"/>
    <s v="Grøntsager"/>
    <n v="13.866904992824622"/>
    <n v="196.81298256315984"/>
    <n v="0"/>
    <n v="196.81298256315984"/>
  </r>
  <r>
    <x v="0"/>
    <x v="5"/>
    <x v="2"/>
    <s v="Økologisk"/>
    <x v="1"/>
    <s v="Kartofler"/>
    <n v="218.92248812844184"/>
    <n v="6359.7191298920079"/>
    <n v="0"/>
    <n v="6359.7191298920079"/>
  </r>
  <r>
    <x v="0"/>
    <x v="6"/>
    <x v="2"/>
    <s v="Økologisk"/>
    <x v="1"/>
    <s v="Roer"/>
    <n v="5.7435014043323305"/>
    <n v="319.20974933293547"/>
    <n v="0"/>
    <n v="319.20974933293547"/>
  </r>
  <r>
    <x v="0"/>
    <x v="7"/>
    <x v="2"/>
    <s v="Økologisk"/>
    <x v="1"/>
    <s v="Majs"/>
    <n v="741.39972076519973"/>
    <n v="32867.702764973998"/>
    <n v="0"/>
    <n v="32867.702764973998"/>
  </r>
  <r>
    <x v="0"/>
    <x v="8"/>
    <x v="2"/>
    <s v="Økologisk"/>
    <x v="1"/>
    <s v="Frugt"/>
    <n v="12.630381591197606"/>
    <n v="73.346646761139084"/>
    <n v="0"/>
    <n v="73.346646761139084"/>
  </r>
  <r>
    <x v="0"/>
    <x v="9"/>
    <x v="2"/>
    <s v="Økologisk"/>
    <x v="1"/>
    <s v="Øvrige"/>
    <n v="223.3796833853948"/>
    <n v="4552.5729640869913"/>
    <n v="0"/>
    <n v="4552.5729640869913"/>
  </r>
  <r>
    <x v="0"/>
    <x v="10"/>
    <x v="2"/>
    <s v="Økologisk"/>
    <x v="1"/>
    <s v="Halm"/>
    <n v="551.36693307767916"/>
    <n v="5388.8292485490392"/>
    <n v="1561.3388264120485"/>
    <n v="1561.3388264120485"/>
  </r>
  <r>
    <x v="0"/>
    <x v="11"/>
    <x v="2"/>
    <s v="Økologisk"/>
    <x v="1"/>
    <s v="Juletræer"/>
    <n v="63.34823513098074"/>
    <n v="2166.5096414795412"/>
    <n v="0"/>
    <n v="2166.5096414795412"/>
  </r>
  <r>
    <x v="0"/>
    <x v="12"/>
    <x v="2"/>
    <s v="Økologisk"/>
    <x v="1"/>
    <s v="Pil &amp; poppel"/>
    <n v="104.0411612234726"/>
    <n v="1735.7110799232989"/>
    <n v="0"/>
    <n v="1735.7110799232989"/>
  </r>
  <r>
    <x v="0"/>
    <x v="13"/>
    <x v="2"/>
    <s v="Økologisk"/>
    <x v="1"/>
    <s v="Græs"/>
    <n v="2940.7301860753714"/>
    <n v="48663.203119175247"/>
    <n v="0"/>
    <n v="48663.203119175247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8269.0161200631464"/>
    <n v="81152.124202299703"/>
    <n v="38206.420074442714"/>
    <n v="38206.420074442714"/>
  </r>
  <r>
    <x v="0"/>
    <x v="1"/>
    <x v="1"/>
    <s v="Konventionel"/>
    <x v="2"/>
    <s v="Halm"/>
    <n v="476.12351737499114"/>
    <n v="2572.9714878944524"/>
    <n v="1101.8023832420477"/>
    <n v="1101.8023832420477"/>
  </r>
  <r>
    <x v="0"/>
    <x v="2"/>
    <x v="1"/>
    <s v="Konventionel"/>
    <x v="2"/>
    <s v="Halm"/>
    <n v="616.55839503976472"/>
    <n v="3797.9997134449509"/>
    <n v="2925.9789792379906"/>
    <n v="2925.9789792379906"/>
  </r>
  <r>
    <x v="0"/>
    <x v="3"/>
    <x v="1"/>
    <s v="Konventionel"/>
    <x v="2"/>
    <s v="Græs"/>
    <n v="14219.782896462779"/>
    <n v="987819.87825147621"/>
    <n v="0"/>
    <n v="987819.87825147621"/>
  </r>
  <r>
    <x v="0"/>
    <x v="4"/>
    <x v="1"/>
    <s v="Konventionel"/>
    <x v="2"/>
    <s v="Grøntsager"/>
    <n v="16.527831515094178"/>
    <n v="480.13350551348589"/>
    <n v="0"/>
    <n v="480.13350551348589"/>
  </r>
  <r>
    <x v="0"/>
    <x v="5"/>
    <x v="1"/>
    <s v="Konventionel"/>
    <x v="2"/>
    <s v="Kartofler"/>
    <n v="874.82296878583463"/>
    <n v="52016.325706991804"/>
    <n v="0"/>
    <n v="52016.325706991804"/>
  </r>
  <r>
    <x v="0"/>
    <x v="6"/>
    <x v="1"/>
    <s v="Konventionel"/>
    <x v="2"/>
    <s v="Roer"/>
    <n v="9.4603904307598334"/>
    <n v="1076.1688314489425"/>
    <n v="0"/>
    <n v="1076.1688314489425"/>
  </r>
  <r>
    <x v="0"/>
    <x v="7"/>
    <x v="1"/>
    <s v="Konventionel"/>
    <x v="2"/>
    <s v="Majs"/>
    <n v="1176.4921633749784"/>
    <n v="73311.932668548412"/>
    <n v="0"/>
    <n v="73311.932668548412"/>
  </r>
  <r>
    <x v="0"/>
    <x v="8"/>
    <x v="1"/>
    <s v="Konventionel"/>
    <x v="2"/>
    <s v="Frugt"/>
    <n v="33.714690278143649"/>
    <n v="400.73280864601543"/>
    <n v="0"/>
    <n v="400.73280864601543"/>
  </r>
  <r>
    <x v="0"/>
    <x v="9"/>
    <x v="1"/>
    <s v="Konventionel"/>
    <x v="2"/>
    <s v="Øvrige"/>
    <n v="596.27468777483512"/>
    <n v="24873.193677220581"/>
    <n v="0"/>
    <n v="24873.193677220581"/>
  </r>
  <r>
    <x v="0"/>
    <x v="10"/>
    <x v="1"/>
    <s v="Konventionel"/>
    <x v="2"/>
    <s v="Halm"/>
    <n v="1897.1467002204627"/>
    <n v="37951.291055696296"/>
    <n v="9094.1624221768125"/>
    <n v="9094.1624221768125"/>
  </r>
  <r>
    <x v="0"/>
    <x v="11"/>
    <x v="1"/>
    <s v="Konventionel"/>
    <x v="2"/>
    <s v="Juletræer"/>
    <n v="169.09751393390181"/>
    <n v="11836.825975373127"/>
    <n v="0"/>
    <n v="11836.825975373127"/>
  </r>
  <r>
    <x v="0"/>
    <x v="12"/>
    <x v="1"/>
    <s v="Konventionel"/>
    <x v="2"/>
    <s v="Pil &amp; poppel"/>
    <n v="399.1587138370042"/>
    <n v="13629.809740775754"/>
    <n v="0"/>
    <n v="13629.809740775754"/>
  </r>
  <r>
    <x v="0"/>
    <x v="13"/>
    <x v="1"/>
    <s v="Konventionel"/>
    <x v="2"/>
    <s v="Græs"/>
    <n v="14762.990467149724"/>
    <n v="285014.29395879258"/>
    <n v="0"/>
    <n v="285014.29395879258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0"/>
    <n v="0"/>
    <n v="0"/>
    <n v="0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1290.5400881023411"/>
    <n v="8485.7914845063697"/>
    <n v="3995.1106309056008"/>
    <n v="3995.1106309056008"/>
  </r>
  <r>
    <x v="0"/>
    <x v="1"/>
    <x v="1"/>
    <s v="Økologisk"/>
    <x v="2"/>
    <s v="Halm"/>
    <n v="74.308294619218273"/>
    <n v="228.89035374968569"/>
    <n v="98.015830509220322"/>
    <n v="98.015830509220322"/>
  </r>
  <r>
    <x v="0"/>
    <x v="2"/>
    <x v="1"/>
    <s v="Økologisk"/>
    <x v="2"/>
    <s v="Halm"/>
    <n v="96.225876682506637"/>
    <n v="326.01327020033256"/>
    <n v="251.1606233623362"/>
    <n v="251.1606233623362"/>
  </r>
  <r>
    <x v="0"/>
    <x v="3"/>
    <x v="1"/>
    <s v="Økologisk"/>
    <x v="2"/>
    <s v="Græs"/>
    <n v="2219.2724751704914"/>
    <n v="120251.36783801208"/>
    <n v="0"/>
    <n v="120251.36783801208"/>
  </r>
  <r>
    <x v="0"/>
    <x v="4"/>
    <x v="1"/>
    <s v="Økologisk"/>
    <x v="2"/>
    <s v="Grøntsager"/>
    <n v="2.5794881555349294"/>
    <n v="42.712454623425124"/>
    <n v="0"/>
    <n v="42.712454623425124"/>
  </r>
  <r>
    <x v="0"/>
    <x v="5"/>
    <x v="1"/>
    <s v="Økologisk"/>
    <x v="2"/>
    <s v="Kartofler"/>
    <n v="136.5330644925869"/>
    <n v="4627.3482811017566"/>
    <n v="0"/>
    <n v="4627.3482811017566"/>
  </r>
  <r>
    <x v="0"/>
    <x v="6"/>
    <x v="1"/>
    <s v="Økologisk"/>
    <x v="2"/>
    <s v="Roer"/>
    <n v="1.4764771192515349"/>
    <n v="95.73548159537124"/>
    <n v="0"/>
    <n v="95.73548159537124"/>
  </r>
  <r>
    <x v="0"/>
    <x v="7"/>
    <x v="1"/>
    <s v="Økologisk"/>
    <x v="2"/>
    <s v="Majs"/>
    <n v="183.61438387933188"/>
    <n v="9496.6497751570496"/>
    <n v="0"/>
    <n v="9496.6497751570496"/>
  </r>
  <r>
    <x v="0"/>
    <x v="8"/>
    <x v="1"/>
    <s v="Økologisk"/>
    <x v="2"/>
    <s v="Frugt"/>
    <n v="5.2618302746235761"/>
    <n v="35.649005347180221"/>
    <n v="0"/>
    <n v="35.649005347180221"/>
  </r>
  <r>
    <x v="0"/>
    <x v="9"/>
    <x v="1"/>
    <s v="Økologisk"/>
    <x v="2"/>
    <s v="Øvrige"/>
    <n v="93.060211386823994"/>
    <n v="2212.7078074706633"/>
    <n v="0"/>
    <n v="2212.7078074706633"/>
  </r>
  <r>
    <x v="0"/>
    <x v="10"/>
    <x v="1"/>
    <s v="Økologisk"/>
    <x v="2"/>
    <s v="Halm"/>
    <n v="296.08647922515894"/>
    <n v="3376.1293025847745"/>
    <n v="809.01248368382142"/>
    <n v="809.01248368382142"/>
  </r>
  <r>
    <x v="0"/>
    <x v="11"/>
    <x v="1"/>
    <s v="Økologisk"/>
    <x v="2"/>
    <s v="Juletræer"/>
    <n v="26.390941481013577"/>
    <n v="1052.9985650924416"/>
    <n v="0"/>
    <n v="1052.9985650924416"/>
  </r>
  <r>
    <x v="0"/>
    <x v="12"/>
    <x v="1"/>
    <s v="Økologisk"/>
    <x v="2"/>
    <s v="Pil &amp; poppel"/>
    <n v="62.296446668202975"/>
    <n v="1212.5015717372187"/>
    <n v="0"/>
    <n v="1212.5015717372187"/>
  </r>
  <r>
    <x v="0"/>
    <x v="13"/>
    <x v="1"/>
    <s v="Økologisk"/>
    <x v="2"/>
    <s v="Græs"/>
    <n v="2304.0505353355065"/>
    <n v="44481.999635187291"/>
    <n v="0"/>
    <n v="44481.999635187291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0"/>
    <n v="0"/>
    <n v="0"/>
    <n v="0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277847.44549518183"/>
    <n v="1947710.5929212247"/>
    <n v="916982.14714731264"/>
    <n v="916982.14714731264"/>
  </r>
  <r>
    <x v="1"/>
    <x v="1"/>
    <x v="1"/>
    <s v="Konventionel"/>
    <x v="0"/>
    <s v="Halm"/>
    <n v="6055.6397331754633"/>
    <n v="23374.769370057289"/>
    <n v="10009.584917996119"/>
    <n v="10009.584917996119"/>
  </r>
  <r>
    <x v="1"/>
    <x v="2"/>
    <x v="1"/>
    <s v="Konventionel"/>
    <x v="0"/>
    <s v="Halm"/>
    <n v="38413.381365538749"/>
    <n v="169018.87800837052"/>
    <n v="130212.14361764863"/>
    <n v="130212.14361764863"/>
  </r>
  <r>
    <x v="1"/>
    <x v="3"/>
    <x v="1"/>
    <s v="Konventionel"/>
    <x v="0"/>
    <s v="Græs"/>
    <n v="23337.085725305184"/>
    <n v="1157986.1936896432"/>
    <n v="0"/>
    <n v="1157986.1936896432"/>
  </r>
  <r>
    <x v="1"/>
    <x v="4"/>
    <x v="1"/>
    <s v="Konventionel"/>
    <x v="0"/>
    <s v="Grøntsager"/>
    <n v="3656.9274374465294"/>
    <n v="75881.244327015491"/>
    <n v="0"/>
    <n v="75881.244327015491"/>
  </r>
  <r>
    <x v="1"/>
    <x v="5"/>
    <x v="1"/>
    <s v="Konventionel"/>
    <x v="0"/>
    <s v="Kartofler"/>
    <n v="2345.9279292965525"/>
    <n v="99633.669251129249"/>
    <n v="0"/>
    <n v="99633.669251129249"/>
  </r>
  <r>
    <x v="1"/>
    <x v="6"/>
    <x v="1"/>
    <s v="Konventionel"/>
    <x v="0"/>
    <s v="Roer"/>
    <n v="24387.347223432687"/>
    <n v="1981562.9594681722"/>
    <n v="0"/>
    <n v="1981562.9594681722"/>
  </r>
  <r>
    <x v="1"/>
    <x v="7"/>
    <x v="1"/>
    <s v="Konventionel"/>
    <x v="0"/>
    <s v="Majs"/>
    <n v="6897.6493288624933"/>
    <n v="307014.37162766961"/>
    <n v="0"/>
    <n v="307014.37162766961"/>
  </r>
  <r>
    <x v="1"/>
    <x v="8"/>
    <x v="1"/>
    <s v="Konventionel"/>
    <x v="0"/>
    <s v="Frugt"/>
    <n v="1604.9535438553075"/>
    <n v="13626.055587331561"/>
    <n v="0"/>
    <n v="13626.055587331561"/>
  </r>
  <r>
    <x v="1"/>
    <x v="9"/>
    <x v="1"/>
    <s v="Konventionel"/>
    <x v="0"/>
    <s v="Øvrige"/>
    <n v="11460.146724373322"/>
    <n v="341465.88439495384"/>
    <n v="0"/>
    <n v="341465.88439495384"/>
  </r>
  <r>
    <x v="1"/>
    <x v="10"/>
    <x v="1"/>
    <s v="Konventionel"/>
    <x v="0"/>
    <s v="Halm"/>
    <n v="35457.355952106635"/>
    <n v="506645.22209945583"/>
    <n v="121405.98678001313"/>
    <n v="121405.98678001313"/>
  </r>
  <r>
    <x v="1"/>
    <x v="11"/>
    <x v="1"/>
    <s v="Konventionel"/>
    <x v="0"/>
    <s v="Juletræer"/>
    <n v="2514.9530700143437"/>
    <n v="125747.65350071719"/>
    <n v="0"/>
    <n v="125747.65350071719"/>
  </r>
  <r>
    <x v="1"/>
    <x v="12"/>
    <x v="1"/>
    <s v="Konventionel"/>
    <x v="0"/>
    <s v="Pil &amp; poppel"/>
    <n v="1195.4478510811762"/>
    <n v="29157.264660516492"/>
    <n v="0"/>
    <n v="29157.264660516492"/>
  </r>
  <r>
    <x v="1"/>
    <x v="13"/>
    <x v="1"/>
    <s v="Konventionel"/>
    <x v="0"/>
    <s v="Græs"/>
    <n v="29775.268629829476"/>
    <n v="410600.95440534852"/>
    <n v="0"/>
    <n v="410600.95440534852"/>
  </r>
  <r>
    <x v="1"/>
    <x v="0"/>
    <x v="2"/>
    <s v="Konventionel"/>
    <x v="0"/>
    <s v="Halm"/>
    <n v="252961.21164089115"/>
    <n v="1773258.0936026471"/>
    <n v="1009427.1697833068"/>
    <n v="1009427.1697833068"/>
  </r>
  <r>
    <x v="1"/>
    <x v="1"/>
    <x v="2"/>
    <s v="Konventionel"/>
    <x v="0"/>
    <s v="Halm"/>
    <n v="5513.2483274579954"/>
    <n v="21281.138543987865"/>
    <n v="11018.695408532636"/>
    <n v="11018.695408532636"/>
  </r>
  <r>
    <x v="1"/>
    <x v="2"/>
    <x v="2"/>
    <s v="Konventionel"/>
    <x v="0"/>
    <s v="Halm"/>
    <n v="34972.772472795026"/>
    <n v="153880.19888029812"/>
    <n v="143339.40525699768"/>
    <n v="143339.40525699768"/>
  </r>
  <r>
    <x v="1"/>
    <x v="3"/>
    <x v="2"/>
    <s v="Konventionel"/>
    <x v="0"/>
    <s v="Græs"/>
    <n v="21246.830147095647"/>
    <n v="1054267.7118988861"/>
    <n v="0"/>
    <n v="1054267.7118988861"/>
  </r>
  <r>
    <x v="1"/>
    <x v="4"/>
    <x v="2"/>
    <s v="Konventionel"/>
    <x v="0"/>
    <s v="Grøntsager"/>
    <n v="3329.3838415920754"/>
    <n v="69084.714713035573"/>
    <n v="0"/>
    <n v="69084.714713035573"/>
  </r>
  <r>
    <x v="1"/>
    <x v="5"/>
    <x v="2"/>
    <s v="Konventionel"/>
    <x v="0"/>
    <s v="Kartofler"/>
    <n v="2135.807908398976"/>
    <n v="90709.682966764973"/>
    <n v="0"/>
    <n v="90709.682966764973"/>
  </r>
  <r>
    <x v="1"/>
    <x v="6"/>
    <x v="2"/>
    <s v="Konventionel"/>
    <x v="0"/>
    <s v="Roer"/>
    <n v="22203.021846582469"/>
    <n v="1804078.372131268"/>
    <n v="0"/>
    <n v="1804078.372131268"/>
  </r>
  <r>
    <x v="1"/>
    <x v="7"/>
    <x v="2"/>
    <s v="Konventionel"/>
    <x v="0"/>
    <s v="Majs"/>
    <n v="6279.8408262972243"/>
    <n v="279515.71517848945"/>
    <n v="0"/>
    <n v="279515.71517848945"/>
  </r>
  <r>
    <x v="1"/>
    <x v="8"/>
    <x v="2"/>
    <s v="Konventionel"/>
    <x v="0"/>
    <s v="Frugt"/>
    <n v="1461.2011003283492"/>
    <n v="12405.597341787687"/>
    <n v="0"/>
    <n v="12405.597341787687"/>
  </r>
  <r>
    <x v="1"/>
    <x v="9"/>
    <x v="2"/>
    <s v="Konventionel"/>
    <x v="0"/>
    <s v="Øvrige"/>
    <n v="10433.684555973852"/>
    <n v="310881.47561203281"/>
    <n v="0"/>
    <n v="310881.47561203281"/>
  </r>
  <r>
    <x v="1"/>
    <x v="10"/>
    <x v="2"/>
    <s v="Konventionel"/>
    <x v="0"/>
    <s v="Halm"/>
    <n v="32281.512278228936"/>
    <n v="461266.03404949862"/>
    <n v="133645.46083186779"/>
    <n v="133645.46083186779"/>
  </r>
  <r>
    <x v="1"/>
    <x v="11"/>
    <x v="2"/>
    <s v="Konventionel"/>
    <x v="0"/>
    <s v="Juletræer"/>
    <n v="2289.6938090504755"/>
    <n v="114484.69045252376"/>
    <n v="0"/>
    <n v="114484.69045252376"/>
  </r>
  <r>
    <x v="1"/>
    <x v="12"/>
    <x v="2"/>
    <s v="Konventionel"/>
    <x v="0"/>
    <s v="Pil &amp; poppel"/>
    <n v="1088.3740043895341"/>
    <n v="26545.707424134976"/>
    <n v="0"/>
    <n v="26545.707424134976"/>
  </r>
  <r>
    <x v="1"/>
    <x v="13"/>
    <x v="2"/>
    <s v="Konventionel"/>
    <x v="0"/>
    <s v="Græs"/>
    <n v="27108.358027589973"/>
    <n v="373824.25720046577"/>
    <n v="0"/>
    <n v="373824.25720046577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43363.474152427225"/>
    <n v="203665.22905170496"/>
    <n v="95885.589837542706"/>
    <n v="95885.589837542706"/>
  </r>
  <r>
    <x v="1"/>
    <x v="1"/>
    <x v="1"/>
    <s v="Økologisk"/>
    <x v="0"/>
    <s v="Halm"/>
    <n v="945.0998427499278"/>
    <n v="2079.4086740183911"/>
    <n v="890.4480455951458"/>
    <n v="890.4480455951458"/>
  </r>
  <r>
    <x v="1"/>
    <x v="2"/>
    <x v="1"/>
    <s v="Økologisk"/>
    <x v="0"/>
    <s v="Halm"/>
    <n v="5995.1520050262798"/>
    <n v="14508.267852163597"/>
    <n v="11177.169553306838"/>
    <n v="11177.169553306838"/>
  </r>
  <r>
    <x v="1"/>
    <x v="3"/>
    <x v="1"/>
    <s v="Økologisk"/>
    <x v="0"/>
    <s v="Græs"/>
    <n v="3642.2041305389598"/>
    <n v="140966.41178672769"/>
    <n v="0"/>
    <n v="140966.41178672769"/>
  </r>
  <r>
    <x v="1"/>
    <x v="4"/>
    <x v="1"/>
    <s v="Økologisk"/>
    <x v="0"/>
    <s v="Grøntsager"/>
    <n v="570.73433994830236"/>
    <n v="6750.3604057385455"/>
    <n v="0"/>
    <n v="6750.3604057385455"/>
  </r>
  <r>
    <x v="1"/>
    <x v="5"/>
    <x v="1"/>
    <s v="Økologisk"/>
    <x v="0"/>
    <s v="Kartofler"/>
    <n v="366.12748029483765"/>
    <n v="8863.3651432073912"/>
    <n v="0"/>
    <n v="8863.3651432073912"/>
  </r>
  <r>
    <x v="1"/>
    <x v="6"/>
    <x v="1"/>
    <s v="Økologisk"/>
    <x v="0"/>
    <s v="Roer"/>
    <n v="3806.1177747553907"/>
    <n v="176278.92454459635"/>
    <n v="0"/>
    <n v="176278.92454459635"/>
  </r>
  <r>
    <x v="1"/>
    <x v="7"/>
    <x v="1"/>
    <s v="Økologisk"/>
    <x v="0"/>
    <s v="Majs"/>
    <n v="1076.511744966979"/>
    <n v="39769.896347838599"/>
    <n v="0"/>
    <n v="39769.896347838599"/>
  </r>
  <r>
    <x v="1"/>
    <x v="8"/>
    <x v="1"/>
    <s v="Økologisk"/>
    <x v="0"/>
    <s v="Frugt"/>
    <n v="250.48407909880524"/>
    <n v="1212.167603982848"/>
    <n v="0"/>
    <n v="1212.167603982848"/>
  </r>
  <r>
    <x v="1"/>
    <x v="9"/>
    <x v="1"/>
    <s v="Økologisk"/>
    <x v="0"/>
    <s v="Øvrige"/>
    <n v="1788.5778124744493"/>
    <n v="30376.64717247595"/>
    <n v="0"/>
    <n v="30376.64717247595"/>
  </r>
  <r>
    <x v="1"/>
    <x v="10"/>
    <x v="1"/>
    <s v="Økologisk"/>
    <x v="0"/>
    <s v="Halm"/>
    <n v="5533.8069983056603"/>
    <n v="45070.924671159679"/>
    <n v="10800.22044245319"/>
    <n v="10800.22044245319"/>
  </r>
  <r>
    <x v="1"/>
    <x v="11"/>
    <x v="1"/>
    <s v="Økologisk"/>
    <x v="0"/>
    <s v="Juletræer"/>
    <n v="392.50712653403053"/>
    <n v="11186.453106219871"/>
    <n v="0"/>
    <n v="11186.453106219871"/>
  </r>
  <r>
    <x v="1"/>
    <x v="12"/>
    <x v="1"/>
    <s v="Økologisk"/>
    <x v="0"/>
    <s v="Pil &amp; poppel"/>
    <n v="186.57278600688875"/>
    <n v="2593.8167810713803"/>
    <n v="0"/>
    <n v="2593.8167810713803"/>
  </r>
  <r>
    <x v="1"/>
    <x v="13"/>
    <x v="1"/>
    <s v="Økologisk"/>
    <x v="0"/>
    <s v="Græs"/>
    <n v="4647.0072428057565"/>
    <n v="64082.229878291386"/>
    <n v="0"/>
    <n v="64082.229878291386"/>
  </r>
  <r>
    <x v="1"/>
    <x v="0"/>
    <x v="2"/>
    <s v="Økologisk"/>
    <x v="0"/>
    <s v="Halm"/>
    <n v="53658.438832916305"/>
    <n v="252017.58966655802"/>
    <n v="143461.01291768815"/>
    <n v="143461.01291768815"/>
  </r>
  <r>
    <x v="1"/>
    <x v="1"/>
    <x v="2"/>
    <s v="Økologisk"/>
    <x v="0"/>
    <s v="Halm"/>
    <n v="1169.4769179456355"/>
    <n v="2573.0831148639872"/>
    <n v="1332.2604448498553"/>
    <n v="1332.2604448498553"/>
  </r>
  <r>
    <x v="1"/>
    <x v="2"/>
    <x v="2"/>
    <s v="Økologisk"/>
    <x v="0"/>
    <s v="Halm"/>
    <n v="7418.4668881686412"/>
    <n v="17952.689869368114"/>
    <n v="16722.930613316399"/>
    <n v="16722.930613316399"/>
  </r>
  <r>
    <x v="1"/>
    <x v="3"/>
    <x v="2"/>
    <s v="Økologisk"/>
    <x v="0"/>
    <s v="Græs"/>
    <n v="4506.9033645354402"/>
    <n v="174433.38505963387"/>
    <n v="0"/>
    <n v="174433.38505963387"/>
  </r>
  <r>
    <x v="1"/>
    <x v="4"/>
    <x v="2"/>
    <s v="Økologisk"/>
    <x v="0"/>
    <s v="Grøntsager"/>
    <n v="706.23293609528866"/>
    <n v="8352.9700516670255"/>
    <n v="0"/>
    <n v="8352.9700516670255"/>
  </r>
  <r>
    <x v="1"/>
    <x v="5"/>
    <x v="2"/>
    <s v="Økologisk"/>
    <x v="0"/>
    <s v="Kartofler"/>
    <n v="453.05016238766149"/>
    <n v="10967.625304163399"/>
    <n v="0"/>
    <n v="10967.625304163399"/>
  </r>
  <r>
    <x v="1"/>
    <x v="6"/>
    <x v="2"/>
    <s v="Økologisk"/>
    <x v="0"/>
    <s v="Roer"/>
    <n v="4709.7319068508268"/>
    <n v="218129.47590314422"/>
    <n v="0"/>
    <n v="218129.47590314422"/>
  </r>
  <r>
    <x v="1"/>
    <x v="7"/>
    <x v="2"/>
    <s v="Økologisk"/>
    <x v="0"/>
    <s v="Majs"/>
    <n v="1332.0874480024415"/>
    <n v="49211.706217788596"/>
    <n v="0"/>
    <n v="49211.706217788596"/>
  </r>
  <r>
    <x v="1"/>
    <x v="8"/>
    <x v="2"/>
    <s v="Økologisk"/>
    <x v="0"/>
    <s v="Frugt"/>
    <n v="309.95174855449835"/>
    <n v="1499.9494967797839"/>
    <n v="0"/>
    <n v="1499.9494967797839"/>
  </r>
  <r>
    <x v="1"/>
    <x v="9"/>
    <x v="2"/>
    <s v="Økologisk"/>
    <x v="0"/>
    <s v="Øvrige"/>
    <n v="2213.2058149035443"/>
    <n v="37588.396596727602"/>
    <n v="0"/>
    <n v="37588.396596727602"/>
  </r>
  <r>
    <x v="1"/>
    <x v="10"/>
    <x v="2"/>
    <s v="Økologisk"/>
    <x v="0"/>
    <s v="Halm"/>
    <n v="6847.5935135637137"/>
    <n v="55771.256844166644"/>
    <n v="16158.951173307649"/>
    <n v="16158.951173307649"/>
  </r>
  <r>
    <x v="1"/>
    <x v="11"/>
    <x v="2"/>
    <s v="Økologisk"/>
    <x v="0"/>
    <s v="Juletræer"/>
    <n v="485.6926261622221"/>
    <n v="13842.23984562333"/>
    <n v="0"/>
    <n v="13842.23984562333"/>
  </r>
  <r>
    <x v="1"/>
    <x v="12"/>
    <x v="2"/>
    <s v="Økologisk"/>
    <x v="0"/>
    <s v="Pil &amp; poppel"/>
    <n v="230.86721305232541"/>
    <n v="3209.6173521908654"/>
    <n v="0"/>
    <n v="3209.6173521908654"/>
  </r>
  <r>
    <x v="1"/>
    <x v="13"/>
    <x v="2"/>
    <s v="Økologisk"/>
    <x v="0"/>
    <s v="Græs"/>
    <n v="5750.2577634281761"/>
    <n v="79296.054557674564"/>
    <n v="0"/>
    <n v="79296.054557674564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4153.0281200981244"/>
    <n v="34935.27254626542"/>
    <n v="16447.52631478176"/>
    <n v="16447.52631478176"/>
  </r>
  <r>
    <x v="1"/>
    <x v="1"/>
    <x v="1"/>
    <s v="Konventionel"/>
    <x v="1"/>
    <s v="Halm"/>
    <n v="112.30451890716081"/>
    <n v="520.19453157796886"/>
    <n v="222.75861871719212"/>
    <n v="222.75861871719212"/>
  </r>
  <r>
    <x v="1"/>
    <x v="2"/>
    <x v="1"/>
    <s v="Konventionel"/>
    <x v="1"/>
    <s v="Halm"/>
    <n v="453.61549532985964"/>
    <n v="2395.0898153416592"/>
    <n v="1845.1771937392143"/>
    <n v="1845.1771937392143"/>
  </r>
  <r>
    <x v="1"/>
    <x v="3"/>
    <x v="1"/>
    <s v="Konventionel"/>
    <x v="1"/>
    <s v="Græs"/>
    <n v="1333.8196227610581"/>
    <n v="79420.955617684449"/>
    <n v="0"/>
    <n v="79420.955617684449"/>
  </r>
  <r>
    <x v="1"/>
    <x v="4"/>
    <x v="1"/>
    <s v="Konventionel"/>
    <x v="1"/>
    <s v="Grøntsager"/>
    <n v="25.261099168726226"/>
    <n v="629.00136930128303"/>
    <n v="0"/>
    <n v="629.00136930128303"/>
  </r>
  <r>
    <x v="1"/>
    <x v="5"/>
    <x v="1"/>
    <s v="Konventionel"/>
    <x v="1"/>
    <s v="Kartofler"/>
    <n v="42.946180543416538"/>
    <n v="2188.7554998222508"/>
    <n v="0"/>
    <n v="2188.7554998222508"/>
  </r>
  <r>
    <x v="1"/>
    <x v="6"/>
    <x v="1"/>
    <s v="Konventionel"/>
    <x v="1"/>
    <s v="Roer"/>
    <n v="119.98259301094923"/>
    <n v="11698.840054058643"/>
    <n v="0"/>
    <n v="11698.840054058643"/>
  </r>
  <r>
    <x v="1"/>
    <x v="7"/>
    <x v="1"/>
    <s v="Konventionel"/>
    <x v="1"/>
    <s v="Majs"/>
    <n v="127.91995950888544"/>
    <n v="6832.4608772885904"/>
    <n v="0"/>
    <n v="6832.4608772885904"/>
  </r>
  <r>
    <x v="1"/>
    <x v="8"/>
    <x v="1"/>
    <s v="Konventionel"/>
    <x v="1"/>
    <s v="Frugt"/>
    <n v="27.594964857400839"/>
    <n v="281.13750196719974"/>
    <n v="0"/>
    <n v="281.13750196719974"/>
  </r>
  <r>
    <x v="1"/>
    <x v="9"/>
    <x v="1"/>
    <s v="Konventionel"/>
    <x v="1"/>
    <s v="Øvrige"/>
    <n v="197.0414329626538"/>
    <n v="7045.2424863927736"/>
    <n v="0"/>
    <n v="7045.2424863927736"/>
  </r>
  <r>
    <x v="1"/>
    <x v="10"/>
    <x v="1"/>
    <s v="Konventionel"/>
    <x v="1"/>
    <s v="Halm"/>
    <n v="1430.5114592593595"/>
    <n v="24528.45486746051"/>
    <n v="5877.6854838048575"/>
    <n v="5877.6854838048575"/>
  </r>
  <r>
    <x v="1"/>
    <x v="11"/>
    <x v="1"/>
    <s v="Konventionel"/>
    <x v="1"/>
    <s v="Juletræer"/>
    <n v="43.241152898637949"/>
    <n v="2594.4691739182772"/>
    <n v="0"/>
    <n v="2594.4691739182772"/>
  </r>
  <r>
    <x v="1"/>
    <x v="12"/>
    <x v="1"/>
    <s v="Konventionel"/>
    <x v="1"/>
    <s v="Pil &amp; poppel"/>
    <n v="91.773876584838561"/>
    <n v="2686.0646805318606"/>
    <n v="0"/>
    <n v="2686.0646805318606"/>
  </r>
  <r>
    <x v="1"/>
    <x v="13"/>
    <x v="1"/>
    <s v="Konventionel"/>
    <x v="1"/>
    <s v="Græs"/>
    <n v="2659.7407767838267"/>
    <n v="44013.390374218761"/>
    <n v="0"/>
    <n v="44013.390374218761"/>
  </r>
  <r>
    <x v="1"/>
    <x v="0"/>
    <x v="2"/>
    <s v="Konventionel"/>
    <x v="1"/>
    <s v="Halm"/>
    <n v="3287.676142844382"/>
    <n v="27655.931713606937"/>
    <n v="15743.13912797075"/>
    <n v="15743.13912797075"/>
  </r>
  <r>
    <x v="1"/>
    <x v="1"/>
    <x v="2"/>
    <s v="Konventionel"/>
    <x v="1"/>
    <s v="Halm"/>
    <n v="88.904018192866161"/>
    <n v="411.8034122693561"/>
    <n v="213.21868463998726"/>
    <n v="213.21868463998726"/>
  </r>
  <r>
    <x v="1"/>
    <x v="2"/>
    <x v="2"/>
    <s v="Konventionel"/>
    <x v="1"/>
    <s v="Halm"/>
    <n v="359.09721747448225"/>
    <n v="1896.0333082652662"/>
    <n v="1766.1550266490956"/>
    <n v="1766.1550266490956"/>
  </r>
  <r>
    <x v="1"/>
    <x v="3"/>
    <x v="2"/>
    <s v="Konventionel"/>
    <x v="1"/>
    <s v="Græs"/>
    <n v="1055.8962823747061"/>
    <n v="62872.288237719498"/>
    <n v="0"/>
    <n v="62872.288237719498"/>
  </r>
  <r>
    <x v="1"/>
    <x v="4"/>
    <x v="2"/>
    <s v="Konventionel"/>
    <x v="1"/>
    <s v="Grøntsager"/>
    <n v="19.997532084392677"/>
    <n v="497.93854890137766"/>
    <n v="0"/>
    <n v="497.93854890137766"/>
  </r>
  <r>
    <x v="1"/>
    <x v="5"/>
    <x v="2"/>
    <s v="Konventionel"/>
    <x v="1"/>
    <s v="Kartofler"/>
    <n v="33.997634765724179"/>
    <n v="1732.692154060114"/>
    <n v="0"/>
    <n v="1732.692154060114"/>
  </r>
  <r>
    <x v="1"/>
    <x v="6"/>
    <x v="2"/>
    <s v="Konventionel"/>
    <x v="1"/>
    <s v="Roer"/>
    <n v="94.982238788545629"/>
    <n v="9261.1935754897131"/>
    <n v="0"/>
    <n v="9261.1935754897131"/>
  </r>
  <r>
    <x v="1"/>
    <x v="7"/>
    <x v="2"/>
    <s v="Konventionel"/>
    <x v="1"/>
    <s v="Majs"/>
    <n v="101.26572392701387"/>
    <n v="5408.8048463896648"/>
    <n v="0"/>
    <n v="5408.8048463896648"/>
  </r>
  <r>
    <x v="1"/>
    <x v="8"/>
    <x v="2"/>
    <s v="Konventionel"/>
    <x v="1"/>
    <s v="Frugt"/>
    <n v="21.845098323620871"/>
    <n v="222.55786172104945"/>
    <n v="0"/>
    <n v="222.55786172104945"/>
  </r>
  <r>
    <x v="1"/>
    <x v="9"/>
    <x v="2"/>
    <s v="Konventionel"/>
    <x v="1"/>
    <s v="Øvrige"/>
    <n v="155.98459715892352"/>
    <n v="5577.2498941133799"/>
    <n v="0"/>
    <n v="5577.2498941133799"/>
  </r>
  <r>
    <x v="1"/>
    <x v="10"/>
    <x v="2"/>
    <s v="Konventionel"/>
    <x v="1"/>
    <s v="Halm"/>
    <n v="1132.4407783112672"/>
    <n v="19417.546319594807"/>
    <n v="5625.9657866503758"/>
    <n v="5625.9657866503758"/>
  </r>
  <r>
    <x v="1"/>
    <x v="11"/>
    <x v="2"/>
    <s v="Konventionel"/>
    <x v="1"/>
    <s v="Juletræer"/>
    <n v="34.231144760604046"/>
    <n v="2053.8686856362428"/>
    <n v="0"/>
    <n v="2053.8686856362428"/>
  </r>
  <r>
    <x v="1"/>
    <x v="12"/>
    <x v="2"/>
    <s v="Konventionel"/>
    <x v="1"/>
    <s v="Pil &amp; poppel"/>
    <n v="72.651274168880292"/>
    <n v="2126.3787561623499"/>
    <n v="0"/>
    <n v="2126.3787561623499"/>
  </r>
  <r>
    <x v="1"/>
    <x v="13"/>
    <x v="2"/>
    <s v="Konventionel"/>
    <x v="1"/>
    <s v="Græs"/>
    <n v="2105.5398723801477"/>
    <n v="34842.473808146686"/>
    <n v="0"/>
    <n v="34842.473808146686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648.16045804999635"/>
    <n v="3653.0582679881009"/>
    <n v="1719.8598325687985"/>
    <n v="1719.8598325687985"/>
  </r>
  <r>
    <x v="1"/>
    <x v="1"/>
    <x v="1"/>
    <s v="Økologisk"/>
    <x v="1"/>
    <s v="Halm"/>
    <n v="17.527294858343019"/>
    <n v="46.276264976791566"/>
    <n v="19.816503711315534"/>
    <n v="19.816503711315534"/>
  </r>
  <r>
    <x v="1"/>
    <x v="2"/>
    <x v="1"/>
    <s v="Økologisk"/>
    <x v="1"/>
    <s v="Halm"/>
    <n v="70.795481930093715"/>
    <n v="205.59007952499221"/>
    <n v="158.38659726605397"/>
    <n v="158.38659726605397"/>
  </r>
  <r>
    <x v="1"/>
    <x v="3"/>
    <x v="1"/>
    <s v="Økologisk"/>
    <x v="1"/>
    <s v="Græs"/>
    <n v="208.16838043091659"/>
    <n v="9668.2388746152283"/>
    <n v="0"/>
    <n v="9668.2388746152283"/>
  </r>
  <r>
    <x v="1"/>
    <x v="4"/>
    <x v="1"/>
    <s v="Økologisk"/>
    <x v="1"/>
    <s v="Grøntsager"/>
    <n v="3.9424836852925322"/>
    <n v="55.955670945356907"/>
    <n v="0"/>
    <n v="55.955670945356907"/>
  </r>
  <r>
    <x v="1"/>
    <x v="5"/>
    <x v="1"/>
    <s v="Økologisk"/>
    <x v="1"/>
    <s v="Kartofler"/>
    <n v="6.7025830905910215"/>
    <n v="194.71067712291588"/>
    <n v="0"/>
    <n v="194.71067712291588"/>
  </r>
  <r>
    <x v="1"/>
    <x v="6"/>
    <x v="1"/>
    <s v="Økologisk"/>
    <x v="1"/>
    <s v="Roer"/>
    <n v="18.725607001708841"/>
    <n v="1040.7234013408238"/>
    <n v="0"/>
    <n v="1040.7234013408238"/>
  </r>
  <r>
    <x v="1"/>
    <x v="7"/>
    <x v="1"/>
    <s v="Økologisk"/>
    <x v="1"/>
    <s v="Majs"/>
    <n v="19.964386744161317"/>
    <n v="885.06039456668975"/>
    <n v="0"/>
    <n v="885.06039456668975"/>
  </r>
  <r>
    <x v="1"/>
    <x v="8"/>
    <x v="1"/>
    <s v="Økologisk"/>
    <x v="1"/>
    <s v="Frugt"/>
    <n v="4.3067286193631373"/>
    <n v="25.009862169220838"/>
    <n v="0"/>
    <n v="25.009862169220838"/>
  </r>
  <r>
    <x v="1"/>
    <x v="9"/>
    <x v="1"/>
    <s v="Økologisk"/>
    <x v="1"/>
    <s v="Øvrige"/>
    <n v="30.752131156021115"/>
    <n v="626.7415136739005"/>
    <n v="0"/>
    <n v="626.7415136739005"/>
  </r>
  <r>
    <x v="1"/>
    <x v="10"/>
    <x v="1"/>
    <s v="Økologisk"/>
    <x v="1"/>
    <s v="Halm"/>
    <n v="223.25901387284802"/>
    <n v="2182.0400023711977"/>
    <n v="522.8761826344321"/>
    <n v="522.8761826344321"/>
  </r>
  <r>
    <x v="1"/>
    <x v="11"/>
    <x v="1"/>
    <s v="Økologisk"/>
    <x v="1"/>
    <s v="Juletræer"/>
    <n v="6.74861923851575"/>
    <n v="230.80277795723865"/>
    <n v="0"/>
    <n v="230.80277795723865"/>
  </r>
  <r>
    <x v="1"/>
    <x v="12"/>
    <x v="1"/>
    <s v="Økologisk"/>
    <x v="1"/>
    <s v="Pil &amp; poppel"/>
    <n v="14.323090565263824"/>
    <n v="238.95107186927942"/>
    <n v="0"/>
    <n v="238.95107186927942"/>
  </r>
  <r>
    <x v="1"/>
    <x v="13"/>
    <x v="1"/>
    <s v="Økologisk"/>
    <x v="1"/>
    <s v="Græs"/>
    <n v="415.10405186799608"/>
    <n v="6869.1418503115992"/>
    <n v="0"/>
    <n v="6869.1418503115992"/>
  </r>
  <r>
    <x v="1"/>
    <x v="0"/>
    <x v="2"/>
    <s v="Økologisk"/>
    <x v="1"/>
    <s v="Halm"/>
    <n v="697.38584848214157"/>
    <n v="3930.4945374792887"/>
    <n v="2237.4340154600854"/>
    <n v="2237.4340154600854"/>
  </r>
  <r>
    <x v="1"/>
    <x v="1"/>
    <x v="2"/>
    <s v="Økologisk"/>
    <x v="1"/>
    <s v="Halm"/>
    <n v="18.858428101517063"/>
    <n v="49.790776210749414"/>
    <n v="25.780077324653004"/>
    <n v="25.780077324653004"/>
  </r>
  <r>
    <x v="1"/>
    <x v="2"/>
    <x v="2"/>
    <s v="Økologisk"/>
    <x v="1"/>
    <s v="Halm"/>
    <n v="76.17213704004169"/>
    <n v="221.20388596428108"/>
    <n v="206.05141977572785"/>
    <n v="206.05141977572785"/>
  </r>
  <r>
    <x v="1"/>
    <x v="3"/>
    <x v="2"/>
    <s v="Økologisk"/>
    <x v="1"/>
    <s v="Græs"/>
    <n v="223.97799929160431"/>
    <n v="10402.505872059046"/>
    <n v="0"/>
    <n v="10402.505872059046"/>
  </r>
  <r>
    <x v="1"/>
    <x v="4"/>
    <x v="2"/>
    <s v="Økologisk"/>
    <x v="1"/>
    <s v="Grøntsager"/>
    <n v="4.2419007451742043"/>
    <n v="60.205297276257483"/>
    <n v="0"/>
    <n v="60.205297276257483"/>
  </r>
  <r>
    <x v="1"/>
    <x v="5"/>
    <x v="2"/>
    <s v="Økologisk"/>
    <x v="1"/>
    <s v="Kartofler"/>
    <n v="7.211619495759674"/>
    <n v="209.49823317272285"/>
    <n v="0"/>
    <n v="209.49823317272285"/>
  </r>
  <r>
    <x v="1"/>
    <x v="6"/>
    <x v="2"/>
    <s v="Økologisk"/>
    <x v="1"/>
    <s v="Roer"/>
    <n v="20.147747621812712"/>
    <n v="1119.7624959455745"/>
    <n v="0"/>
    <n v="1119.7624959455745"/>
  </r>
  <r>
    <x v="1"/>
    <x v="7"/>
    <x v="2"/>
    <s v="Økologisk"/>
    <x v="1"/>
    <s v="Majs"/>
    <n v="21.480608105730209"/>
    <n v="952.27745931890752"/>
    <n v="0"/>
    <n v="952.27745931890752"/>
  </r>
  <r>
    <x v="1"/>
    <x v="8"/>
    <x v="2"/>
    <s v="Økologisk"/>
    <x v="1"/>
    <s v="Frugt"/>
    <n v="4.6338087353135169"/>
    <n v="26.909268735363238"/>
    <n v="0"/>
    <n v="26.909268735363238"/>
  </r>
  <r>
    <x v="1"/>
    <x v="9"/>
    <x v="2"/>
    <s v="Økologisk"/>
    <x v="1"/>
    <s v="Øvrige"/>
    <n v="33.087641821589841"/>
    <n v="674.34021447007228"/>
    <n v="0"/>
    <n v="674.34021447007228"/>
  </r>
  <r>
    <x v="1"/>
    <x v="10"/>
    <x v="2"/>
    <s v="Økologisk"/>
    <x v="1"/>
    <s v="Halm"/>
    <n v="240.21471055087486"/>
    <n v="2347.7578731873718"/>
    <n v="680.2304087495454"/>
    <n v="680.2304087495454"/>
  </r>
  <r>
    <x v="1"/>
    <x v="11"/>
    <x v="2"/>
    <s v="Økologisk"/>
    <x v="1"/>
    <s v="Juletræer"/>
    <n v="7.261151918916009"/>
    <n v="248.3313956269275"/>
    <n v="0"/>
    <n v="248.3313956269275"/>
  </r>
  <r>
    <x v="1"/>
    <x v="12"/>
    <x v="2"/>
    <s v="Økologisk"/>
    <x v="1"/>
    <s v="Pil &amp; poppel"/>
    <n v="15.410876338853395"/>
    <n v="257.09852233599321"/>
    <n v="0"/>
    <n v="257.09852233599321"/>
  </r>
  <r>
    <x v="1"/>
    <x v="13"/>
    <x v="2"/>
    <s v="Økologisk"/>
    <x v="1"/>
    <s v="Græs"/>
    <n v="446.6296698988192"/>
    <n v="7390.8277774856606"/>
    <n v="0"/>
    <n v="7390.8277774856606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1796.6458108942293"/>
    <n v="17632.281988115963"/>
    <n v="8301.278360004997"/>
    <n v="8301.278360004997"/>
  </r>
  <r>
    <x v="1"/>
    <x v="1"/>
    <x v="1"/>
    <s v="Konventionel"/>
    <x v="2"/>
    <s v="Halm"/>
    <n v="32.633012539823845"/>
    <n v="176.34879976520804"/>
    <n v="75.516393701736789"/>
    <n v="75.516393701736789"/>
  </r>
  <r>
    <x v="1"/>
    <x v="2"/>
    <x v="1"/>
    <s v="Konventionel"/>
    <x v="2"/>
    <s v="Halm"/>
    <n v="159.40463041598321"/>
    <n v="981.93252336245644"/>
    <n v="756.48081599843647"/>
    <n v="756.48081599843647"/>
  </r>
  <r>
    <x v="1"/>
    <x v="3"/>
    <x v="1"/>
    <s v="Konventionel"/>
    <x v="2"/>
    <s v="Græs"/>
    <n v="1171.3986150504631"/>
    <n v="81374.718990325578"/>
    <n v="0"/>
    <n v="81374.718990325578"/>
  </r>
  <r>
    <x v="1"/>
    <x v="4"/>
    <x v="1"/>
    <s v="Konventionel"/>
    <x v="2"/>
    <s v="Grøntsager"/>
    <n v="5.5133034466362671"/>
    <n v="160.16146512478358"/>
    <n v="0"/>
    <n v="160.16146512478358"/>
  </r>
  <r>
    <x v="1"/>
    <x v="5"/>
    <x v="1"/>
    <s v="Konventionel"/>
    <x v="2"/>
    <s v="Kartofler"/>
    <n v="31.425171951535479"/>
    <n v="1868.51744633315"/>
    <n v="0"/>
    <n v="1868.51744633315"/>
  </r>
  <r>
    <x v="1"/>
    <x v="6"/>
    <x v="1"/>
    <s v="Konventionel"/>
    <x v="2"/>
    <s v="Roer"/>
    <n v="36.188775432258431"/>
    <n v="4116.6622512612066"/>
    <n v="0"/>
    <n v="4116.6622512612066"/>
  </r>
  <r>
    <x v="1"/>
    <x v="7"/>
    <x v="1"/>
    <s v="Konventionel"/>
    <x v="2"/>
    <s v="Majs"/>
    <n v="37.170486845663731"/>
    <n v="2316.2417173006897"/>
    <n v="0"/>
    <n v="2316.2417173006897"/>
  </r>
  <r>
    <x v="1"/>
    <x v="8"/>
    <x v="1"/>
    <s v="Konventionel"/>
    <x v="2"/>
    <s v="Frugt"/>
    <n v="13.488257970641145"/>
    <n v="160.32143423904066"/>
    <n v="0"/>
    <n v="160.32143423904066"/>
  </r>
  <r>
    <x v="1"/>
    <x v="9"/>
    <x v="1"/>
    <s v="Konventionel"/>
    <x v="2"/>
    <s v="Øvrige"/>
    <n v="96.312703873303633"/>
    <n v="4017.6190372214837"/>
    <n v="0"/>
    <n v="4017.6190372214837"/>
  </r>
  <r>
    <x v="1"/>
    <x v="10"/>
    <x v="1"/>
    <s v="Konventionel"/>
    <x v="2"/>
    <s v="Halm"/>
    <n v="901.3113802822603"/>
    <n v="18030.197939320373"/>
    <n v="4320.5262325210433"/>
    <n v="4320.5262325210433"/>
  </r>
  <r>
    <x v="1"/>
    <x v="11"/>
    <x v="1"/>
    <s v="Konventionel"/>
    <x v="2"/>
    <s v="Juletræer"/>
    <n v="21.136023483224019"/>
    <n v="1479.5216438256814"/>
    <n v="0"/>
    <n v="1479.5216438256814"/>
  </r>
  <r>
    <x v="1"/>
    <x v="12"/>
    <x v="1"/>
    <s v="Konventionel"/>
    <x v="2"/>
    <s v="Pil &amp; poppel"/>
    <n v="64.473732983194068"/>
    <n v="2201.5421018651632"/>
    <n v="0"/>
    <n v="2201.5421018651632"/>
  </r>
  <r>
    <x v="1"/>
    <x v="13"/>
    <x v="1"/>
    <s v="Konventionel"/>
    <x v="2"/>
    <s v="Græs"/>
    <n v="2242.1606682189854"/>
    <n v="43287.153860635735"/>
    <n v="0"/>
    <n v="43287.153860635735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0"/>
    <n v="0"/>
    <n v="0"/>
    <n v="0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280.40136933031323"/>
    <n v="1843.7455558671547"/>
    <n v="868.03540770225663"/>
    <n v="868.03540770225663"/>
  </r>
  <r>
    <x v="1"/>
    <x v="1"/>
    <x v="1"/>
    <s v="Økologisk"/>
    <x v="2"/>
    <s v="Halm"/>
    <n v="5.0930135177759759"/>
    <n v="15.687907678534982"/>
    <n v="6.7179034628308036"/>
    <n v="6.7179034628308036"/>
  </r>
  <r>
    <x v="1"/>
    <x v="2"/>
    <x v="1"/>
    <s v="Økologisk"/>
    <x v="2"/>
    <s v="Halm"/>
    <n v="24.878179313477148"/>
    <n v="84.287271514060578"/>
    <n v="64.934913974432277"/>
    <n v="64.934913974432277"/>
  </r>
  <r>
    <x v="1"/>
    <x v="3"/>
    <x v="1"/>
    <s v="Økologisk"/>
    <x v="2"/>
    <s v="Græs"/>
    <n v="182.81943703099714"/>
    <n v="9906.0785083020619"/>
    <n v="0"/>
    <n v="9906.0785083020619"/>
  </r>
  <r>
    <x v="1"/>
    <x v="4"/>
    <x v="1"/>
    <s v="Økologisk"/>
    <x v="2"/>
    <s v="Grøntsager"/>
    <n v="0.86045776334785684"/>
    <n v="14.247889874395483"/>
    <n v="0"/>
    <n v="14.247889874395483"/>
  </r>
  <r>
    <x v="1"/>
    <x v="5"/>
    <x v="1"/>
    <s v="Økologisk"/>
    <x v="2"/>
    <s v="Kartofler"/>
    <n v="4.9045066051529362"/>
    <n v="166.22244797148659"/>
    <n v="0"/>
    <n v="166.22244797148659"/>
  </r>
  <r>
    <x v="1"/>
    <x v="6"/>
    <x v="1"/>
    <s v="Økologisk"/>
    <x v="2"/>
    <s v="Roer"/>
    <n v="5.6479591715085418"/>
    <n v="366.21637021335238"/>
    <n v="0"/>
    <n v="366.21637021335238"/>
  </r>
  <r>
    <x v="1"/>
    <x v="7"/>
    <x v="1"/>
    <s v="Økologisk"/>
    <x v="2"/>
    <s v="Majs"/>
    <n v="5.8011742475891381"/>
    <n v="300.04032881334371"/>
    <n v="0"/>
    <n v="300.04032881334371"/>
  </r>
  <r>
    <x v="1"/>
    <x v="8"/>
    <x v="1"/>
    <s v="Økologisk"/>
    <x v="2"/>
    <s v="Frugt"/>
    <n v="2.1051038451289652"/>
    <n v="14.262120652825642"/>
    <n v="0"/>
    <n v="14.262120652825642"/>
  </r>
  <r>
    <x v="1"/>
    <x v="9"/>
    <x v="1"/>
    <s v="Økologisk"/>
    <x v="2"/>
    <s v="Øvrige"/>
    <n v="15.031462454215021"/>
    <n v="357.40553169270896"/>
    <n v="0"/>
    <n v="357.40553169270896"/>
  </r>
  <r>
    <x v="1"/>
    <x v="10"/>
    <x v="1"/>
    <s v="Økologisk"/>
    <x v="2"/>
    <s v="Halm"/>
    <n v="140.66709403249149"/>
    <n v="1603.9580710181533"/>
    <n v="384.35201571386625"/>
    <n v="384.35201571386625"/>
  </r>
  <r>
    <x v="1"/>
    <x v="11"/>
    <x v="1"/>
    <s v="Økologisk"/>
    <x v="2"/>
    <s v="Juletræer"/>
    <n v="3.2986857459366963"/>
    <n v="131.61756126287418"/>
    <n v="0"/>
    <n v="131.61756126287418"/>
  </r>
  <r>
    <x v="1"/>
    <x v="12"/>
    <x v="1"/>
    <s v="Økologisk"/>
    <x v="2"/>
    <s v="Pil &amp; poppel"/>
    <n v="10.062374511827977"/>
    <n v="195.84816732777378"/>
    <n v="0"/>
    <n v="195.84816732777378"/>
  </r>
  <r>
    <x v="1"/>
    <x v="13"/>
    <x v="1"/>
    <s v="Økologisk"/>
    <x v="2"/>
    <s v="Græs"/>
    <n v="349.9325898376452"/>
    <n v="6755.7985794055785"/>
    <n v="0"/>
    <n v="6755.7985794055785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0"/>
    <n v="0"/>
    <n v="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1"/>
  </r>
  <r>
    <x v="16"/>
    <s v="Halm og strå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x v="0"/>
  </r>
  <r>
    <x v="17"/>
    <s v="Bionedbrydeligt affald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x v="0"/>
  </r>
  <r>
    <x v="27"/>
    <m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x v="0"/>
  </r>
  <r>
    <x v="47"/>
    <m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x v="0"/>
  </r>
  <r>
    <x v="0"/>
    <s v=""/>
    <n v="0"/>
    <n v="1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n v="1"/>
    <x v="1"/>
    <s v="Vestdanmark"/>
    <n v="264281.48271181755"/>
    <n v="62908.541627737373"/>
    <n v="0"/>
    <n v="0"/>
    <n v="0"/>
    <n v="0"/>
    <n v="0"/>
    <n v="0"/>
    <n v="201372.94108408017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x v="0"/>
  </r>
  <r>
    <x v="3"/>
    <s v=""/>
    <n v="1"/>
    <n v="0"/>
    <x v="1"/>
    <s v="Vestdanmark"/>
    <n v="492782535.68274039"/>
    <n v="0"/>
    <n v="0"/>
    <n v="0"/>
    <n v="0"/>
    <n v="0"/>
    <n v="492782535.68274039"/>
    <n v="0"/>
    <n v="0"/>
    <n v="0"/>
    <n v="492782535.68274039"/>
    <n v="0"/>
    <n v="0"/>
    <n v="0"/>
    <n v="0"/>
    <n v="0"/>
    <n v="0"/>
    <n v="0"/>
    <n v="0"/>
    <x v="0"/>
  </r>
  <r>
    <x v="4"/>
    <s v=""/>
    <n v="0"/>
    <n v="0"/>
    <x v="1"/>
    <s v="Vestdanmark"/>
    <n v="23970432.839117184"/>
    <n v="0"/>
    <n v="0"/>
    <n v="0"/>
    <n v="0"/>
    <n v="19339631.292659696"/>
    <n v="0"/>
    <n v="0"/>
    <n v="4630801.5464574881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1"/>
    <s v="Vestdanmark"/>
    <n v="2572334.3954420607"/>
    <n v="0"/>
    <n v="0"/>
    <n v="0"/>
    <n v="1929250.7965815454"/>
    <n v="243453.07671148074"/>
    <n v="0"/>
    <n v="0"/>
    <n v="399630.52214903431"/>
    <n v="399630.52214903431"/>
    <n v="1929250.7965815454"/>
    <n v="0.86080414470901989"/>
    <n v="5.0164103605456685"/>
    <n v="4.1556062158366487"/>
    <n v="0.86080414470901978"/>
    <n v="119889.15664471028"/>
    <n v="698664.39561917388"/>
    <n v="578775.23897446354"/>
    <n v="119889.15664471034"/>
    <x v="0"/>
  </r>
  <r>
    <x v="7"/>
    <s v="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  <x v="0"/>
  </r>
  <r>
    <x v="9"/>
    <s v=""/>
    <n v="0"/>
    <n v="1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n v="0"/>
    <x v="1"/>
    <s v="Vestdanmark"/>
    <n v="896684.85799615958"/>
    <n v="0"/>
    <n v="0"/>
    <n v="0"/>
    <n v="0"/>
    <n v="0"/>
    <n v="0"/>
    <n v="0"/>
    <n v="896684.85799615958"/>
    <n v="0"/>
    <n v="0"/>
    <n v="0"/>
    <n v="0"/>
    <n v="0"/>
    <n v="0"/>
    <n v="0"/>
    <n v="0"/>
    <n v="0"/>
    <n v="0"/>
    <x v="0"/>
  </r>
  <r>
    <x v="11"/>
    <s v=""/>
    <n v="0"/>
    <n v="1"/>
    <x v="1"/>
    <s v="Vestdanmark"/>
    <n v="26490.425666789368"/>
    <n v="0"/>
    <n v="0"/>
    <n v="257923.29437791562"/>
    <n v="0"/>
    <n v="0"/>
    <n v="0"/>
    <n v="0"/>
    <n v="-231432.86871112624"/>
    <n v="0"/>
    <n v="0"/>
    <n v="0"/>
    <n v="0"/>
    <n v="0"/>
    <n v="0"/>
    <n v="0"/>
    <n v="0"/>
    <n v="0"/>
    <n v="0"/>
    <x v="1"/>
  </r>
  <r>
    <x v="12"/>
    <s v="Glycerin"/>
    <n v="1"/>
    <n v="0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n v="0"/>
    <x v="1"/>
    <s v="Vestdanmark"/>
    <n v="15769668.337175274"/>
    <n v="11936022.044118334"/>
    <n v="0"/>
    <n v="0"/>
    <n v="0"/>
    <n v="0"/>
    <n v="0"/>
    <n v="0"/>
    <n v="3833646.2930569407"/>
    <n v="3833646.2930569407"/>
    <n v="0"/>
    <n v="7.0534299734381394"/>
    <n v="7.0534299734381394"/>
    <n v="0"/>
    <n v="7.0534299734381394"/>
    <n v="1073420.9620559434"/>
    <n v="1073420.9620559434"/>
    <n v="0"/>
    <n v="1073420.9620559434"/>
    <x v="0"/>
  </r>
  <r>
    <x v="14"/>
    <s v="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1"/>
    <s v="Vestdanmark"/>
    <n v="189947.9283403279"/>
    <n v="0"/>
    <n v="0"/>
    <n v="270140.71358529059"/>
    <n v="0"/>
    <n v="0"/>
    <n v="0"/>
    <n v="0"/>
    <n v="-80192.785244962695"/>
    <n v="0"/>
    <n v="0"/>
    <n v="0"/>
    <n v="0"/>
    <n v="0"/>
    <n v="0"/>
    <n v="0"/>
    <n v="0"/>
    <n v="0"/>
    <n v="0"/>
    <x v="1"/>
  </r>
  <r>
    <x v="16"/>
    <s v="Halm og strå"/>
    <n v="1"/>
    <n v="0"/>
    <x v="1"/>
    <s v="Vestdanmark"/>
    <n v="3749912.1092935386"/>
    <n v="754028.76978801878"/>
    <n v="702117.72064633376"/>
    <n v="0"/>
    <n v="0"/>
    <n v="0"/>
    <n v="2293765.6188591849"/>
    <n v="0"/>
    <n v="0"/>
    <n v="0"/>
    <n v="2293765.6188591849"/>
    <n v="0"/>
    <n v="23.707917223893222"/>
    <n v="0"/>
    <n v="23.707917223893222"/>
    <n v="0"/>
    <n v="1949700.7760303072"/>
    <n v="0"/>
    <n v="1949700.7760303072"/>
    <x v="0"/>
  </r>
  <r>
    <x v="17"/>
    <s v="Bionedbrydeligt affald"/>
    <n v="1"/>
    <n v="0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  <x v="0"/>
  </r>
  <r>
    <x v="18"/>
    <s v=""/>
    <n v="0"/>
    <n v="1"/>
    <x v="1"/>
    <s v="Vestdanmark"/>
    <n v="0"/>
    <n v="4709403.3246320067"/>
    <n v="0"/>
    <n v="0"/>
    <n v="0"/>
    <n v="0"/>
    <n v="0"/>
    <n v="0"/>
    <n v="-4709403.3246320067"/>
    <n v="0"/>
    <n v="0"/>
    <n v="0"/>
    <n v="0"/>
    <n v="0"/>
    <n v="0"/>
    <n v="0"/>
    <n v="0"/>
    <n v="0"/>
    <n v="0"/>
    <x v="1"/>
  </r>
  <r>
    <x v="19"/>
    <s v="Bionedbrydeligt affald"/>
    <n v="1"/>
    <n v="0"/>
    <x v="1"/>
    <s v="Vestdanmark"/>
    <n v="516148.16711972357"/>
    <n v="0"/>
    <n v="0"/>
    <n v="0"/>
    <n v="0"/>
    <n v="0"/>
    <n v="0"/>
    <n v="0"/>
    <n v="516148.16711972357"/>
    <n v="516148.16711972357"/>
    <n v="0"/>
    <n v="2.2365371073914879"/>
    <n v="2.2365371073914879"/>
    <n v="0"/>
    <n v="2.2365371073914879"/>
    <n v="216782.23019028388"/>
    <n v="216782.23019028388"/>
    <n v="0"/>
    <n v="216782.23019028388"/>
    <x v="0"/>
  </r>
  <r>
    <x v="20"/>
    <s v=""/>
    <n v="0"/>
    <n v="0"/>
    <x v="1"/>
    <s v="Vestdanmark"/>
    <n v="782472.88933192089"/>
    <n v="0"/>
    <n v="0"/>
    <n v="0"/>
    <n v="0"/>
    <n v="0"/>
    <n v="0"/>
    <n v="0"/>
    <n v="782472.88933192089"/>
    <n v="0"/>
    <n v="0"/>
    <n v="0"/>
    <n v="0"/>
    <n v="0"/>
    <n v="0"/>
    <n v="0"/>
    <n v="0"/>
    <n v="0"/>
    <n v="0"/>
    <x v="0"/>
  </r>
  <r>
    <x v="21"/>
    <s v=""/>
    <n v="0"/>
    <n v="1"/>
    <x v="1"/>
    <s v="Vestdanmark"/>
    <n v="2184559.2882253225"/>
    <n v="0"/>
    <n v="0"/>
    <n v="123531.68309679118"/>
    <n v="0"/>
    <n v="0"/>
    <n v="0"/>
    <n v="0"/>
    <n v="2061027.6051285313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Vestdanmark"/>
    <n v="7012260.3004318569"/>
    <n v="5734288.3153172266"/>
    <n v="0"/>
    <n v="295933.04302308214"/>
    <n v="0"/>
    <n v="0"/>
    <n v="0"/>
    <n v="0"/>
    <n v="982038.94209154788"/>
    <n v="982038.94209154788"/>
    <n v="0"/>
    <n v="3.3633458912116594"/>
    <n v="3.3633458912116594"/>
    <n v="0"/>
    <n v="3.3633458912116594"/>
    <n v="304432.07204837987"/>
    <n v="304432.07204837987"/>
    <n v="0"/>
    <n v="304432.07204837987"/>
    <x v="0"/>
  </r>
  <r>
    <x v="23"/>
    <s v=""/>
    <n v="0"/>
    <n v="0"/>
    <x v="1"/>
    <s v="Vestdanmark"/>
    <n v="0"/>
    <n v="0"/>
    <n v="0"/>
    <n v="0"/>
    <n v="0"/>
    <n v="590491.77533861843"/>
    <n v="0"/>
    <n v="0"/>
    <n v="-590491.77533861843"/>
    <n v="0"/>
    <n v="0"/>
    <n v="0"/>
    <n v="0"/>
    <n v="0"/>
    <n v="0"/>
    <n v="0"/>
    <n v="0"/>
    <n v="0"/>
    <n v="0"/>
    <x v="1"/>
  </r>
  <r>
    <x v="24"/>
    <s v="Husdyrgødning"/>
    <n v="1"/>
    <n v="0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  <x v="0"/>
  </r>
  <r>
    <x v="25"/>
    <s v=""/>
    <n v="0"/>
    <n v="0"/>
    <x v="1"/>
    <s v="Vestdanmark"/>
    <n v="1620993.8653666629"/>
    <n v="1478350.7282518283"/>
    <n v="0"/>
    <n v="0"/>
    <n v="0"/>
    <n v="0"/>
    <n v="0"/>
    <n v="0"/>
    <n v="142643.13711483451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Vestdanmark"/>
    <n v="7810797.3149183672"/>
    <n v="5517603.3385994658"/>
    <n v="0"/>
    <n v="0"/>
    <n v="0"/>
    <n v="0"/>
    <n v="0"/>
    <n v="0"/>
    <n v="2293193.9763189014"/>
    <n v="2001163.0190917293"/>
    <n v="0"/>
    <n v="7.1841752385393089"/>
    <n v="7.1841752385393089"/>
    <n v="0"/>
    <n v="7.1841752385393089"/>
    <n v="600348.90572751872"/>
    <n v="600348.90572751872"/>
    <n v="0"/>
    <n v="600348.90572751872"/>
    <x v="0"/>
  </r>
  <r>
    <x v="27"/>
    <s v=""/>
    <n v="0"/>
    <n v="1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x v="0"/>
  </r>
  <r>
    <x v="29"/>
    <s v=""/>
    <n v="0"/>
    <n v="1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n v="1"/>
    <x v="1"/>
    <s v="Vestdanmark"/>
    <n v="1644241.434656535"/>
    <n v="0"/>
    <n v="0"/>
    <n v="0"/>
    <n v="0"/>
    <n v="0"/>
    <n v="0"/>
    <n v="0"/>
    <n v="1644241.434656535"/>
    <n v="0"/>
    <n v="0"/>
    <n v="0"/>
    <n v="0"/>
    <n v="0"/>
    <n v="0"/>
    <n v="0"/>
    <n v="0"/>
    <n v="0"/>
    <n v="0"/>
    <x v="0"/>
  </r>
  <r>
    <x v="31"/>
    <s v="Vedmasse"/>
    <n v="1"/>
    <n v="0"/>
    <x v="1"/>
    <s v="Vestdanmark"/>
    <n v="170203.15251490066"/>
    <n v="0"/>
    <n v="0"/>
    <n v="0"/>
    <n v="0"/>
    <n v="0"/>
    <n v="170203.15251490066"/>
    <n v="0"/>
    <n v="0"/>
    <n v="0"/>
    <n v="170203.15251490066"/>
    <n v="0"/>
    <n v="3.1317380062741718"/>
    <n v="0"/>
    <n v="3.1317380062741718"/>
    <n v="0"/>
    <n v="70634.308293683775"/>
    <n v="0"/>
    <n v="70634.308293683775"/>
    <x v="0"/>
  </r>
  <r>
    <x v="32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n v="0"/>
    <x v="1"/>
    <s v="Vestdanmark"/>
    <n v="497134.76694638823"/>
    <n v="0"/>
    <n v="0"/>
    <n v="0"/>
    <n v="0"/>
    <n v="0"/>
    <n v="0"/>
    <n v="497134.76694638823"/>
    <n v="0"/>
    <n v="0"/>
    <n v="0"/>
    <n v="0"/>
    <n v="0"/>
    <n v="0"/>
    <n v="0"/>
    <n v="0"/>
    <n v="0"/>
    <n v="0"/>
    <n v="0"/>
    <x v="0"/>
  </r>
  <r>
    <x v="36"/>
    <s v=""/>
    <n v="0"/>
    <n v="0"/>
    <x v="1"/>
    <s v="Vestdanmark"/>
    <n v="248567.38347319412"/>
    <n v="208821.40901429488"/>
    <n v="0"/>
    <n v="0"/>
    <n v="0"/>
    <n v="0"/>
    <n v="0"/>
    <n v="0"/>
    <n v="39745.974458899233"/>
    <n v="0"/>
    <n v="0"/>
    <n v="0"/>
    <n v="0"/>
    <n v="0"/>
    <n v="0"/>
    <n v="0"/>
    <n v="0"/>
    <n v="0"/>
    <n v="0"/>
    <x v="0"/>
  </r>
  <r>
    <x v="37"/>
    <s v="Rapsolie"/>
    <n v="1"/>
    <n v="1"/>
    <x v="1"/>
    <s v="Vestdanmark"/>
    <n v="159083.12542284423"/>
    <n v="0"/>
    <n v="0"/>
    <n v="0"/>
    <n v="0"/>
    <n v="0"/>
    <n v="159083.12542284423"/>
    <n v="0"/>
    <n v="0"/>
    <n v="0"/>
    <n v="159083.12542284423"/>
    <n v="0"/>
    <n v="5.5679093897995475"/>
    <n v="0"/>
    <n v="5.5679093897995475"/>
    <n v="0"/>
    <n v="0"/>
    <n v="0"/>
    <n v="0"/>
    <x v="0"/>
  </r>
  <r>
    <x v="38"/>
    <s v="Græs og urter"/>
    <n v="1"/>
    <n v="1"/>
    <x v="1"/>
    <s v="Vestdanmark"/>
    <n v="387359.23061650008"/>
    <n v="820432.23039507493"/>
    <n v="0"/>
    <n v="0"/>
    <n v="0"/>
    <n v="0"/>
    <n v="0"/>
    <n v="0"/>
    <n v="-433072.99977857486"/>
    <n v="0"/>
    <n v="0"/>
    <n v="0"/>
    <n v="0"/>
    <n v="0"/>
    <n v="0"/>
    <n v="0"/>
    <n v="0"/>
    <n v="0"/>
    <n v="0"/>
    <x v="0"/>
  </r>
  <r>
    <x v="39"/>
    <s v=""/>
    <n v="0"/>
    <n v="0"/>
    <x v="1"/>
    <s v="Vestdanmark"/>
    <n v="186820.23082427966"/>
    <n v="0"/>
    <n v="0"/>
    <n v="0"/>
    <n v="0"/>
    <n v="0"/>
    <n v="0"/>
    <n v="0"/>
    <n v="186820.23082427966"/>
    <n v="0"/>
    <n v="0"/>
    <n v="0"/>
    <n v="0"/>
    <n v="0"/>
    <n v="0"/>
    <n v="0"/>
    <n v="0"/>
    <n v="0"/>
    <n v="0"/>
    <x v="0"/>
  </r>
  <r>
    <x v="40"/>
    <s v=""/>
    <n v="0"/>
    <n v="0"/>
    <x v="1"/>
    <s v="Vestdanmark"/>
    <n v="125332.48409482336"/>
    <n v="38444.108772506181"/>
    <n v="0"/>
    <n v="0"/>
    <n v="0"/>
    <n v="0"/>
    <n v="0"/>
    <n v="0"/>
    <n v="86888.375322317181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  <x v="0"/>
  </r>
  <r>
    <x v="42"/>
    <s v="Husdyrgødning"/>
    <n v="1"/>
    <n v="0"/>
    <x v="1"/>
    <s v="Vestdanmark"/>
    <n v="14539919.740607873"/>
    <n v="0"/>
    <n v="0"/>
    <n v="0"/>
    <n v="10904939.805455904"/>
    <n v="3634979.9351519686"/>
    <n v="0"/>
    <n v="0"/>
    <n v="0"/>
    <n v="0"/>
    <n v="10904939.805455904"/>
    <n v="0"/>
    <n v="4.697848068190404"/>
    <n v="4.697848068190404"/>
    <n v="0"/>
    <n v="0"/>
    <n v="545246.9902727952"/>
    <n v="545246.9902727952"/>
    <n v="0"/>
    <x v="0"/>
  </r>
  <r>
    <x v="43"/>
    <s v=""/>
    <n v="0"/>
    <n v="1"/>
    <x v="1"/>
    <s v="Vestdanmark"/>
    <n v="1329115.7893830882"/>
    <n v="0"/>
    <n v="0"/>
    <n v="121875.54404868034"/>
    <n v="0"/>
    <n v="0"/>
    <n v="0"/>
    <n v="0"/>
    <n v="1207240.2453344078"/>
    <n v="0"/>
    <n v="0"/>
    <n v="0"/>
    <n v="0"/>
    <n v="0"/>
    <n v="0"/>
    <n v="0"/>
    <n v="0"/>
    <n v="0"/>
    <n v="0"/>
    <x v="0"/>
  </r>
  <r>
    <x v="44"/>
    <s v="Havbiomasse"/>
    <n v="1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x v="0"/>
  </r>
  <r>
    <x v="45"/>
    <s v="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1"/>
    <s v="Vestdanmark"/>
    <n v="2217144.8993992088"/>
    <n v="0"/>
    <n v="0"/>
    <n v="0"/>
    <n v="0"/>
    <n v="0"/>
    <n v="2217144.8993992088"/>
    <n v="0"/>
    <n v="0"/>
    <n v="0"/>
    <n v="2217144.8993992088"/>
    <n v="0"/>
    <n v="32.134342362444997"/>
    <n v="0"/>
    <n v="32.134342362444997"/>
    <n v="0"/>
    <n v="1096562.9148278586"/>
    <n v="0"/>
    <n v="1096562.9148278586"/>
    <x v="0"/>
  </r>
  <r>
    <x v="47"/>
    <s v=""/>
    <n v="0"/>
    <n v="0"/>
    <x v="1"/>
    <s v="Vestdanmark"/>
    <n v="610444.4261939266"/>
    <n v="0"/>
    <n v="0"/>
    <n v="0"/>
    <n v="0"/>
    <n v="0"/>
    <n v="0"/>
    <n v="610444.4261939266"/>
    <n v="0"/>
    <n v="0"/>
    <n v="0"/>
    <n v="0"/>
    <n v="0"/>
    <n v="0"/>
    <n v="0"/>
    <n v="0"/>
    <n v="0"/>
    <n v="0"/>
    <n v="0"/>
    <x v="0"/>
  </r>
  <r>
    <x v="0"/>
    <s v=""/>
    <n v="0"/>
    <n v="1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n v="1"/>
    <x v="2"/>
    <s v="Vestdanmark"/>
    <n v="250215.04217969507"/>
    <n v="60017.752814183521"/>
    <n v="0"/>
    <n v="0"/>
    <n v="0"/>
    <n v="0"/>
    <n v="0"/>
    <n v="0"/>
    <n v="190197.28936551156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x v="0"/>
  </r>
  <r>
    <x v="3"/>
    <s v=""/>
    <n v="1"/>
    <n v="0"/>
    <x v="2"/>
    <s v="Vestdanmark"/>
    <n v="563663167.57084477"/>
    <n v="0"/>
    <n v="0"/>
    <n v="0"/>
    <n v="0"/>
    <n v="0"/>
    <n v="563663167.57084477"/>
    <n v="0"/>
    <n v="0"/>
    <n v="0"/>
    <n v="563663167.57084477"/>
    <n v="0"/>
    <n v="0"/>
    <n v="0"/>
    <n v="0"/>
    <n v="0"/>
    <n v="0"/>
    <n v="0"/>
    <n v="0"/>
    <x v="0"/>
  </r>
  <r>
    <x v="4"/>
    <s v=""/>
    <n v="0"/>
    <n v="0"/>
    <x v="2"/>
    <s v="Vestdanmark"/>
    <n v="27386289.783254456"/>
    <n v="0"/>
    <n v="0"/>
    <n v="0"/>
    <n v="0"/>
    <n v="21610883.072868608"/>
    <n v="0"/>
    <n v="0"/>
    <n v="5775406.7103858478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2"/>
    <s v="Vestdanmark"/>
    <n v="2537079.9796545585"/>
    <n v="0"/>
    <n v="0"/>
    <n v="0"/>
    <n v="2283371.9816891025"/>
    <n v="96046.599229779691"/>
    <n v="0"/>
    <n v="0"/>
    <n v="157661.39873567643"/>
    <n v="157661.39873567643"/>
    <n v="2283371.9816891025"/>
    <n v="0.33960265287664704"/>
    <n v="5.2579859014349744"/>
    <n v="4.9183832485583272"/>
    <n v="0.33960265287664715"/>
    <n v="47298.419620702924"/>
    <n v="732310.01412743365"/>
    <n v="685011.59450673067"/>
    <n v="47298.419620702974"/>
    <x v="0"/>
  </r>
  <r>
    <x v="7"/>
    <s v="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  <x v="0"/>
  </r>
  <r>
    <x v="9"/>
    <s v=""/>
    <n v="0"/>
    <n v="1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n v="0"/>
    <x v="2"/>
    <s v="Vestdanmark"/>
    <n v="813451.18685438076"/>
    <n v="0"/>
    <n v="0"/>
    <n v="0"/>
    <n v="0"/>
    <n v="0"/>
    <n v="0"/>
    <n v="0"/>
    <n v="813451.18685438076"/>
    <n v="0"/>
    <n v="0"/>
    <n v="0"/>
    <n v="0"/>
    <n v="0"/>
    <n v="0"/>
    <n v="0"/>
    <n v="0"/>
    <n v="0"/>
    <n v="0"/>
    <x v="0"/>
  </r>
  <r>
    <x v="11"/>
    <s v=""/>
    <n v="0"/>
    <n v="1"/>
    <x v="2"/>
    <s v="Vestdanmark"/>
    <n v="24926.840286441191"/>
    <n v="0"/>
    <n v="0"/>
    <n v="267978.92035102146"/>
    <n v="0"/>
    <n v="0"/>
    <n v="0"/>
    <n v="0"/>
    <n v="-243052.08006458025"/>
    <n v="0"/>
    <n v="0"/>
    <n v="0"/>
    <n v="0"/>
    <n v="0"/>
    <n v="0"/>
    <n v="0"/>
    <n v="0"/>
    <n v="0"/>
    <n v="0"/>
    <x v="1"/>
  </r>
  <r>
    <x v="12"/>
    <s v="Glycerin"/>
    <n v="1"/>
    <n v="0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n v="0"/>
    <x v="2"/>
    <s v="Vestdanmark"/>
    <n v="13682245.34995167"/>
    <n v="11387535.016591122"/>
    <n v="0"/>
    <n v="0"/>
    <n v="0"/>
    <n v="0"/>
    <n v="0"/>
    <n v="0"/>
    <n v="2294710.3333605472"/>
    <n v="2294710.3333605472"/>
    <n v="0"/>
    <n v="4.2219801745917369"/>
    <n v="4.2219801745917369"/>
    <n v="0"/>
    <n v="4.2219801745917369"/>
    <n v="642518.89334095328"/>
    <n v="642518.89334095328"/>
    <n v="0"/>
    <n v="642518.89334095328"/>
    <x v="0"/>
  </r>
  <r>
    <x v="14"/>
    <s v="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2"/>
    <s v="Vestdanmark"/>
    <n v="182765.86123576926"/>
    <n v="0"/>
    <n v="0"/>
    <n v="280672.65868343826"/>
    <n v="0"/>
    <n v="0"/>
    <n v="0"/>
    <n v="0"/>
    <n v="-97906.797447669"/>
    <n v="0"/>
    <n v="0"/>
    <n v="0"/>
    <n v="0"/>
    <n v="0"/>
    <n v="0"/>
    <n v="0"/>
    <n v="0"/>
    <n v="0"/>
    <n v="0"/>
    <x v="1"/>
  </r>
  <r>
    <x v="16"/>
    <s v="Halm og strå"/>
    <n v="1"/>
    <n v="0"/>
    <x v="2"/>
    <s v="Vestdanmark"/>
    <n v="3995324.8119856864"/>
    <n v="719379.45387000521"/>
    <n v="654302.91213284992"/>
    <n v="0"/>
    <n v="0"/>
    <n v="0"/>
    <n v="2621642.4459828315"/>
    <n v="0"/>
    <n v="0"/>
    <n v="0"/>
    <n v="2621642.4459828315"/>
    <n v="0"/>
    <n v="27.096788612133071"/>
    <n v="0"/>
    <n v="27.096788612133071"/>
    <n v="0"/>
    <n v="2228396.0790854068"/>
    <n v="0"/>
    <n v="2228396.0790854068"/>
    <x v="0"/>
  </r>
  <r>
    <x v="17"/>
    <s v="Bionedbrydeligt affald"/>
    <n v="1"/>
    <n v="0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  <x v="0"/>
  </r>
  <r>
    <x v="18"/>
    <s v=""/>
    <n v="0"/>
    <n v="1"/>
    <x v="2"/>
    <s v="Vestdanmark"/>
    <n v="0"/>
    <n v="4492995.6620617937"/>
    <n v="0"/>
    <n v="0"/>
    <n v="0"/>
    <n v="0"/>
    <n v="0"/>
    <n v="0"/>
    <n v="-4492995.6620617937"/>
    <n v="0"/>
    <n v="0"/>
    <n v="0"/>
    <n v="0"/>
    <n v="0"/>
    <n v="0"/>
    <n v="0"/>
    <n v="0"/>
    <n v="0"/>
    <n v="0"/>
    <x v="1"/>
  </r>
  <r>
    <x v="19"/>
    <s v="Bionedbrydeligt affald"/>
    <n v="1"/>
    <n v="0"/>
    <x v="2"/>
    <s v="Vestdanmark"/>
    <n v="500298.07400383818"/>
    <n v="0"/>
    <n v="0"/>
    <n v="0"/>
    <n v="0"/>
    <n v="0"/>
    <n v="0"/>
    <n v="0"/>
    <n v="500298.07400383818"/>
    <n v="500298.07400383818"/>
    <n v="0"/>
    <n v="2.1678565934082514"/>
    <n v="2.1678565934082514"/>
    <n v="0"/>
    <n v="2.1678565934082514"/>
    <n v="210125.19108161202"/>
    <n v="210125.19108161202"/>
    <n v="0"/>
    <n v="210125.19108161202"/>
    <x v="0"/>
  </r>
  <r>
    <x v="20"/>
    <s v=""/>
    <n v="0"/>
    <n v="0"/>
    <x v="2"/>
    <s v="Vestdanmark"/>
    <n v="736287.78133601486"/>
    <n v="0"/>
    <n v="0"/>
    <n v="0"/>
    <n v="0"/>
    <n v="0"/>
    <n v="0"/>
    <n v="0"/>
    <n v="736287.78133601486"/>
    <n v="0"/>
    <n v="0"/>
    <n v="0"/>
    <n v="0"/>
    <n v="0"/>
    <n v="0"/>
    <n v="0"/>
    <n v="0"/>
    <n v="0"/>
    <n v="0"/>
    <x v="0"/>
  </r>
  <r>
    <x v="21"/>
    <s v=""/>
    <n v="0"/>
    <n v="1"/>
    <x v="2"/>
    <s v="Vestdanmark"/>
    <n v="2034058.7589381256"/>
    <n v="0"/>
    <n v="0"/>
    <n v="128347.79869443661"/>
    <n v="0"/>
    <n v="0"/>
    <n v="0"/>
    <n v="0"/>
    <n v="1905710.9602436889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Vestdanmark"/>
    <n v="6657445.6000957079"/>
    <n v="5470784.8849928668"/>
    <n v="0"/>
    <n v="307470.55071854044"/>
    <n v="0"/>
    <n v="0"/>
    <n v="0"/>
    <n v="0"/>
    <n v="879190.16438430082"/>
    <n v="879190.16438430082"/>
    <n v="0"/>
    <n v="3.0111032263932169"/>
    <n v="3.0111032263932169"/>
    <n v="0"/>
    <n v="3.0111032263932169"/>
    <n v="272548.95095913328"/>
    <n v="272548.95095913328"/>
    <n v="0"/>
    <n v="272548.95095913328"/>
    <x v="0"/>
  </r>
  <r>
    <x v="23"/>
    <s v=""/>
    <n v="0"/>
    <n v="0"/>
    <x v="2"/>
    <s v="Vestdanmark"/>
    <n v="0"/>
    <n v="0"/>
    <n v="0"/>
    <n v="0"/>
    <n v="0"/>
    <n v="475615.83979339601"/>
    <n v="0"/>
    <n v="0"/>
    <n v="-475615.83979339601"/>
    <n v="0"/>
    <n v="0"/>
    <n v="0"/>
    <n v="0"/>
    <n v="0"/>
    <n v="0"/>
    <n v="0"/>
    <n v="0"/>
    <n v="0"/>
    <n v="0"/>
    <x v="1"/>
  </r>
  <r>
    <x v="24"/>
    <s v="Husdyrgødning"/>
    <n v="1"/>
    <n v="0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  <x v="0"/>
  </r>
  <r>
    <x v="25"/>
    <s v=""/>
    <n v="0"/>
    <n v="0"/>
    <x v="2"/>
    <s v="Vestdanmark"/>
    <n v="1590883.4700780637"/>
    <n v="1410417.1911333126"/>
    <n v="0"/>
    <n v="0"/>
    <n v="0"/>
    <n v="0"/>
    <n v="0"/>
    <n v="0"/>
    <n v="180466.27894475101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Vestdanmark"/>
    <n v="7480186.4136029035"/>
    <n v="5264057.0697440123"/>
    <n v="0"/>
    <n v="0"/>
    <n v="0"/>
    <n v="0"/>
    <n v="0"/>
    <n v="0"/>
    <n v="2216129.3438588912"/>
    <n v="1964071.9525106091"/>
    <n v="0"/>
    <n v="7.0510183095130872"/>
    <n v="7.0510183095130872"/>
    <n v="0"/>
    <n v="7.0510183095130872"/>
    <n v="589221.58575318265"/>
    <n v="589221.58575318265"/>
    <n v="0"/>
    <n v="589221.58575318265"/>
    <x v="0"/>
  </r>
  <r>
    <x v="27"/>
    <s v=""/>
    <n v="0"/>
    <n v="1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x v="0"/>
  </r>
  <r>
    <x v="29"/>
    <s v=""/>
    <n v="0"/>
    <n v="1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n v="1"/>
    <x v="2"/>
    <s v="Vestdanmark"/>
    <n v="1547190.8284741363"/>
    <n v="0"/>
    <n v="0"/>
    <n v="0"/>
    <n v="0"/>
    <n v="0"/>
    <n v="0"/>
    <n v="0"/>
    <n v="1547190.8284741363"/>
    <n v="0"/>
    <n v="0"/>
    <n v="0"/>
    <n v="0"/>
    <n v="0"/>
    <n v="0"/>
    <n v="0"/>
    <n v="0"/>
    <n v="0"/>
    <n v="0"/>
    <x v="0"/>
  </r>
  <r>
    <x v="31"/>
    <s v="Vedmasse"/>
    <n v="1"/>
    <n v="0"/>
    <x v="2"/>
    <s v="Vestdanmark"/>
    <n v="146472.78733520172"/>
    <n v="0"/>
    <n v="0"/>
    <n v="0"/>
    <n v="0"/>
    <n v="0"/>
    <n v="146472.78733520172"/>
    <n v="0"/>
    <n v="0"/>
    <n v="0"/>
    <n v="146472.78733520172"/>
    <n v="0"/>
    <n v="2.6950992869677113"/>
    <n v="0"/>
    <n v="2.6950992869677113"/>
    <n v="0"/>
    <n v="60786.20674410872"/>
    <n v="0"/>
    <n v="60786.20674410872"/>
    <x v="0"/>
  </r>
  <r>
    <x v="32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n v="0"/>
    <x v="2"/>
    <s v="Vestdanmark"/>
    <n v="471962.43365815014"/>
    <n v="0"/>
    <n v="0"/>
    <n v="0"/>
    <n v="0"/>
    <n v="0"/>
    <n v="0"/>
    <n v="471962.43365815014"/>
    <n v="0"/>
    <n v="0"/>
    <n v="0"/>
    <n v="0"/>
    <n v="0"/>
    <n v="0"/>
    <n v="0"/>
    <n v="0"/>
    <n v="0"/>
    <n v="0"/>
    <n v="0"/>
    <x v="0"/>
  </r>
  <r>
    <x v="36"/>
    <s v=""/>
    <n v="0"/>
    <n v="0"/>
    <x v="2"/>
    <s v="Vestdanmark"/>
    <n v="235981.21682907507"/>
    <n v="199225.59614708141"/>
    <n v="0"/>
    <n v="0"/>
    <n v="0"/>
    <n v="0"/>
    <n v="0"/>
    <n v="0"/>
    <n v="36755.620681993663"/>
    <n v="0"/>
    <n v="0"/>
    <n v="0"/>
    <n v="0"/>
    <n v="0"/>
    <n v="0"/>
    <n v="0"/>
    <n v="0"/>
    <n v="0"/>
    <n v="0"/>
    <x v="0"/>
  </r>
  <r>
    <x v="37"/>
    <s v="Rapsolie"/>
    <n v="1"/>
    <n v="1"/>
    <x v="2"/>
    <s v="Vestdanmark"/>
    <n v="151027.97877060805"/>
    <n v="0"/>
    <n v="0"/>
    <n v="0"/>
    <n v="0"/>
    <n v="0"/>
    <n v="151027.97877060805"/>
    <n v="0"/>
    <n v="0"/>
    <n v="0"/>
    <n v="151027.97877060805"/>
    <n v="0"/>
    <n v="5.2859792569712818"/>
    <n v="0"/>
    <n v="5.2859792569712818"/>
    <n v="0"/>
    <n v="0"/>
    <n v="0"/>
    <n v="0"/>
    <x v="0"/>
  </r>
  <r>
    <x v="38"/>
    <s v="Græs og urter"/>
    <n v="1"/>
    <n v="1"/>
    <x v="2"/>
    <s v="Vestdanmark"/>
    <n v="370630.07456563454"/>
    <n v="782731.52628497675"/>
    <n v="0"/>
    <n v="0"/>
    <n v="0"/>
    <n v="0"/>
    <n v="0"/>
    <n v="0"/>
    <n v="-412101.45171934221"/>
    <n v="0"/>
    <n v="0"/>
    <n v="0"/>
    <n v="0"/>
    <n v="0"/>
    <n v="0"/>
    <n v="0"/>
    <n v="0"/>
    <n v="0"/>
    <n v="0"/>
    <x v="0"/>
  </r>
  <r>
    <x v="39"/>
    <s v=""/>
    <n v="0"/>
    <n v="0"/>
    <x v="2"/>
    <s v="Vestdanmark"/>
    <n v="173774.13679266855"/>
    <n v="0"/>
    <n v="0"/>
    <n v="0"/>
    <n v="0"/>
    <n v="0"/>
    <n v="0"/>
    <n v="0"/>
    <n v="173774.13679266855"/>
    <n v="0"/>
    <n v="0"/>
    <n v="0"/>
    <n v="0"/>
    <n v="0"/>
    <n v="0"/>
    <n v="0"/>
    <n v="0"/>
    <n v="0"/>
    <n v="0"/>
    <x v="0"/>
  </r>
  <r>
    <x v="40"/>
    <s v=""/>
    <n v="0"/>
    <n v="0"/>
    <x v="2"/>
    <s v="Vestdanmark"/>
    <n v="114148.26729349417"/>
    <n v="36677.515608667709"/>
    <n v="0"/>
    <n v="0"/>
    <n v="0"/>
    <n v="0"/>
    <n v="0"/>
    <n v="0"/>
    <n v="77470.751684826449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Vestdanmark"/>
    <n v="4121832.5977837904"/>
    <n v="0"/>
    <n v="0"/>
    <n v="0"/>
    <n v="3709649.3380054114"/>
    <n v="0"/>
    <n v="0"/>
    <n v="0"/>
    <n v="412183.259778379"/>
    <n v="412183.259778379"/>
    <n v="3709649.3380054114"/>
    <n v="0.20568356846200894"/>
    <n v="2.0568356846200895"/>
    <n v="1.8511521161580806"/>
    <n v="0.20568356846200886"/>
    <n v="24730.995586702738"/>
    <n v="247309.95586702743"/>
    <n v="222578.96028032468"/>
    <n v="24730.995586702746"/>
    <x v="0"/>
  </r>
  <r>
    <x v="42"/>
    <s v="Husdyrgødning"/>
    <n v="1"/>
    <n v="0"/>
    <x v="2"/>
    <s v="Vestdanmark"/>
    <n v="12989062.590821607"/>
    <n v="0"/>
    <n v="0"/>
    <n v="0"/>
    <n v="11690156.331739446"/>
    <n v="1298906.2590821604"/>
    <n v="0"/>
    <n v="0"/>
    <n v="0"/>
    <n v="0"/>
    <n v="11690156.331739446"/>
    <n v="0"/>
    <n v="5.0361193477133543"/>
    <n v="5.0361193477133543"/>
    <n v="0"/>
    <n v="0"/>
    <n v="584507.81658697233"/>
    <n v="584507.81658697233"/>
    <n v="0"/>
    <x v="0"/>
  </r>
  <r>
    <x v="43"/>
    <s v=""/>
    <n v="0"/>
    <n v="1"/>
    <x v="2"/>
    <s v="Vestdanmark"/>
    <n v="1206135.7873952007"/>
    <n v="0"/>
    <n v="0"/>
    <n v="126627.09194270898"/>
    <n v="0"/>
    <n v="0"/>
    <n v="0"/>
    <n v="0"/>
    <n v="1079508.6954524918"/>
    <n v="0"/>
    <n v="0"/>
    <n v="0"/>
    <n v="0"/>
    <n v="0"/>
    <n v="0"/>
    <n v="0"/>
    <n v="0"/>
    <n v="0"/>
    <n v="0"/>
    <x v="0"/>
  </r>
  <r>
    <x v="44"/>
    <s v="Havbiomasse"/>
    <n v="1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x v="0"/>
  </r>
  <r>
    <x v="45"/>
    <s v="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2"/>
    <s v="Vestdanmark"/>
    <n v="2287577.6202536402"/>
    <n v="0"/>
    <n v="0"/>
    <n v="0"/>
    <n v="0"/>
    <n v="0"/>
    <n v="2287577.6202536402"/>
    <n v="0"/>
    <n v="0"/>
    <n v="0"/>
    <n v="2287577.6202536402"/>
    <n v="0"/>
    <n v="33.155163855017776"/>
    <n v="0"/>
    <n v="33.155163855017776"/>
    <n v="0"/>
    <n v="1131397.7646837796"/>
    <n v="0"/>
    <n v="1131397.7646837796"/>
    <x v="0"/>
  </r>
  <r>
    <x v="47"/>
    <s v=""/>
    <n v="0"/>
    <n v="0"/>
    <x v="2"/>
    <s v="Vestdanmark"/>
    <n v="659548.66396073136"/>
    <n v="0"/>
    <n v="0"/>
    <n v="0"/>
    <n v="0"/>
    <n v="0"/>
    <n v="0"/>
    <n v="659548.66396073136"/>
    <n v="0"/>
    <n v="0"/>
    <n v="0"/>
    <n v="0"/>
    <n v="0"/>
    <n v="0"/>
    <n v="0"/>
    <n v="0"/>
    <n v="0"/>
    <n v="0"/>
    <n v="0"/>
    <x v="0"/>
  </r>
  <r>
    <x v="0"/>
    <m/>
    <n v="0"/>
    <n v="1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n v="1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n v="0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n v="1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n v="1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x v="1"/>
  </r>
  <r>
    <x v="12"/>
    <s v="Glycerin"/>
    <n v="1"/>
    <n v="0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n v="0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x v="0"/>
  </r>
  <r>
    <x v="14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n v="1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x v="1"/>
  </r>
  <r>
    <x v="16"/>
    <s v="Halm og strå"/>
    <n v="1"/>
    <n v="0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x v="0"/>
  </r>
  <r>
    <x v="17"/>
    <s v="Bionedbrydeligt affald"/>
    <n v="1"/>
    <n v="0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n v="1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n v="0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n v="1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x v="0"/>
  </r>
  <r>
    <x v="23"/>
    <m/>
    <n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n v="0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x v="0"/>
  </r>
  <r>
    <x v="27"/>
    <m/>
    <n v="0"/>
    <n v="1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n v="1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n v="1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n v="0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x v="0"/>
  </r>
  <r>
    <x v="39"/>
    <m/>
    <n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n v="0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n v="1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x v="0"/>
  </r>
  <r>
    <x v="47"/>
    <m/>
    <n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x v="0"/>
  </r>
  <r>
    <x v="0"/>
    <s v=""/>
    <n v="0"/>
    <n v="1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n v="1"/>
    <x v="1"/>
    <s v="Østdanmark"/>
    <n v="28047.573536439377"/>
    <n v="7686.2399260183547"/>
    <n v="0"/>
    <n v="0"/>
    <n v="0"/>
    <n v="0"/>
    <n v="0"/>
    <n v="0"/>
    <n v="20361.333610421021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x v="0"/>
  </r>
  <r>
    <x v="3"/>
    <s v=""/>
    <n v="1"/>
    <n v="0"/>
    <x v="1"/>
    <s v="Østdanmark"/>
    <n v="107723774.7744855"/>
    <n v="0"/>
    <n v="0"/>
    <n v="0"/>
    <n v="0"/>
    <n v="0"/>
    <n v="107723774.7744855"/>
    <n v="0"/>
    <n v="0"/>
    <n v="0"/>
    <n v="107723774.7744855"/>
    <n v="0"/>
    <n v="0"/>
    <n v="0"/>
    <n v="0"/>
    <n v="0"/>
    <n v="0"/>
    <n v="0"/>
    <n v="0"/>
    <x v="0"/>
  </r>
  <r>
    <x v="4"/>
    <s v=""/>
    <n v="0"/>
    <n v="0"/>
    <x v="1"/>
    <s v="Østdanmark"/>
    <n v="4979961.0474174749"/>
    <n v="0"/>
    <n v="0"/>
    <n v="0"/>
    <n v="0"/>
    <n v="4017892.007010099"/>
    <n v="0"/>
    <n v="0"/>
    <n v="962069.0404073759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1"/>
    <s v="Østdanmark"/>
    <n v="346377.64489394147"/>
    <n v="0"/>
    <n v="0"/>
    <n v="0"/>
    <n v="259783.2336704561"/>
    <n v="32782.169963176602"/>
    <n v="0"/>
    <n v="0"/>
    <n v="53812.241260308772"/>
    <n v="53812.241260308772"/>
    <n v="259783.2336704561"/>
    <n v="0.1159115676747051"/>
    <n v="0.67548465300086757"/>
    <n v="0.55957308532616246"/>
    <n v="0.11591156767470512"/>
    <n v="16143.672378092631"/>
    <n v="94078.642479229457"/>
    <n v="77934.970101136831"/>
    <n v="16143.672378092626"/>
    <x v="0"/>
  </r>
  <r>
    <x v="7"/>
    <s v="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  <x v="0"/>
  </r>
  <r>
    <x v="9"/>
    <s v=""/>
    <n v="0"/>
    <n v="1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n v="0"/>
    <x v="1"/>
    <s v="Østdanmark"/>
    <n v="639925.05348634056"/>
    <n v="0"/>
    <n v="0"/>
    <n v="0"/>
    <n v="0"/>
    <n v="0"/>
    <n v="0"/>
    <n v="0"/>
    <n v="639925.05348634056"/>
    <n v="0"/>
    <n v="0"/>
    <n v="0"/>
    <n v="0"/>
    <n v="0"/>
    <n v="0"/>
    <n v="0"/>
    <n v="0"/>
    <n v="0"/>
    <n v="0"/>
    <x v="0"/>
  </r>
  <r>
    <x v="11"/>
    <s v=""/>
    <n v="0"/>
    <n v="1"/>
    <x v="1"/>
    <s v="Østdanmark"/>
    <n v="16391.280898066685"/>
    <n v="0"/>
    <n v="0"/>
    <n v="223323.94265330929"/>
    <n v="0"/>
    <n v="0"/>
    <n v="0"/>
    <n v="0"/>
    <n v="-206932.66175524262"/>
    <n v="0"/>
    <n v="0"/>
    <n v="0"/>
    <n v="0"/>
    <n v="0"/>
    <n v="0"/>
    <n v="0"/>
    <n v="0"/>
    <n v="0"/>
    <n v="0"/>
    <x v="1"/>
  </r>
  <r>
    <x v="12"/>
    <s v="Glycerin"/>
    <n v="1"/>
    <n v="0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n v="0"/>
    <x v="1"/>
    <s v="Østdanmark"/>
    <n v="2198776.4550645952"/>
    <n v="1458357.2726296766"/>
    <n v="0"/>
    <n v="0"/>
    <n v="0"/>
    <n v="0"/>
    <n v="0"/>
    <n v="0"/>
    <n v="740419.18243491859"/>
    <n v="740419.18243491859"/>
    <n v="0"/>
    <n v="1.3622787432824459"/>
    <n v="1.3622787432824459"/>
    <n v="0"/>
    <n v="1.3622787432824459"/>
    <n v="207317.37108177724"/>
    <n v="207317.37108177724"/>
    <n v="0"/>
    <n v="207317.37108177724"/>
    <x v="0"/>
  </r>
  <r>
    <x v="14"/>
    <s v="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1"/>
    <s v="Østdanmark"/>
    <n v="99364.334403430083"/>
    <n v="0"/>
    <n v="0"/>
    <n v="233902.44520004498"/>
    <n v="0"/>
    <n v="0"/>
    <n v="0"/>
    <n v="0"/>
    <n v="-134538.1107966149"/>
    <n v="0"/>
    <n v="0"/>
    <n v="0"/>
    <n v="0"/>
    <n v="0"/>
    <n v="0"/>
    <n v="0"/>
    <n v="0"/>
    <n v="0"/>
    <n v="0"/>
    <x v="1"/>
  </r>
  <r>
    <x v="16"/>
    <s v="Halm og strå"/>
    <n v="1"/>
    <n v="0"/>
    <x v="1"/>
    <s v="Østdanmark"/>
    <n v="1338955.2191121718"/>
    <n v="92128.125779914451"/>
    <n v="99919.118195708812"/>
    <n v="0"/>
    <n v="0"/>
    <n v="0"/>
    <n v="1146907.9751365485"/>
    <n v="0"/>
    <n v="0"/>
    <n v="0"/>
    <n v="1146907.9751365485"/>
    <n v="0"/>
    <n v="11.854218719820096"/>
    <n v="0"/>
    <n v="11.854218719820096"/>
    <n v="0"/>
    <n v="974871.77886606625"/>
    <n v="0"/>
    <n v="974871.77886606625"/>
    <x v="0"/>
  </r>
  <r>
    <x v="17"/>
    <s v="Bionedbrydeligt affald"/>
    <n v="1"/>
    <n v="0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  <x v="0"/>
  </r>
  <r>
    <x v="18"/>
    <s v=""/>
    <n v="0"/>
    <n v="1"/>
    <x v="1"/>
    <s v="Østdanmark"/>
    <n v="0"/>
    <n v="575400.46112831845"/>
    <n v="0"/>
    <n v="0"/>
    <n v="0"/>
    <n v="0"/>
    <n v="0"/>
    <n v="0"/>
    <n v="-575400.46112831845"/>
    <n v="0"/>
    <n v="0"/>
    <n v="0"/>
    <n v="0"/>
    <n v="0"/>
    <n v="0"/>
    <n v="0"/>
    <n v="0"/>
    <n v="0"/>
    <n v="0"/>
    <x v="1"/>
  </r>
  <r>
    <x v="19"/>
    <s v="Bionedbrydeligt affald"/>
    <n v="1"/>
    <n v="0"/>
    <x v="1"/>
    <s v="Østdanmark"/>
    <n v="201909.85062896684"/>
    <n v="0"/>
    <n v="0"/>
    <n v="0"/>
    <n v="0"/>
    <n v="0"/>
    <n v="0"/>
    <n v="0"/>
    <n v="201909.85062896684"/>
    <n v="201909.85062896684"/>
    <n v="0"/>
    <n v="0.87490163105589525"/>
    <n v="0.87490163105589525"/>
    <n v="0"/>
    <n v="0.87490163105589525"/>
    <n v="84802.137264166071"/>
    <n v="84802.137264166071"/>
    <n v="0"/>
    <n v="84802.137264166071"/>
    <x v="0"/>
  </r>
  <r>
    <x v="20"/>
    <s v=""/>
    <n v="0"/>
    <n v="0"/>
    <x v="1"/>
    <s v="Østdanmark"/>
    <n v="151266.45400737421"/>
    <n v="0"/>
    <n v="0"/>
    <n v="0"/>
    <n v="0"/>
    <n v="0"/>
    <n v="0"/>
    <n v="0"/>
    <n v="151266.45400737421"/>
    <n v="0"/>
    <n v="0"/>
    <n v="0"/>
    <n v="0"/>
    <n v="0"/>
    <n v="0"/>
    <n v="0"/>
    <n v="0"/>
    <n v="0"/>
    <n v="0"/>
    <x v="0"/>
  </r>
  <r>
    <x v="21"/>
    <s v=""/>
    <n v="0"/>
    <n v="1"/>
    <x v="1"/>
    <s v="Østdanmark"/>
    <n v="120819.30729817749"/>
    <n v="0"/>
    <n v="0"/>
    <n v="106960.41463921656"/>
    <n v="0"/>
    <n v="0"/>
    <n v="0"/>
    <n v="0"/>
    <n v="13858.892658960933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Østdanmark"/>
    <n v="2364100.9929543477"/>
    <n v="700622.1199230341"/>
    <n v="0"/>
    <n v="256234.83946537593"/>
    <n v="0"/>
    <n v="0"/>
    <n v="0"/>
    <n v="0"/>
    <n v="1407244.0335659378"/>
    <n v="1407244.0335659378"/>
    <n v="0"/>
    <n v="4.8196138007986384"/>
    <n v="4.8196138007986384"/>
    <n v="0"/>
    <n v="4.8196138007986384"/>
    <n v="436245.65040544071"/>
    <n v="436245.65040544071"/>
    <n v="0"/>
    <n v="436245.65040544071"/>
    <x v="0"/>
  </r>
  <r>
    <x v="23"/>
    <s v=""/>
    <n v="0"/>
    <n v="0"/>
    <x v="1"/>
    <s v="Østdanmark"/>
    <n v="0"/>
    <n v="0"/>
    <n v="0"/>
    <n v="0"/>
    <n v="0"/>
    <n v="335173.45257844625"/>
    <n v="0"/>
    <n v="0"/>
    <n v="-335173.45257844625"/>
    <n v="0"/>
    <n v="0"/>
    <n v="0"/>
    <n v="0"/>
    <n v="0"/>
    <n v="0"/>
    <n v="0"/>
    <n v="0"/>
    <n v="0"/>
    <n v="0"/>
    <x v="1"/>
  </r>
  <r>
    <x v="24"/>
    <s v="Husdyrgødning"/>
    <n v="1"/>
    <n v="0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  <x v="0"/>
  </r>
  <r>
    <x v="25"/>
    <s v=""/>
    <n v="0"/>
    <n v="0"/>
    <x v="1"/>
    <s v="Østdanmark"/>
    <n v="115210.53389359287"/>
    <n v="180626.6382614313"/>
    <n v="0"/>
    <n v="0"/>
    <n v="0"/>
    <n v="0"/>
    <n v="0"/>
    <n v="0"/>
    <n v="-65416.10436783843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Østdanmark"/>
    <n v="382116.33628402097"/>
    <n v="674147.29351119313"/>
    <n v="0"/>
    <n v="0"/>
    <n v="0"/>
    <n v="0"/>
    <n v="0"/>
    <n v="0"/>
    <n v="-292030.95722717216"/>
    <n v="0"/>
    <n v="0"/>
    <n v="0"/>
    <n v="0"/>
    <n v="0"/>
    <n v="0"/>
    <n v="0"/>
    <n v="0"/>
    <n v="0"/>
    <n v="0"/>
    <x v="0"/>
  </r>
  <r>
    <x v="27"/>
    <s v=""/>
    <n v="0"/>
    <n v="1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x v="0"/>
  </r>
  <r>
    <x v="29"/>
    <s v=""/>
    <n v="0"/>
    <n v="1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n v="1"/>
    <x v="1"/>
    <s v="Østdanmark"/>
    <n v="410761.8079459595"/>
    <n v="0"/>
    <n v="0"/>
    <n v="0"/>
    <n v="0"/>
    <n v="0"/>
    <n v="0"/>
    <n v="0"/>
    <n v="410761.8079459595"/>
    <n v="0"/>
    <n v="0"/>
    <n v="0"/>
    <n v="0"/>
    <n v="0"/>
    <n v="0"/>
    <n v="0"/>
    <n v="0"/>
    <n v="0"/>
    <n v="0"/>
    <x v="0"/>
  </r>
  <r>
    <x v="31"/>
    <s v="Vedmasse"/>
    <n v="1"/>
    <n v="0"/>
    <x v="1"/>
    <s v="Østdanmark"/>
    <n v="39668.631585604686"/>
    <n v="0"/>
    <n v="0"/>
    <n v="0"/>
    <n v="0"/>
    <n v="0"/>
    <n v="39668.631585604686"/>
    <n v="0"/>
    <n v="0"/>
    <n v="0"/>
    <n v="39668.631585604686"/>
    <n v="0"/>
    <n v="0.72990282117512606"/>
    <n v="0"/>
    <n v="0.72990282117512606"/>
    <n v="0"/>
    <n v="16462.482108025946"/>
    <n v="0"/>
    <n v="16462.482108025946"/>
    <x v="0"/>
  </r>
  <r>
    <x v="32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n v="0"/>
    <x v="1"/>
    <s v="Østdanmark"/>
    <n v="200297.62873879672"/>
    <n v="0"/>
    <n v="0"/>
    <n v="0"/>
    <n v="0"/>
    <n v="0"/>
    <n v="0"/>
    <n v="200297.62873879672"/>
    <n v="0"/>
    <n v="0"/>
    <n v="0"/>
    <n v="0"/>
    <n v="0"/>
    <n v="0"/>
    <n v="0"/>
    <n v="0"/>
    <n v="0"/>
    <n v="0"/>
    <n v="0"/>
    <x v="0"/>
  </r>
  <r>
    <x v="36"/>
    <s v=""/>
    <n v="0"/>
    <n v="0"/>
    <x v="1"/>
    <s v="Østdanmark"/>
    <n v="100148.81436939836"/>
    <n v="25514.0464210887"/>
    <n v="0"/>
    <n v="0"/>
    <n v="0"/>
    <n v="0"/>
    <n v="0"/>
    <n v="0"/>
    <n v="74634.767948309658"/>
    <n v="0"/>
    <n v="0"/>
    <n v="0"/>
    <n v="0"/>
    <n v="0"/>
    <n v="0"/>
    <n v="0"/>
    <n v="0"/>
    <n v="0"/>
    <n v="0"/>
    <x v="0"/>
  </r>
  <r>
    <x v="37"/>
    <s v="Rapsolie"/>
    <n v="1"/>
    <n v="1"/>
    <x v="1"/>
    <s v="Østdanmark"/>
    <n v="64095.241196414951"/>
    <n v="0"/>
    <n v="0"/>
    <n v="0"/>
    <n v="0"/>
    <n v="0"/>
    <n v="64095.241196414951"/>
    <n v="0"/>
    <n v="0"/>
    <n v="0"/>
    <n v="64095.241196414951"/>
    <n v="0"/>
    <n v="2.243333441874523"/>
    <n v="0"/>
    <n v="2.243333441874523"/>
    <n v="0"/>
    <n v="0"/>
    <n v="0"/>
    <n v="0"/>
    <x v="0"/>
  </r>
  <r>
    <x v="38"/>
    <s v="Græs og urter"/>
    <n v="1"/>
    <n v="1"/>
    <x v="1"/>
    <s v="Østdanmark"/>
    <n v="2327318.8289159178"/>
    <n v="100241.37903515603"/>
    <n v="0"/>
    <n v="0"/>
    <n v="0"/>
    <n v="0"/>
    <n v="0"/>
    <n v="0"/>
    <n v="2227077.4498807616"/>
    <n v="1794004.4501021868"/>
    <n v="0"/>
    <n v="4.8689998377553394"/>
    <n v="4.8689998377553394"/>
    <n v="0"/>
    <n v="4.8689998377553394"/>
    <n v="358800.89002043736"/>
    <n v="358800.89002043736"/>
    <n v="0"/>
    <n v="358800.89002043736"/>
    <x v="0"/>
  </r>
  <r>
    <x v="39"/>
    <s v=""/>
    <n v="0"/>
    <n v="0"/>
    <x v="1"/>
    <s v="Østdanmark"/>
    <n v="21912.353272016309"/>
    <n v="0"/>
    <n v="0"/>
    <n v="0"/>
    <n v="0"/>
    <n v="0"/>
    <n v="0"/>
    <n v="0"/>
    <n v="21912.353272016309"/>
    <n v="0"/>
    <n v="0"/>
    <n v="0"/>
    <n v="0"/>
    <n v="0"/>
    <n v="0"/>
    <n v="0"/>
    <n v="0"/>
    <n v="0"/>
    <n v="0"/>
    <x v="0"/>
  </r>
  <r>
    <x v="40"/>
    <s v=""/>
    <n v="0"/>
    <n v="0"/>
    <x v="1"/>
    <s v="Østdanmark"/>
    <n v="17658.552594451528"/>
    <n v="4697.1466214556613"/>
    <n v="0"/>
    <n v="0"/>
    <n v="0"/>
    <n v="0"/>
    <n v="0"/>
    <n v="0"/>
    <n v="12961.405972995868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  <x v="0"/>
  </r>
  <r>
    <x v="42"/>
    <s v="Husdyrgødning"/>
    <n v="1"/>
    <n v="0"/>
    <x v="1"/>
    <s v="Østdanmark"/>
    <n v="2106792.4244348742"/>
    <n v="0"/>
    <n v="0"/>
    <n v="0"/>
    <n v="1580094.3183261557"/>
    <n v="526698.10610871855"/>
    <n v="0"/>
    <n v="0"/>
    <n v="0"/>
    <n v="0"/>
    <n v="1580094.3183261557"/>
    <n v="0"/>
    <n v="0.68070463233490797"/>
    <n v="0.68070463233490797"/>
    <n v="0"/>
    <n v="0"/>
    <n v="79004.715916307789"/>
    <n v="79004.715916307789"/>
    <n v="0"/>
    <x v="0"/>
  </r>
  <r>
    <x v="43"/>
    <s v=""/>
    <n v="0"/>
    <n v="1"/>
    <x v="1"/>
    <s v="Østdanmark"/>
    <n v="192585.04353697354"/>
    <n v="0"/>
    <n v="0"/>
    <n v="105526.43984954793"/>
    <n v="0"/>
    <n v="0"/>
    <n v="0"/>
    <n v="0"/>
    <n v="87058.60368742561"/>
    <n v="0"/>
    <n v="0"/>
    <n v="0"/>
    <n v="0"/>
    <n v="0"/>
    <n v="0"/>
    <n v="0"/>
    <n v="0"/>
    <n v="0"/>
    <n v="0"/>
    <x v="0"/>
  </r>
  <r>
    <x v="44"/>
    <s v="Havbiomasse"/>
    <n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1"/>
    <s v="Østdanmark"/>
    <n v="647645.86028338596"/>
    <n v="0"/>
    <n v="0"/>
    <n v="0"/>
    <n v="0"/>
    <n v="0"/>
    <n v="647645.86028338596"/>
    <n v="0"/>
    <n v="0"/>
    <n v="0"/>
    <n v="647645.86028338596"/>
    <n v="0"/>
    <n v="9.3866998993191597"/>
    <n v="0"/>
    <n v="9.3866998993191597"/>
    <n v="0"/>
    <n v="320314.84839849127"/>
    <n v="0"/>
    <n v="320314.84839849127"/>
    <x v="0"/>
  </r>
  <r>
    <x v="47"/>
    <s v=""/>
    <n v="0"/>
    <n v="0"/>
    <x v="1"/>
    <s v="Østdanmark"/>
    <n v="178235.22139277839"/>
    <n v="0"/>
    <n v="0"/>
    <n v="0"/>
    <n v="0"/>
    <n v="0"/>
    <n v="0"/>
    <n v="178235.22139277839"/>
    <n v="0"/>
    <n v="0"/>
    <n v="0"/>
    <n v="0"/>
    <n v="0"/>
    <n v="0"/>
    <n v="0"/>
    <n v="0"/>
    <n v="0"/>
    <n v="0"/>
    <n v="0"/>
    <x v="0"/>
  </r>
  <r>
    <x v="0"/>
    <s v=""/>
    <n v="0"/>
    <n v="1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n v="1"/>
    <x v="2"/>
    <s v="Østdanmark"/>
    <n v="27963.188224431749"/>
    <n v="7267.3729665242781"/>
    <n v="0"/>
    <n v="0"/>
    <n v="0"/>
    <n v="0"/>
    <n v="0"/>
    <n v="0"/>
    <n v="20695.81525790747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x v="0"/>
  </r>
  <r>
    <x v="3"/>
    <s v=""/>
    <n v="1"/>
    <n v="0"/>
    <x v="2"/>
    <s v="Østdanmark"/>
    <n v="127770459.38070777"/>
    <n v="0"/>
    <n v="0"/>
    <n v="0"/>
    <n v="0"/>
    <n v="0"/>
    <n v="127770459.38070777"/>
    <n v="0"/>
    <n v="0"/>
    <n v="0"/>
    <n v="127770459.38070777"/>
    <n v="0"/>
    <n v="0"/>
    <n v="0"/>
    <n v="0"/>
    <n v="0"/>
    <n v="0"/>
    <n v="0"/>
    <n v="0"/>
    <x v="0"/>
  </r>
  <r>
    <x v="4"/>
    <s v=""/>
    <n v="0"/>
    <n v="0"/>
    <x v="2"/>
    <s v="Østdanmark"/>
    <n v="5931800.6059544124"/>
    <n v="0"/>
    <n v="0"/>
    <n v="0"/>
    <n v="0"/>
    <n v="4680862.224178886"/>
    <n v="0"/>
    <n v="0"/>
    <n v="1250938.3817755263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2"/>
    <s v="Østdanmark"/>
    <n v="342152.71828788641"/>
    <n v="0"/>
    <n v="0"/>
    <n v="0"/>
    <n v="307937.44645909779"/>
    <n v="12952.924335184269"/>
    <n v="0"/>
    <n v="0"/>
    <n v="21262.347493604349"/>
    <n v="21262.347493604349"/>
    <n v="307937.44645909779"/>
    <n v="4.5799096501223768E-2"/>
    <n v="0.70909635617412037"/>
    <n v="0.66329725967289666"/>
    <n v="4.5799096501223713E-2"/>
    <n v="6378.7042480813043"/>
    <n v="98759.938185810635"/>
    <n v="92381.233937729339"/>
    <n v="6378.7042480812961"/>
    <x v="0"/>
  </r>
  <r>
    <x v="7"/>
    <s v="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  <x v="0"/>
  </r>
  <r>
    <x v="9"/>
    <s v=""/>
    <n v="0"/>
    <n v="1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n v="0"/>
    <x v="2"/>
    <s v="Østdanmark"/>
    <n v="619622.98434941436"/>
    <n v="0"/>
    <n v="0"/>
    <n v="0"/>
    <n v="0"/>
    <n v="0"/>
    <n v="0"/>
    <n v="0"/>
    <n v="619622.98434941436"/>
    <n v="0"/>
    <n v="0"/>
    <n v="0"/>
    <n v="0"/>
    <n v="0"/>
    <n v="0"/>
    <n v="0"/>
    <n v="0"/>
    <n v="0"/>
    <n v="0"/>
    <x v="0"/>
  </r>
  <r>
    <x v="11"/>
    <s v=""/>
    <n v="0"/>
    <n v="1"/>
    <x v="2"/>
    <s v="Østdanmark"/>
    <n v="16278.266064377463"/>
    <n v="0"/>
    <n v="0"/>
    <n v="233795.01599247381"/>
    <n v="0"/>
    <n v="0"/>
    <n v="0"/>
    <n v="0"/>
    <n v="-217516.74992809634"/>
    <n v="0"/>
    <n v="0"/>
    <n v="0"/>
    <n v="0"/>
    <n v="0"/>
    <n v="0"/>
    <n v="0"/>
    <n v="0"/>
    <n v="0"/>
    <n v="0"/>
    <x v="1"/>
  </r>
  <r>
    <x v="12"/>
    <s v="Glycerin"/>
    <n v="1"/>
    <n v="0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n v="0"/>
    <x v="2"/>
    <s v="Østdanmark"/>
    <n v="2066928.9300738815"/>
    <n v="1378883.0846623355"/>
    <n v="0"/>
    <n v="0"/>
    <n v="0"/>
    <n v="0"/>
    <n v="0"/>
    <n v="0"/>
    <n v="688045.84541154606"/>
    <n v="688045.84541154606"/>
    <n v="0"/>
    <n v="1.2659183498265685"/>
    <n v="1.2659183498265685"/>
    <n v="0"/>
    <n v="1.2659183498265685"/>
    <n v="192652.83671523293"/>
    <n v="192652.83671523293"/>
    <n v="0"/>
    <n v="192652.83671523293"/>
    <x v="0"/>
  </r>
  <r>
    <x v="14"/>
    <s v="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2"/>
    <s v="Østdanmark"/>
    <n v="100361.40981981652"/>
    <n v="0"/>
    <n v="0"/>
    <n v="244869.51675001203"/>
    <n v="0"/>
    <n v="0"/>
    <n v="0"/>
    <n v="0"/>
    <n v="-144508.10693019553"/>
    <n v="0"/>
    <n v="0"/>
    <n v="0"/>
    <n v="0"/>
    <n v="0"/>
    <n v="0"/>
    <n v="0"/>
    <n v="0"/>
    <n v="0"/>
    <n v="0"/>
    <x v="1"/>
  </r>
  <r>
    <x v="16"/>
    <s v="Halm og strå"/>
    <n v="1"/>
    <n v="0"/>
    <x v="2"/>
    <s v="Østdanmark"/>
    <n v="1501603.8609770872"/>
    <n v="87107.539862645164"/>
    <n v="92961.560520988991"/>
    <n v="0"/>
    <n v="0"/>
    <n v="0"/>
    <n v="1321534.7605934532"/>
    <n v="0"/>
    <n v="0"/>
    <n v="0"/>
    <n v="1321534.7605934532"/>
    <n v="0"/>
    <n v="13.659127355928229"/>
    <n v="0"/>
    <n v="13.659127355928229"/>
    <n v="0"/>
    <n v="1123304.5465044351"/>
    <n v="0"/>
    <n v="1123304.5465044351"/>
    <x v="0"/>
  </r>
  <r>
    <x v="17"/>
    <s v="Bionedbrydeligt affald"/>
    <n v="1"/>
    <n v="0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  <x v="0"/>
  </r>
  <r>
    <x v="18"/>
    <s v=""/>
    <n v="0"/>
    <n v="1"/>
    <x v="2"/>
    <s v="Østdanmark"/>
    <n v="0"/>
    <n v="544043.61513285921"/>
    <n v="0"/>
    <n v="0"/>
    <n v="0"/>
    <n v="0"/>
    <n v="0"/>
    <n v="0"/>
    <n v="-544043.61513285921"/>
    <n v="0"/>
    <n v="0"/>
    <n v="0"/>
    <n v="0"/>
    <n v="0"/>
    <n v="0"/>
    <n v="0"/>
    <n v="0"/>
    <n v="0"/>
    <n v="0"/>
    <x v="1"/>
  </r>
  <r>
    <x v="19"/>
    <s v="Bionedbrydeligt affald"/>
    <n v="1"/>
    <n v="0"/>
    <x v="2"/>
    <s v="Østdanmark"/>
    <n v="200523.95597408165"/>
    <n v="0"/>
    <n v="0"/>
    <n v="0"/>
    <n v="0"/>
    <n v="0"/>
    <n v="0"/>
    <n v="0"/>
    <n v="200523.95597408165"/>
    <n v="200523.95597408165"/>
    <n v="0"/>
    <n v="0.8688963693499725"/>
    <n v="0.8688963693499725"/>
    <n v="0"/>
    <n v="0.8688963693499725"/>
    <n v="84220.061509114283"/>
    <n v="84220.061509114283"/>
    <n v="0"/>
    <n v="84220.061509114283"/>
    <x v="0"/>
  </r>
  <r>
    <x v="20"/>
    <s v=""/>
    <n v="0"/>
    <n v="0"/>
    <x v="2"/>
    <s v="Østdanmark"/>
    <n v="150223.49993632184"/>
    <n v="0"/>
    <n v="0"/>
    <n v="0"/>
    <n v="0"/>
    <n v="0"/>
    <n v="0"/>
    <n v="0"/>
    <n v="150223.49993632184"/>
    <n v="0"/>
    <n v="0"/>
    <n v="0"/>
    <n v="0"/>
    <n v="0"/>
    <n v="0"/>
    <n v="0"/>
    <n v="0"/>
    <n v="0"/>
    <n v="0"/>
    <x v="0"/>
  </r>
  <r>
    <x v="21"/>
    <s v=""/>
    <n v="0"/>
    <n v="1"/>
    <x v="2"/>
    <s v="Østdanmark"/>
    <n v="119162.42345688539"/>
    <n v="0"/>
    <n v="0"/>
    <n v="111975.50765955324"/>
    <n v="0"/>
    <n v="0"/>
    <n v="0"/>
    <n v="0"/>
    <n v="7186.9157973321417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Østdanmark"/>
    <n v="2365391.4259483349"/>
    <n v="662441.233045817"/>
    <n v="0"/>
    <n v="268249.01834925939"/>
    <n v="0"/>
    <n v="0"/>
    <n v="0"/>
    <n v="0"/>
    <n v="1434701.1745532583"/>
    <n v="1434701.1745532583"/>
    <n v="0"/>
    <n v="4.913650664680473"/>
    <n v="4.913650664680473"/>
    <n v="0"/>
    <n v="4.913650664680473"/>
    <n v="444757.36411151011"/>
    <n v="444757.36411151011"/>
    <n v="0"/>
    <n v="444757.36411151011"/>
    <x v="0"/>
  </r>
  <r>
    <x v="23"/>
    <s v=""/>
    <n v="0"/>
    <n v="0"/>
    <x v="2"/>
    <s v="Østdanmark"/>
    <n v="0"/>
    <n v="0"/>
    <n v="0"/>
    <n v="0"/>
    <n v="0"/>
    <n v="288937.99053379206"/>
    <n v="0"/>
    <n v="0"/>
    <n v="-288937.99053379206"/>
    <n v="0"/>
    <n v="0"/>
    <n v="0"/>
    <n v="0"/>
    <n v="0"/>
    <n v="0"/>
    <n v="0"/>
    <n v="0"/>
    <n v="0"/>
    <n v="0"/>
    <x v="1"/>
  </r>
  <r>
    <x v="24"/>
    <s v="Husdyrgødning"/>
    <n v="1"/>
    <n v="0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  <x v="0"/>
  </r>
  <r>
    <x v="25"/>
    <s v=""/>
    <n v="0"/>
    <n v="0"/>
    <x v="2"/>
    <s v="Østdanmark"/>
    <n v="113070.46736338305"/>
    <n v="170783.26471332053"/>
    <n v="0"/>
    <n v="0"/>
    <n v="0"/>
    <n v="0"/>
    <n v="0"/>
    <n v="0"/>
    <n v="-57712.797349937478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Østdanmark"/>
    <n v="385351.77925728471"/>
    <n v="637409.17060556682"/>
    <n v="0"/>
    <n v="0"/>
    <n v="0"/>
    <n v="0"/>
    <n v="0"/>
    <n v="0"/>
    <n v="-252057.39134828211"/>
    <n v="0"/>
    <n v="0"/>
    <n v="0"/>
    <n v="0"/>
    <n v="0"/>
    <n v="0"/>
    <n v="0"/>
    <n v="0"/>
    <n v="0"/>
    <n v="0"/>
    <x v="0"/>
  </r>
  <r>
    <x v="27"/>
    <s v=""/>
    <n v="0"/>
    <n v="1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x v="0"/>
  </r>
  <r>
    <x v="29"/>
    <s v=""/>
    <n v="0"/>
    <n v="1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n v="1"/>
    <x v="2"/>
    <s v="Østdanmark"/>
    <n v="407929.68166494544"/>
    <n v="0"/>
    <n v="0"/>
    <n v="0"/>
    <n v="0"/>
    <n v="0"/>
    <n v="0"/>
    <n v="0"/>
    <n v="407929.68166494544"/>
    <n v="0"/>
    <n v="0"/>
    <n v="0"/>
    <n v="0"/>
    <n v="0"/>
    <n v="0"/>
    <n v="0"/>
    <n v="0"/>
    <n v="0"/>
    <n v="0"/>
    <x v="0"/>
  </r>
  <r>
    <x v="31"/>
    <s v="Vedmasse"/>
    <n v="1"/>
    <n v="0"/>
    <x v="2"/>
    <s v="Østdanmark"/>
    <n v="36959.622363047813"/>
    <n v="0"/>
    <n v="0"/>
    <n v="0"/>
    <n v="0"/>
    <n v="0"/>
    <n v="36959.622363047813"/>
    <n v="0"/>
    <n v="0"/>
    <n v="0"/>
    <n v="36959.622363047813"/>
    <n v="0"/>
    <n v="0.68005705148007967"/>
    <n v="0"/>
    <n v="0.68005705148007967"/>
    <n v="0"/>
    <n v="15338.243280664843"/>
    <n v="0"/>
    <n v="15338.243280664843"/>
    <x v="0"/>
  </r>
  <r>
    <x v="32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n v="0"/>
    <x v="2"/>
    <s v="Østdanmark"/>
    <n v="200042.64483548011"/>
    <n v="0"/>
    <n v="0"/>
    <n v="0"/>
    <n v="0"/>
    <n v="0"/>
    <n v="0"/>
    <n v="200042.64483548011"/>
    <n v="0"/>
    <n v="0"/>
    <n v="0"/>
    <n v="0"/>
    <n v="0"/>
    <n v="0"/>
    <n v="0"/>
    <n v="0"/>
    <n v="0"/>
    <n v="0"/>
    <n v="0"/>
    <x v="0"/>
  </r>
  <r>
    <x v="36"/>
    <s v=""/>
    <n v="0"/>
    <n v="0"/>
    <x v="2"/>
    <s v="Østdanmark"/>
    <n v="100021.32241774006"/>
    <n v="24123.640819434757"/>
    <n v="0"/>
    <n v="0"/>
    <n v="0"/>
    <n v="0"/>
    <n v="0"/>
    <n v="0"/>
    <n v="75897.681598305295"/>
    <n v="0"/>
    <n v="0"/>
    <n v="0"/>
    <n v="0"/>
    <n v="0"/>
    <n v="0"/>
    <n v="0"/>
    <n v="0"/>
    <n v="0"/>
    <n v="0"/>
    <x v="0"/>
  </r>
  <r>
    <x v="37"/>
    <s v="Rapsolie"/>
    <n v="1"/>
    <n v="1"/>
    <x v="2"/>
    <s v="Østdanmark"/>
    <n v="64013.646347353635"/>
    <n v="0"/>
    <n v="0"/>
    <n v="0"/>
    <n v="0"/>
    <n v="0"/>
    <n v="64013.646347353635"/>
    <n v="0"/>
    <n v="0"/>
    <n v="0"/>
    <n v="64013.646347353635"/>
    <n v="0"/>
    <n v="2.240477622157377"/>
    <n v="0"/>
    <n v="2.240477622157377"/>
    <n v="0"/>
    <n v="0"/>
    <n v="0"/>
    <n v="0"/>
    <x v="0"/>
  </r>
  <r>
    <x v="38"/>
    <s v="Græs og urter"/>
    <n v="1"/>
    <n v="1"/>
    <x v="2"/>
    <s v="Østdanmark"/>
    <n v="2337477.1247217245"/>
    <n v="94778.655771754129"/>
    <n v="0"/>
    <n v="0"/>
    <n v="0"/>
    <n v="0"/>
    <n v="0"/>
    <n v="0"/>
    <n v="2242698.4689499703"/>
    <n v="1830597.0172306281"/>
    <n v="0"/>
    <n v="4.9683135286446136"/>
    <n v="4.9683135286446136"/>
    <n v="0"/>
    <n v="4.9683135286446136"/>
    <n v="366119.40344612562"/>
    <n v="366119.40344612562"/>
    <n v="0"/>
    <n v="366119.40344612562"/>
    <x v="0"/>
  </r>
  <r>
    <x v="39"/>
    <s v=""/>
    <n v="0"/>
    <n v="0"/>
    <x v="2"/>
    <s v="Østdanmark"/>
    <n v="20186.20419193256"/>
    <n v="0"/>
    <n v="0"/>
    <n v="0"/>
    <n v="0"/>
    <n v="0"/>
    <n v="0"/>
    <n v="0"/>
    <n v="20186.20419193256"/>
    <n v="0"/>
    <n v="0"/>
    <n v="0"/>
    <n v="0"/>
    <n v="0"/>
    <n v="0"/>
    <n v="0"/>
    <n v="0"/>
    <n v="0"/>
    <n v="0"/>
    <x v="0"/>
  </r>
  <r>
    <x v="40"/>
    <s v=""/>
    <n v="0"/>
    <n v="0"/>
    <x v="2"/>
    <s v="Østdanmark"/>
    <n v="16053.966219959522"/>
    <n v="4441.1723684315039"/>
    <n v="0"/>
    <n v="0"/>
    <n v="0"/>
    <n v="0"/>
    <n v="0"/>
    <n v="0"/>
    <n v="11612.793851528018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Østdanmark"/>
    <n v="3500281.4918378997"/>
    <n v="0"/>
    <n v="0"/>
    <n v="0"/>
    <n v="3150253.3426541099"/>
    <n v="0"/>
    <n v="0"/>
    <n v="0"/>
    <n v="350028.14918378973"/>
    <n v="350028.14918378973"/>
    <n v="3150253.3426541099"/>
    <n v="0.17466754672420293"/>
    <n v="1.7466754672420306"/>
    <n v="1.5720079205178277"/>
    <n v="0.17466754672420293"/>
    <n v="21001.688951027383"/>
    <n v="210016.88951027396"/>
    <n v="189015.20055924659"/>
    <n v="21001.688951027376"/>
    <x v="0"/>
  </r>
  <r>
    <x v="42"/>
    <s v="Husdyrgødning"/>
    <n v="1"/>
    <n v="0"/>
    <x v="2"/>
    <s v="Østdanmark"/>
    <n v="1882077.697473543"/>
    <n v="0"/>
    <n v="0"/>
    <n v="0"/>
    <n v="1693869.9277261887"/>
    <n v="188207.76974735426"/>
    <n v="0"/>
    <n v="0"/>
    <n v="0"/>
    <n v="0"/>
    <n v="1693869.9277261887"/>
    <n v="0"/>
    <n v="0.72971916486444222"/>
    <n v="0.72971916486444222"/>
    <n v="0"/>
    <n v="0"/>
    <n v="84693.496386309445"/>
    <n v="84693.496386309445"/>
    <n v="0"/>
    <x v="0"/>
  </r>
  <r>
    <x v="43"/>
    <s v=""/>
    <n v="0"/>
    <n v="1"/>
    <x v="2"/>
    <s v="Østdanmark"/>
    <n v="174765.59603194657"/>
    <n v="0"/>
    <n v="0"/>
    <n v="110474.29755686472"/>
    <n v="0"/>
    <n v="0"/>
    <n v="0"/>
    <n v="0"/>
    <n v="64291.298475081843"/>
    <n v="0"/>
    <n v="0"/>
    <n v="0"/>
    <n v="0"/>
    <n v="0"/>
    <n v="0"/>
    <n v="0"/>
    <n v="0"/>
    <n v="0"/>
    <n v="0"/>
    <x v="0"/>
  </r>
  <r>
    <x v="44"/>
    <s v="Havbiomasse"/>
    <n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2"/>
    <s v="Østdanmark"/>
    <n v="637918.49942824384"/>
    <n v="0"/>
    <n v="0"/>
    <n v="0"/>
    <n v="0"/>
    <n v="0"/>
    <n v="637918.49942824384"/>
    <n v="0"/>
    <n v="0"/>
    <n v="0"/>
    <n v="637918.49942824384"/>
    <n v="0"/>
    <n v="9.2457157245424533"/>
    <n v="0"/>
    <n v="9.2457157245424533"/>
    <n v="0"/>
    <n v="315503.85784221895"/>
    <n v="0"/>
    <n v="315503.85784221895"/>
    <x v="0"/>
  </r>
  <r>
    <x v="47"/>
    <s v=""/>
    <n v="0"/>
    <n v="0"/>
    <x v="2"/>
    <s v="Østdanmark"/>
    <n v="181156.38422629872"/>
    <n v="0"/>
    <n v="0"/>
    <n v="0"/>
    <n v="0"/>
    <n v="0"/>
    <n v="0"/>
    <n v="181156.38422629872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n v="0"/>
    <x v="1"/>
  </r>
  <r>
    <x v="17"/>
    <s v="Bionedbrydeligt affald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n v="0"/>
    <x v="0"/>
  </r>
  <r>
    <x v="27"/>
    <m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n v="0"/>
    <x v="1"/>
  </r>
  <r>
    <x v="47"/>
    <m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n v="1"/>
    <x v="1"/>
    <s v="Vestdanmark"/>
    <n v="264281.48271181755"/>
    <n v="62908.541627737373"/>
    <n v="0"/>
    <n v="0"/>
    <n v="0"/>
    <n v="0"/>
    <n v="0"/>
    <n v="0"/>
    <n v="201372.94108408017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n v="0"/>
    <x v="1"/>
  </r>
  <r>
    <x v="3"/>
    <s v=""/>
    <n v="1"/>
    <n v="0"/>
    <x v="1"/>
    <s v="Vestdanmark"/>
    <n v="492782535.68274039"/>
    <n v="0"/>
    <n v="0"/>
    <n v="0"/>
    <n v="0"/>
    <n v="0"/>
    <n v="492782535.68274039"/>
    <n v="0"/>
    <n v="0"/>
    <n v="0"/>
    <n v="492782535.68274039"/>
    <n v="0"/>
    <n v="0"/>
    <n v="0"/>
    <n v="0"/>
    <n v="0"/>
    <n v="0"/>
    <n v="0"/>
    <n v="0"/>
    <n v="0"/>
    <x v="1"/>
  </r>
  <r>
    <x v="4"/>
    <s v=""/>
    <n v="0"/>
    <n v="0"/>
    <x v="1"/>
    <s v="Vestdanmark"/>
    <n v="23970432.839117184"/>
    <n v="0"/>
    <n v="0"/>
    <n v="0"/>
    <n v="0"/>
    <n v="19339631.292659696"/>
    <n v="0"/>
    <n v="0"/>
    <n v="4630801.5464574881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1"/>
    <s v="Vestdanmark"/>
    <n v="2572334.3954420607"/>
    <n v="0"/>
    <n v="0"/>
    <n v="0"/>
    <n v="1929250.7965815454"/>
    <n v="243453.07671148074"/>
    <n v="0"/>
    <n v="0"/>
    <n v="399630.52214903431"/>
    <n v="399630.52214903431"/>
    <n v="1929250.7965815454"/>
    <n v="0.86080414470901989"/>
    <n v="5.0164103605456685"/>
    <n v="4.1556062158366487"/>
    <n v="0.86080414470901978"/>
    <n v="119889.15664471028"/>
    <n v="698664.39561917388"/>
    <n v="578775.23897446354"/>
    <n v="119889.15664471034"/>
    <n v="0"/>
    <x v="0"/>
  </r>
  <r>
    <x v="7"/>
    <s v="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  <n v="0"/>
    <x v="1"/>
  </r>
  <r>
    <x v="9"/>
    <s v=""/>
    <n v="0"/>
    <n v="1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n v="0"/>
    <x v="1"/>
    <s v="Vestdanmark"/>
    <n v="896684.85799615958"/>
    <n v="0"/>
    <n v="0"/>
    <n v="0"/>
    <n v="0"/>
    <n v="0"/>
    <n v="0"/>
    <n v="0"/>
    <n v="896684.85799615958"/>
    <n v="0"/>
    <n v="0"/>
    <n v="0"/>
    <n v="0"/>
    <n v="0"/>
    <n v="0"/>
    <n v="0"/>
    <n v="0"/>
    <n v="0"/>
    <n v="0"/>
    <n v="0"/>
    <x v="0"/>
  </r>
  <r>
    <x v="11"/>
    <s v=""/>
    <n v="0"/>
    <n v="1"/>
    <x v="1"/>
    <s v="Vestdanmark"/>
    <n v="26490.425666789368"/>
    <n v="0"/>
    <n v="0"/>
    <n v="257923.29437791562"/>
    <n v="0"/>
    <n v="0"/>
    <n v="0"/>
    <n v="0"/>
    <n v="-231432.86871112624"/>
    <n v="0"/>
    <n v="0"/>
    <n v="0"/>
    <n v="0"/>
    <n v="0"/>
    <n v="0"/>
    <n v="0"/>
    <n v="0"/>
    <n v="0"/>
    <n v="0"/>
    <n v="1"/>
    <x v="1"/>
  </r>
  <r>
    <x v="12"/>
    <s v="Glycerin"/>
    <n v="1"/>
    <n v="0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n v="0"/>
    <x v="1"/>
    <s v="Vestdanmark"/>
    <n v="15769668.337175274"/>
    <n v="11936022.044118334"/>
    <n v="0"/>
    <n v="0"/>
    <n v="0"/>
    <n v="0"/>
    <n v="0"/>
    <n v="0"/>
    <n v="3833646.2930569407"/>
    <n v="3833646.2930569407"/>
    <n v="0"/>
    <n v="7.0534299734381394"/>
    <n v="7.0534299734381394"/>
    <n v="0"/>
    <n v="7.0534299734381394"/>
    <n v="1073420.9620559434"/>
    <n v="1073420.9620559434"/>
    <n v="0"/>
    <n v="1073420.9620559434"/>
    <n v="0"/>
    <x v="0"/>
  </r>
  <r>
    <x v="14"/>
    <s v="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1"/>
    <s v="Vestdanmark"/>
    <n v="189947.9283403279"/>
    <n v="0"/>
    <n v="0"/>
    <n v="270140.71358529059"/>
    <n v="0"/>
    <n v="0"/>
    <n v="0"/>
    <n v="0"/>
    <n v="-80192.785244962695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1"/>
    <s v="Vestdanmark"/>
    <n v="3749912.1092935386"/>
    <n v="754028.76978801878"/>
    <n v="702117.72064633376"/>
    <n v="0"/>
    <n v="0"/>
    <n v="0"/>
    <n v="2293765.6188591849"/>
    <n v="0"/>
    <n v="0"/>
    <n v="0"/>
    <n v="2293765.6188591849"/>
    <n v="0"/>
    <n v="23.707917223893222"/>
    <n v="0"/>
    <n v="23.707917223893222"/>
    <n v="0"/>
    <n v="1949700.7760303072"/>
    <n v="0"/>
    <n v="1949700.7760303072"/>
    <n v="0"/>
    <x v="1"/>
  </r>
  <r>
    <x v="17"/>
    <s v="Bionedbrydeligt affald"/>
    <n v="1"/>
    <n v="0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  <n v="0"/>
    <x v="1"/>
  </r>
  <r>
    <x v="18"/>
    <s v=""/>
    <n v="0"/>
    <n v="1"/>
    <x v="1"/>
    <s v="Vestdanmark"/>
    <n v="0"/>
    <n v="4709403.3246320067"/>
    <n v="0"/>
    <n v="0"/>
    <n v="0"/>
    <n v="0"/>
    <n v="0"/>
    <n v="0"/>
    <n v="-4709403.3246320067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1"/>
    <s v="Vestdanmark"/>
    <n v="516148.16711972357"/>
    <n v="0"/>
    <n v="0"/>
    <n v="0"/>
    <n v="0"/>
    <n v="0"/>
    <n v="0"/>
    <n v="0"/>
    <n v="516148.16711972357"/>
    <n v="516148.16711972357"/>
    <n v="0"/>
    <n v="2.2365371073914879"/>
    <n v="2.2365371073914879"/>
    <n v="0"/>
    <n v="2.2365371073914879"/>
    <n v="216782.23019028388"/>
    <n v="216782.23019028388"/>
    <n v="0"/>
    <n v="216782.23019028388"/>
    <n v="0"/>
    <x v="0"/>
  </r>
  <r>
    <x v="20"/>
    <s v=""/>
    <n v="0"/>
    <n v="0"/>
    <x v="1"/>
    <s v="Vestdanmark"/>
    <n v="782472.88933192089"/>
    <n v="0"/>
    <n v="0"/>
    <n v="0"/>
    <n v="0"/>
    <n v="0"/>
    <n v="0"/>
    <n v="0"/>
    <n v="782472.88933192089"/>
    <n v="0"/>
    <n v="0"/>
    <n v="0"/>
    <n v="0"/>
    <n v="0"/>
    <n v="0"/>
    <n v="0"/>
    <n v="0"/>
    <n v="0"/>
    <n v="0"/>
    <n v="0"/>
    <x v="0"/>
  </r>
  <r>
    <x v="21"/>
    <s v=""/>
    <n v="0"/>
    <n v="1"/>
    <x v="1"/>
    <s v="Vestdanmark"/>
    <n v="2184559.2882253225"/>
    <n v="0"/>
    <n v="0"/>
    <n v="123531.68309679118"/>
    <n v="0"/>
    <n v="0"/>
    <n v="0"/>
    <n v="0"/>
    <n v="2061027.6051285313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Vestdanmark"/>
    <n v="7012260.3004318569"/>
    <n v="5734288.3153172266"/>
    <n v="0"/>
    <n v="295933.04302308214"/>
    <n v="0"/>
    <n v="0"/>
    <n v="0"/>
    <n v="0"/>
    <n v="982038.94209154788"/>
    <n v="982038.94209154788"/>
    <n v="0"/>
    <n v="3.3633458912116594"/>
    <n v="3.3633458912116594"/>
    <n v="0"/>
    <n v="3.3633458912116594"/>
    <n v="304432.07204837987"/>
    <n v="304432.07204837987"/>
    <n v="0"/>
    <n v="304432.07204837987"/>
    <n v="0"/>
    <x v="0"/>
  </r>
  <r>
    <x v="23"/>
    <s v=""/>
    <n v="0"/>
    <n v="0"/>
    <x v="1"/>
    <s v="Vestdanmark"/>
    <n v="0"/>
    <n v="0"/>
    <n v="0"/>
    <n v="0"/>
    <n v="0"/>
    <n v="590491.77533861843"/>
    <n v="0"/>
    <n v="0"/>
    <n v="-590491.77533861843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  <n v="0"/>
    <x v="1"/>
  </r>
  <r>
    <x v="25"/>
    <s v=""/>
    <n v="0"/>
    <n v="0"/>
    <x v="1"/>
    <s v="Vestdanmark"/>
    <n v="1620993.8653666629"/>
    <n v="1478350.7282518283"/>
    <n v="0"/>
    <n v="0"/>
    <n v="0"/>
    <n v="0"/>
    <n v="0"/>
    <n v="0"/>
    <n v="142643.13711483451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Vestdanmark"/>
    <n v="7810797.3149183672"/>
    <n v="5517603.3385994658"/>
    <n v="0"/>
    <n v="0"/>
    <n v="0"/>
    <n v="0"/>
    <n v="0"/>
    <n v="0"/>
    <n v="2293193.9763189014"/>
    <n v="2001163.0190917293"/>
    <n v="0"/>
    <n v="7.1841752385393089"/>
    <n v="7.1841752385393089"/>
    <n v="0"/>
    <n v="7.1841752385393089"/>
    <n v="600348.90572751872"/>
    <n v="600348.90572751872"/>
    <n v="0"/>
    <n v="600348.90572751872"/>
    <n v="0"/>
    <x v="0"/>
  </r>
  <r>
    <x v="27"/>
    <s v=""/>
    <n v="0"/>
    <n v="1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n v="0"/>
    <x v="0"/>
  </r>
  <r>
    <x v="29"/>
    <s v=""/>
    <n v="0"/>
    <n v="1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n v="1"/>
    <x v="1"/>
    <s v="Vestdanmark"/>
    <n v="1644241.434656535"/>
    <n v="0"/>
    <n v="0"/>
    <n v="0"/>
    <n v="0"/>
    <n v="0"/>
    <n v="0"/>
    <n v="0"/>
    <n v="1644241.434656535"/>
    <n v="0"/>
    <n v="0"/>
    <n v="0"/>
    <n v="0"/>
    <n v="0"/>
    <n v="0"/>
    <n v="0"/>
    <n v="0"/>
    <n v="0"/>
    <n v="0"/>
    <n v="0"/>
    <x v="0"/>
  </r>
  <r>
    <x v="31"/>
    <s v="Vedmasse"/>
    <n v="1"/>
    <n v="0"/>
    <x v="1"/>
    <s v="Vestdanmark"/>
    <n v="170203.15251490066"/>
    <n v="0"/>
    <n v="0"/>
    <n v="0"/>
    <n v="0"/>
    <n v="0"/>
    <n v="170203.15251490066"/>
    <n v="0"/>
    <n v="0"/>
    <n v="0"/>
    <n v="170203.15251490066"/>
    <n v="0"/>
    <n v="3.1317380062741718"/>
    <n v="0"/>
    <n v="3.1317380062741718"/>
    <n v="0"/>
    <n v="70634.308293683775"/>
    <n v="0"/>
    <n v="70634.308293683775"/>
    <n v="0"/>
    <x v="1"/>
  </r>
  <r>
    <x v="32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n v="0"/>
    <x v="1"/>
    <s v="Vestdanmark"/>
    <n v="497134.76694638823"/>
    <n v="0"/>
    <n v="0"/>
    <n v="0"/>
    <n v="0"/>
    <n v="0"/>
    <n v="0"/>
    <n v="497134.76694638823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1"/>
    <s v="Vestdanmark"/>
    <n v="248567.38347319412"/>
    <n v="208821.40901429488"/>
    <n v="0"/>
    <n v="0"/>
    <n v="0"/>
    <n v="0"/>
    <n v="0"/>
    <n v="0"/>
    <n v="39745.974458899233"/>
    <n v="0"/>
    <n v="0"/>
    <n v="0"/>
    <n v="0"/>
    <n v="0"/>
    <n v="0"/>
    <n v="0"/>
    <n v="0"/>
    <n v="0"/>
    <n v="0"/>
    <n v="0"/>
    <x v="0"/>
  </r>
  <r>
    <x v="37"/>
    <s v="Rapsolie"/>
    <n v="1"/>
    <n v="1"/>
    <x v="1"/>
    <s v="Vestdanmark"/>
    <n v="159083.12542284423"/>
    <n v="0"/>
    <n v="0"/>
    <n v="0"/>
    <n v="0"/>
    <n v="0"/>
    <n v="159083.12542284423"/>
    <n v="0"/>
    <n v="0"/>
    <n v="0"/>
    <n v="159083.12542284423"/>
    <n v="0"/>
    <n v="5.5679093897995475"/>
    <n v="0"/>
    <n v="5.5679093897995475"/>
    <n v="0"/>
    <n v="0"/>
    <n v="0"/>
    <n v="0"/>
    <n v="0"/>
    <x v="1"/>
  </r>
  <r>
    <x v="38"/>
    <s v="Græs og urter"/>
    <n v="1"/>
    <n v="1"/>
    <x v="1"/>
    <s v="Vestdanmark"/>
    <n v="387359.23061650008"/>
    <n v="820432.23039507493"/>
    <n v="0"/>
    <n v="0"/>
    <n v="0"/>
    <n v="0"/>
    <n v="0"/>
    <n v="0"/>
    <n v="-433072.99977857486"/>
    <n v="0"/>
    <n v="0"/>
    <n v="0"/>
    <n v="0"/>
    <n v="0"/>
    <n v="0"/>
    <n v="0"/>
    <n v="0"/>
    <n v="0"/>
    <n v="0"/>
    <n v="0"/>
    <x v="0"/>
  </r>
  <r>
    <x v="39"/>
    <s v=""/>
    <n v="0"/>
    <n v="0"/>
    <x v="1"/>
    <s v="Vestdanmark"/>
    <n v="186820.23082427966"/>
    <n v="0"/>
    <n v="0"/>
    <n v="0"/>
    <n v="0"/>
    <n v="0"/>
    <n v="0"/>
    <n v="0"/>
    <n v="186820.23082427966"/>
    <n v="0"/>
    <n v="0"/>
    <n v="0"/>
    <n v="0"/>
    <n v="0"/>
    <n v="0"/>
    <n v="0"/>
    <n v="0"/>
    <n v="0"/>
    <n v="0"/>
    <n v="0"/>
    <x v="0"/>
  </r>
  <r>
    <x v="40"/>
    <s v=""/>
    <n v="0"/>
    <n v="0"/>
    <x v="1"/>
    <s v="Vestdanmark"/>
    <n v="125332.48409482336"/>
    <n v="38444.108772506181"/>
    <n v="0"/>
    <n v="0"/>
    <n v="0"/>
    <n v="0"/>
    <n v="0"/>
    <n v="0"/>
    <n v="86888.375322317181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  <n v="0"/>
    <x v="0"/>
  </r>
  <r>
    <x v="42"/>
    <s v="Husdyrgødning"/>
    <n v="1"/>
    <n v="0"/>
    <x v="1"/>
    <s v="Vestdanmark"/>
    <n v="14539919.740607873"/>
    <n v="0"/>
    <n v="0"/>
    <n v="0"/>
    <n v="10904939.805455904"/>
    <n v="3634979.9351519686"/>
    <n v="0"/>
    <n v="0"/>
    <n v="0"/>
    <n v="0"/>
    <n v="10904939.805455904"/>
    <n v="0"/>
    <n v="4.697848068190404"/>
    <n v="4.697848068190404"/>
    <n v="0"/>
    <n v="0"/>
    <n v="545246.9902727952"/>
    <n v="545246.9902727952"/>
    <n v="0"/>
    <n v="0"/>
    <x v="1"/>
  </r>
  <r>
    <x v="43"/>
    <s v=""/>
    <n v="0"/>
    <n v="1"/>
    <x v="1"/>
    <s v="Vestdanmark"/>
    <n v="1329115.7893830882"/>
    <n v="0"/>
    <n v="0"/>
    <n v="121875.54404868034"/>
    <n v="0"/>
    <n v="0"/>
    <n v="0"/>
    <n v="0"/>
    <n v="1207240.2453344078"/>
    <n v="0"/>
    <n v="0"/>
    <n v="0"/>
    <n v="0"/>
    <n v="0"/>
    <n v="0"/>
    <n v="0"/>
    <n v="0"/>
    <n v="0"/>
    <n v="0"/>
    <n v="0"/>
    <x v="0"/>
  </r>
  <r>
    <x v="44"/>
    <s v="Havbiomasse"/>
    <n v="1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n v="0"/>
    <x v="0"/>
  </r>
  <r>
    <x v="45"/>
    <s v="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1"/>
    <s v="Vestdanmark"/>
    <n v="2217144.8993992088"/>
    <n v="0"/>
    <n v="0"/>
    <n v="0"/>
    <n v="0"/>
    <n v="0"/>
    <n v="2217144.8993992088"/>
    <n v="0"/>
    <n v="0"/>
    <n v="0"/>
    <n v="2217144.8993992088"/>
    <n v="0"/>
    <n v="32.134342362444997"/>
    <n v="0"/>
    <n v="32.134342362444997"/>
    <n v="0"/>
    <n v="1096562.9148278586"/>
    <n v="0"/>
    <n v="1096562.9148278586"/>
    <n v="0"/>
    <x v="1"/>
  </r>
  <r>
    <x v="47"/>
    <s v=""/>
    <n v="0"/>
    <n v="0"/>
    <x v="1"/>
    <s v="Vestdanmark"/>
    <n v="610444.4261939266"/>
    <n v="0"/>
    <n v="0"/>
    <n v="0"/>
    <n v="0"/>
    <n v="0"/>
    <n v="0"/>
    <n v="610444.4261939266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n v="1"/>
    <x v="2"/>
    <s v="Vestdanmark"/>
    <n v="250215.04217969507"/>
    <n v="60017.752814183521"/>
    <n v="0"/>
    <n v="0"/>
    <n v="0"/>
    <n v="0"/>
    <n v="0"/>
    <n v="0"/>
    <n v="190197.28936551156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n v="0"/>
    <x v="1"/>
  </r>
  <r>
    <x v="3"/>
    <s v=""/>
    <n v="1"/>
    <n v="0"/>
    <x v="2"/>
    <s v="Vestdanmark"/>
    <n v="563663167.57084477"/>
    <n v="0"/>
    <n v="0"/>
    <n v="0"/>
    <n v="0"/>
    <n v="0"/>
    <n v="563663167.57084477"/>
    <n v="0"/>
    <n v="0"/>
    <n v="0"/>
    <n v="563663167.57084477"/>
    <n v="0"/>
    <n v="0"/>
    <n v="0"/>
    <n v="0"/>
    <n v="0"/>
    <n v="0"/>
    <n v="0"/>
    <n v="0"/>
    <n v="0"/>
    <x v="1"/>
  </r>
  <r>
    <x v="4"/>
    <s v=""/>
    <n v="0"/>
    <n v="0"/>
    <x v="2"/>
    <s v="Vestdanmark"/>
    <n v="27386289.783254456"/>
    <n v="0"/>
    <n v="0"/>
    <n v="0"/>
    <n v="0"/>
    <n v="21610883.072868608"/>
    <n v="0"/>
    <n v="0"/>
    <n v="5775406.7103858478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2"/>
    <s v="Vestdanmark"/>
    <n v="2537079.9796545585"/>
    <n v="0"/>
    <n v="0"/>
    <n v="0"/>
    <n v="2283371.9816891025"/>
    <n v="96046.599229779691"/>
    <n v="0"/>
    <n v="0"/>
    <n v="157661.39873567643"/>
    <n v="157661.39873567643"/>
    <n v="2283371.9816891025"/>
    <n v="0.33960265287664704"/>
    <n v="5.2579859014349744"/>
    <n v="4.9183832485583272"/>
    <n v="0.33960265287664715"/>
    <n v="47298.419620702924"/>
    <n v="732310.01412743365"/>
    <n v="685011.59450673067"/>
    <n v="47298.419620702974"/>
    <n v="0"/>
    <x v="0"/>
  </r>
  <r>
    <x v="7"/>
    <s v="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  <n v="0"/>
    <x v="1"/>
  </r>
  <r>
    <x v="9"/>
    <s v=""/>
    <n v="0"/>
    <n v="1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n v="0"/>
    <x v="2"/>
    <s v="Vestdanmark"/>
    <n v="813451.18685438076"/>
    <n v="0"/>
    <n v="0"/>
    <n v="0"/>
    <n v="0"/>
    <n v="0"/>
    <n v="0"/>
    <n v="0"/>
    <n v="813451.18685438076"/>
    <n v="0"/>
    <n v="0"/>
    <n v="0"/>
    <n v="0"/>
    <n v="0"/>
    <n v="0"/>
    <n v="0"/>
    <n v="0"/>
    <n v="0"/>
    <n v="0"/>
    <n v="0"/>
    <x v="0"/>
  </r>
  <r>
    <x v="11"/>
    <s v=""/>
    <n v="0"/>
    <n v="1"/>
    <x v="2"/>
    <s v="Vestdanmark"/>
    <n v="24926.840286441191"/>
    <n v="0"/>
    <n v="0"/>
    <n v="267978.92035102146"/>
    <n v="0"/>
    <n v="0"/>
    <n v="0"/>
    <n v="0"/>
    <n v="-243052.08006458025"/>
    <n v="0"/>
    <n v="0"/>
    <n v="0"/>
    <n v="0"/>
    <n v="0"/>
    <n v="0"/>
    <n v="0"/>
    <n v="0"/>
    <n v="0"/>
    <n v="0"/>
    <n v="1"/>
    <x v="1"/>
  </r>
  <r>
    <x v="12"/>
    <s v="Glycerin"/>
    <n v="1"/>
    <n v="0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n v="0"/>
    <x v="2"/>
    <s v="Vestdanmark"/>
    <n v="13682245.34995167"/>
    <n v="11387535.016591122"/>
    <n v="0"/>
    <n v="0"/>
    <n v="0"/>
    <n v="0"/>
    <n v="0"/>
    <n v="0"/>
    <n v="2294710.3333605472"/>
    <n v="2294710.3333605472"/>
    <n v="0"/>
    <n v="4.2219801745917369"/>
    <n v="4.2219801745917369"/>
    <n v="0"/>
    <n v="4.2219801745917369"/>
    <n v="642518.89334095328"/>
    <n v="642518.89334095328"/>
    <n v="0"/>
    <n v="642518.89334095328"/>
    <n v="0"/>
    <x v="0"/>
  </r>
  <r>
    <x v="14"/>
    <s v="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2"/>
    <s v="Vestdanmark"/>
    <n v="182765.86123576926"/>
    <n v="0"/>
    <n v="0"/>
    <n v="280672.65868343826"/>
    <n v="0"/>
    <n v="0"/>
    <n v="0"/>
    <n v="0"/>
    <n v="-97906.797447669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2"/>
    <s v="Vestdanmark"/>
    <n v="3995324.8119856864"/>
    <n v="719379.45387000521"/>
    <n v="654302.91213284992"/>
    <n v="0"/>
    <n v="0"/>
    <n v="0"/>
    <n v="2621642.4459828315"/>
    <n v="0"/>
    <n v="0"/>
    <n v="0"/>
    <n v="2621642.4459828315"/>
    <n v="0"/>
    <n v="27.096788612133071"/>
    <n v="0"/>
    <n v="27.096788612133071"/>
    <n v="0"/>
    <n v="2228396.0790854068"/>
    <n v="0"/>
    <n v="2228396.0790854068"/>
    <n v="0"/>
    <x v="1"/>
  </r>
  <r>
    <x v="17"/>
    <s v="Bionedbrydeligt affald"/>
    <n v="1"/>
    <n v="0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  <n v="0"/>
    <x v="1"/>
  </r>
  <r>
    <x v="18"/>
    <s v=""/>
    <n v="0"/>
    <n v="1"/>
    <x v="2"/>
    <s v="Vestdanmark"/>
    <n v="0"/>
    <n v="4492995.6620617937"/>
    <n v="0"/>
    <n v="0"/>
    <n v="0"/>
    <n v="0"/>
    <n v="0"/>
    <n v="0"/>
    <n v="-4492995.6620617937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2"/>
    <s v="Vestdanmark"/>
    <n v="500298.07400383818"/>
    <n v="0"/>
    <n v="0"/>
    <n v="0"/>
    <n v="0"/>
    <n v="0"/>
    <n v="0"/>
    <n v="0"/>
    <n v="500298.07400383818"/>
    <n v="500298.07400383818"/>
    <n v="0"/>
    <n v="2.1678565934082514"/>
    <n v="2.1678565934082514"/>
    <n v="0"/>
    <n v="2.1678565934082514"/>
    <n v="210125.19108161202"/>
    <n v="210125.19108161202"/>
    <n v="0"/>
    <n v="210125.19108161202"/>
    <n v="0"/>
    <x v="0"/>
  </r>
  <r>
    <x v="20"/>
    <s v=""/>
    <n v="0"/>
    <n v="0"/>
    <x v="2"/>
    <s v="Vestdanmark"/>
    <n v="736287.78133601486"/>
    <n v="0"/>
    <n v="0"/>
    <n v="0"/>
    <n v="0"/>
    <n v="0"/>
    <n v="0"/>
    <n v="0"/>
    <n v="736287.78133601486"/>
    <n v="0"/>
    <n v="0"/>
    <n v="0"/>
    <n v="0"/>
    <n v="0"/>
    <n v="0"/>
    <n v="0"/>
    <n v="0"/>
    <n v="0"/>
    <n v="0"/>
    <n v="0"/>
    <x v="0"/>
  </r>
  <r>
    <x v="21"/>
    <s v=""/>
    <n v="0"/>
    <n v="1"/>
    <x v="2"/>
    <s v="Vestdanmark"/>
    <n v="2034058.7589381256"/>
    <n v="0"/>
    <n v="0"/>
    <n v="128347.79869443661"/>
    <n v="0"/>
    <n v="0"/>
    <n v="0"/>
    <n v="0"/>
    <n v="1905710.9602436889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Vestdanmark"/>
    <n v="6657445.6000957079"/>
    <n v="5470784.8849928668"/>
    <n v="0"/>
    <n v="307470.55071854044"/>
    <n v="0"/>
    <n v="0"/>
    <n v="0"/>
    <n v="0"/>
    <n v="879190.16438430082"/>
    <n v="879190.16438430082"/>
    <n v="0"/>
    <n v="3.0111032263932169"/>
    <n v="3.0111032263932169"/>
    <n v="0"/>
    <n v="3.0111032263932169"/>
    <n v="272548.95095913328"/>
    <n v="272548.95095913328"/>
    <n v="0"/>
    <n v="272548.95095913328"/>
    <n v="0"/>
    <x v="0"/>
  </r>
  <r>
    <x v="23"/>
    <s v=""/>
    <n v="0"/>
    <n v="0"/>
    <x v="2"/>
    <s v="Vestdanmark"/>
    <n v="0"/>
    <n v="0"/>
    <n v="0"/>
    <n v="0"/>
    <n v="0"/>
    <n v="475615.83979339601"/>
    <n v="0"/>
    <n v="0"/>
    <n v="-475615.83979339601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  <n v="0"/>
    <x v="1"/>
  </r>
  <r>
    <x v="25"/>
    <s v=""/>
    <n v="0"/>
    <n v="0"/>
    <x v="2"/>
    <s v="Vestdanmark"/>
    <n v="1590883.4700780637"/>
    <n v="1410417.1911333126"/>
    <n v="0"/>
    <n v="0"/>
    <n v="0"/>
    <n v="0"/>
    <n v="0"/>
    <n v="0"/>
    <n v="180466.27894475101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Vestdanmark"/>
    <n v="7480186.4136029035"/>
    <n v="5264057.0697440123"/>
    <n v="0"/>
    <n v="0"/>
    <n v="0"/>
    <n v="0"/>
    <n v="0"/>
    <n v="0"/>
    <n v="2216129.3438588912"/>
    <n v="1964071.9525106091"/>
    <n v="0"/>
    <n v="7.0510183095130872"/>
    <n v="7.0510183095130872"/>
    <n v="0"/>
    <n v="7.0510183095130872"/>
    <n v="589221.58575318265"/>
    <n v="589221.58575318265"/>
    <n v="0"/>
    <n v="589221.58575318265"/>
    <n v="0"/>
    <x v="0"/>
  </r>
  <r>
    <x v="27"/>
    <s v=""/>
    <n v="0"/>
    <n v="1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n v="0"/>
    <x v="0"/>
  </r>
  <r>
    <x v="29"/>
    <s v=""/>
    <n v="0"/>
    <n v="1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n v="1"/>
    <x v="2"/>
    <s v="Vestdanmark"/>
    <n v="1547190.8284741363"/>
    <n v="0"/>
    <n v="0"/>
    <n v="0"/>
    <n v="0"/>
    <n v="0"/>
    <n v="0"/>
    <n v="0"/>
    <n v="1547190.8284741363"/>
    <n v="0"/>
    <n v="0"/>
    <n v="0"/>
    <n v="0"/>
    <n v="0"/>
    <n v="0"/>
    <n v="0"/>
    <n v="0"/>
    <n v="0"/>
    <n v="0"/>
    <n v="0"/>
    <x v="0"/>
  </r>
  <r>
    <x v="31"/>
    <s v="Vedmasse"/>
    <n v="1"/>
    <n v="0"/>
    <x v="2"/>
    <s v="Vestdanmark"/>
    <n v="146472.78733520172"/>
    <n v="0"/>
    <n v="0"/>
    <n v="0"/>
    <n v="0"/>
    <n v="0"/>
    <n v="146472.78733520172"/>
    <n v="0"/>
    <n v="0"/>
    <n v="0"/>
    <n v="146472.78733520172"/>
    <n v="0"/>
    <n v="2.6950992869677113"/>
    <n v="0"/>
    <n v="2.6950992869677113"/>
    <n v="0"/>
    <n v="60786.20674410872"/>
    <n v="0"/>
    <n v="60786.20674410872"/>
    <n v="0"/>
    <x v="1"/>
  </r>
  <r>
    <x v="32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n v="0"/>
    <x v="2"/>
    <s v="Vestdanmark"/>
    <n v="471962.43365815014"/>
    <n v="0"/>
    <n v="0"/>
    <n v="0"/>
    <n v="0"/>
    <n v="0"/>
    <n v="0"/>
    <n v="471962.43365815014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2"/>
    <s v="Vestdanmark"/>
    <n v="235981.21682907507"/>
    <n v="199225.59614708141"/>
    <n v="0"/>
    <n v="0"/>
    <n v="0"/>
    <n v="0"/>
    <n v="0"/>
    <n v="0"/>
    <n v="36755.620681993663"/>
    <n v="0"/>
    <n v="0"/>
    <n v="0"/>
    <n v="0"/>
    <n v="0"/>
    <n v="0"/>
    <n v="0"/>
    <n v="0"/>
    <n v="0"/>
    <n v="0"/>
    <n v="0"/>
    <x v="0"/>
  </r>
  <r>
    <x v="37"/>
    <s v="Rapsolie"/>
    <n v="1"/>
    <n v="1"/>
    <x v="2"/>
    <s v="Vestdanmark"/>
    <n v="151027.97877060805"/>
    <n v="0"/>
    <n v="0"/>
    <n v="0"/>
    <n v="0"/>
    <n v="0"/>
    <n v="151027.97877060805"/>
    <n v="0"/>
    <n v="0"/>
    <n v="0"/>
    <n v="151027.97877060805"/>
    <n v="0"/>
    <n v="5.2859792569712818"/>
    <n v="0"/>
    <n v="5.2859792569712818"/>
    <n v="0"/>
    <n v="0"/>
    <n v="0"/>
    <n v="0"/>
    <n v="0"/>
    <x v="1"/>
  </r>
  <r>
    <x v="38"/>
    <s v="Græs og urter"/>
    <n v="1"/>
    <n v="1"/>
    <x v="2"/>
    <s v="Vestdanmark"/>
    <n v="370630.07456563454"/>
    <n v="782731.52628497675"/>
    <n v="0"/>
    <n v="0"/>
    <n v="0"/>
    <n v="0"/>
    <n v="0"/>
    <n v="0"/>
    <n v="-412101.45171934221"/>
    <n v="0"/>
    <n v="0"/>
    <n v="0"/>
    <n v="0"/>
    <n v="0"/>
    <n v="0"/>
    <n v="0"/>
    <n v="0"/>
    <n v="0"/>
    <n v="0"/>
    <n v="0"/>
    <x v="0"/>
  </r>
  <r>
    <x v="39"/>
    <s v=""/>
    <n v="0"/>
    <n v="0"/>
    <x v="2"/>
    <s v="Vestdanmark"/>
    <n v="173774.13679266855"/>
    <n v="0"/>
    <n v="0"/>
    <n v="0"/>
    <n v="0"/>
    <n v="0"/>
    <n v="0"/>
    <n v="0"/>
    <n v="173774.13679266855"/>
    <n v="0"/>
    <n v="0"/>
    <n v="0"/>
    <n v="0"/>
    <n v="0"/>
    <n v="0"/>
    <n v="0"/>
    <n v="0"/>
    <n v="0"/>
    <n v="0"/>
    <n v="0"/>
    <x v="0"/>
  </r>
  <r>
    <x v="40"/>
    <s v=""/>
    <n v="0"/>
    <n v="0"/>
    <x v="2"/>
    <s v="Vestdanmark"/>
    <n v="114148.26729349417"/>
    <n v="36677.515608667709"/>
    <n v="0"/>
    <n v="0"/>
    <n v="0"/>
    <n v="0"/>
    <n v="0"/>
    <n v="0"/>
    <n v="77470.751684826449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Vestdanmark"/>
    <n v="4121832.5977837904"/>
    <n v="0"/>
    <n v="0"/>
    <n v="0"/>
    <n v="3709649.3380054114"/>
    <n v="0"/>
    <n v="0"/>
    <n v="0"/>
    <n v="412183.259778379"/>
    <n v="412183.259778379"/>
    <n v="3709649.3380054114"/>
    <n v="0.20568356846200894"/>
    <n v="2.0568356846200895"/>
    <n v="1.8511521161580806"/>
    <n v="0.20568356846200886"/>
    <n v="24730.995586702738"/>
    <n v="247309.95586702743"/>
    <n v="222578.96028032468"/>
    <n v="24730.995586702746"/>
    <n v="0"/>
    <x v="0"/>
  </r>
  <r>
    <x v="42"/>
    <s v="Husdyrgødning"/>
    <n v="1"/>
    <n v="0"/>
    <x v="2"/>
    <s v="Vestdanmark"/>
    <n v="12989062.590821607"/>
    <n v="0"/>
    <n v="0"/>
    <n v="0"/>
    <n v="11690156.331739446"/>
    <n v="1298906.2590821604"/>
    <n v="0"/>
    <n v="0"/>
    <n v="0"/>
    <n v="0"/>
    <n v="11690156.331739446"/>
    <n v="0"/>
    <n v="5.0361193477133543"/>
    <n v="5.0361193477133543"/>
    <n v="0"/>
    <n v="0"/>
    <n v="584507.81658697233"/>
    <n v="584507.81658697233"/>
    <n v="0"/>
    <n v="0"/>
    <x v="1"/>
  </r>
  <r>
    <x v="43"/>
    <s v=""/>
    <n v="0"/>
    <n v="1"/>
    <x v="2"/>
    <s v="Vestdanmark"/>
    <n v="1206135.7873952007"/>
    <n v="0"/>
    <n v="0"/>
    <n v="126627.09194270898"/>
    <n v="0"/>
    <n v="0"/>
    <n v="0"/>
    <n v="0"/>
    <n v="1079508.6954524918"/>
    <n v="0"/>
    <n v="0"/>
    <n v="0"/>
    <n v="0"/>
    <n v="0"/>
    <n v="0"/>
    <n v="0"/>
    <n v="0"/>
    <n v="0"/>
    <n v="0"/>
    <n v="0"/>
    <x v="0"/>
  </r>
  <r>
    <x v="44"/>
    <s v="Havbiomasse"/>
    <n v="1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n v="0"/>
    <x v="0"/>
  </r>
  <r>
    <x v="45"/>
    <s v="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2"/>
    <s v="Vestdanmark"/>
    <n v="2287577.6202536402"/>
    <n v="0"/>
    <n v="0"/>
    <n v="0"/>
    <n v="0"/>
    <n v="0"/>
    <n v="2287577.6202536402"/>
    <n v="0"/>
    <n v="0"/>
    <n v="0"/>
    <n v="2287577.6202536402"/>
    <n v="0"/>
    <n v="33.155163855017776"/>
    <n v="0"/>
    <n v="33.155163855017776"/>
    <n v="0"/>
    <n v="1131397.7646837796"/>
    <n v="0"/>
    <n v="1131397.7646837796"/>
    <n v="0"/>
    <x v="1"/>
  </r>
  <r>
    <x v="47"/>
    <s v=""/>
    <n v="0"/>
    <n v="0"/>
    <x v="2"/>
    <s v="Vestdanmark"/>
    <n v="659548.66396073136"/>
    <n v="0"/>
    <n v="0"/>
    <n v="0"/>
    <n v="0"/>
    <n v="0"/>
    <n v="0"/>
    <n v="659548.66396073136"/>
    <n v="0"/>
    <n v="0"/>
    <n v="0"/>
    <n v="0"/>
    <n v="0"/>
    <n v="0"/>
    <n v="0"/>
    <n v="0"/>
    <n v="0"/>
    <n v="0"/>
    <n v="0"/>
    <n v="0"/>
    <x v="1"/>
  </r>
  <r>
    <x v="0"/>
    <m/>
    <n v="0"/>
    <n v="1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n v="1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n v="0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n v="1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n v="1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n v="1"/>
    <x v="1"/>
  </r>
  <r>
    <x v="12"/>
    <s v="Glycerin"/>
    <n v="1"/>
    <n v="0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n v="0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n v="0"/>
    <x v="0"/>
  </r>
  <r>
    <x v="14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n v="1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n v="0"/>
    <x v="1"/>
  </r>
  <r>
    <x v="17"/>
    <s v="Bionedbrydeligt affald"/>
    <n v="1"/>
    <n v="0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n v="1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n v="1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n v="0"/>
    <x v="0"/>
  </r>
  <r>
    <x v="23"/>
    <m/>
    <n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n v="0"/>
    <x v="0"/>
  </r>
  <r>
    <x v="27"/>
    <m/>
    <n v="0"/>
    <n v="1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n v="1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n v="1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n v="0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n v="0"/>
    <x v="0"/>
  </r>
  <r>
    <x v="39"/>
    <m/>
    <n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n v="0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n v="1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n v="0"/>
    <x v="1"/>
  </r>
  <r>
    <x v="47"/>
    <m/>
    <n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n v="1"/>
    <x v="1"/>
    <s v="Østdanmark"/>
    <n v="28047.573536439377"/>
    <n v="7686.2399260183547"/>
    <n v="0"/>
    <n v="0"/>
    <n v="0"/>
    <n v="0"/>
    <n v="0"/>
    <n v="0"/>
    <n v="20361.333610421021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n v="0"/>
    <x v="1"/>
  </r>
  <r>
    <x v="3"/>
    <s v=""/>
    <n v="1"/>
    <n v="0"/>
    <x v="1"/>
    <s v="Østdanmark"/>
    <n v="107723774.7744855"/>
    <n v="0"/>
    <n v="0"/>
    <n v="0"/>
    <n v="0"/>
    <n v="0"/>
    <n v="107723774.7744855"/>
    <n v="0"/>
    <n v="0"/>
    <n v="0"/>
    <n v="107723774.7744855"/>
    <n v="0"/>
    <n v="0"/>
    <n v="0"/>
    <n v="0"/>
    <n v="0"/>
    <n v="0"/>
    <n v="0"/>
    <n v="0"/>
    <n v="0"/>
    <x v="1"/>
  </r>
  <r>
    <x v="4"/>
    <s v=""/>
    <n v="0"/>
    <n v="0"/>
    <x v="1"/>
    <s v="Østdanmark"/>
    <n v="4979961.0474174749"/>
    <n v="0"/>
    <n v="0"/>
    <n v="0"/>
    <n v="0"/>
    <n v="4017892.007010099"/>
    <n v="0"/>
    <n v="0"/>
    <n v="962069.0404073759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1"/>
    <s v="Østdanmark"/>
    <n v="346377.64489394147"/>
    <n v="0"/>
    <n v="0"/>
    <n v="0"/>
    <n v="259783.2336704561"/>
    <n v="32782.169963176602"/>
    <n v="0"/>
    <n v="0"/>
    <n v="53812.241260308772"/>
    <n v="53812.241260308772"/>
    <n v="259783.2336704561"/>
    <n v="0.1159115676747051"/>
    <n v="0.67548465300086757"/>
    <n v="0.55957308532616246"/>
    <n v="0.11591156767470512"/>
    <n v="16143.672378092631"/>
    <n v="94078.642479229457"/>
    <n v="77934.970101136831"/>
    <n v="16143.672378092626"/>
    <n v="0"/>
    <x v="0"/>
  </r>
  <r>
    <x v="7"/>
    <s v="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  <n v="0"/>
    <x v="1"/>
  </r>
  <r>
    <x v="9"/>
    <s v=""/>
    <n v="0"/>
    <n v="1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n v="0"/>
    <x v="1"/>
    <s v="Østdanmark"/>
    <n v="639925.05348634056"/>
    <n v="0"/>
    <n v="0"/>
    <n v="0"/>
    <n v="0"/>
    <n v="0"/>
    <n v="0"/>
    <n v="0"/>
    <n v="639925.05348634056"/>
    <n v="0"/>
    <n v="0"/>
    <n v="0"/>
    <n v="0"/>
    <n v="0"/>
    <n v="0"/>
    <n v="0"/>
    <n v="0"/>
    <n v="0"/>
    <n v="0"/>
    <n v="0"/>
    <x v="0"/>
  </r>
  <r>
    <x v="11"/>
    <s v=""/>
    <n v="0"/>
    <n v="1"/>
    <x v="1"/>
    <s v="Østdanmark"/>
    <n v="16391.280898066685"/>
    <n v="0"/>
    <n v="0"/>
    <n v="223323.94265330929"/>
    <n v="0"/>
    <n v="0"/>
    <n v="0"/>
    <n v="0"/>
    <n v="-206932.66175524262"/>
    <n v="0"/>
    <n v="0"/>
    <n v="0"/>
    <n v="0"/>
    <n v="0"/>
    <n v="0"/>
    <n v="0"/>
    <n v="0"/>
    <n v="0"/>
    <n v="0"/>
    <n v="1"/>
    <x v="1"/>
  </r>
  <r>
    <x v="12"/>
    <s v="Glycerin"/>
    <n v="1"/>
    <n v="0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n v="0"/>
    <x v="1"/>
    <s v="Østdanmark"/>
    <n v="2198776.4550645952"/>
    <n v="1458357.2726296766"/>
    <n v="0"/>
    <n v="0"/>
    <n v="0"/>
    <n v="0"/>
    <n v="0"/>
    <n v="0"/>
    <n v="740419.18243491859"/>
    <n v="740419.18243491859"/>
    <n v="0"/>
    <n v="1.3622787432824459"/>
    <n v="1.3622787432824459"/>
    <n v="0"/>
    <n v="1.3622787432824459"/>
    <n v="207317.37108177724"/>
    <n v="207317.37108177724"/>
    <n v="0"/>
    <n v="207317.37108177724"/>
    <n v="0"/>
    <x v="0"/>
  </r>
  <r>
    <x v="14"/>
    <s v="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1"/>
    <s v="Østdanmark"/>
    <n v="99364.334403430083"/>
    <n v="0"/>
    <n v="0"/>
    <n v="233902.44520004498"/>
    <n v="0"/>
    <n v="0"/>
    <n v="0"/>
    <n v="0"/>
    <n v="-134538.1107966149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1"/>
    <s v="Østdanmark"/>
    <n v="1338955.2191121718"/>
    <n v="92128.125779914451"/>
    <n v="99919.118195708812"/>
    <n v="0"/>
    <n v="0"/>
    <n v="0"/>
    <n v="1146907.9751365485"/>
    <n v="0"/>
    <n v="0"/>
    <n v="0"/>
    <n v="1146907.9751365485"/>
    <n v="0"/>
    <n v="11.854218719820096"/>
    <n v="0"/>
    <n v="11.854218719820096"/>
    <n v="0"/>
    <n v="974871.77886606625"/>
    <n v="0"/>
    <n v="974871.77886606625"/>
    <n v="0"/>
    <x v="1"/>
  </r>
  <r>
    <x v="17"/>
    <s v="Bionedbrydeligt affald"/>
    <n v="1"/>
    <n v="0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  <n v="0"/>
    <x v="1"/>
  </r>
  <r>
    <x v="18"/>
    <s v=""/>
    <n v="0"/>
    <n v="1"/>
    <x v="1"/>
    <s v="Østdanmark"/>
    <n v="0"/>
    <n v="575400.46112831845"/>
    <n v="0"/>
    <n v="0"/>
    <n v="0"/>
    <n v="0"/>
    <n v="0"/>
    <n v="0"/>
    <n v="-575400.46112831845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1"/>
    <s v="Østdanmark"/>
    <n v="201909.85062896684"/>
    <n v="0"/>
    <n v="0"/>
    <n v="0"/>
    <n v="0"/>
    <n v="0"/>
    <n v="0"/>
    <n v="0"/>
    <n v="201909.85062896684"/>
    <n v="201909.85062896684"/>
    <n v="0"/>
    <n v="0.87490163105589525"/>
    <n v="0.87490163105589525"/>
    <n v="0"/>
    <n v="0.87490163105589525"/>
    <n v="84802.137264166071"/>
    <n v="84802.137264166071"/>
    <n v="0"/>
    <n v="84802.137264166071"/>
    <n v="0"/>
    <x v="0"/>
  </r>
  <r>
    <x v="20"/>
    <s v=""/>
    <n v="0"/>
    <n v="0"/>
    <x v="1"/>
    <s v="Østdanmark"/>
    <n v="151266.45400737421"/>
    <n v="0"/>
    <n v="0"/>
    <n v="0"/>
    <n v="0"/>
    <n v="0"/>
    <n v="0"/>
    <n v="0"/>
    <n v="151266.45400737421"/>
    <n v="0"/>
    <n v="0"/>
    <n v="0"/>
    <n v="0"/>
    <n v="0"/>
    <n v="0"/>
    <n v="0"/>
    <n v="0"/>
    <n v="0"/>
    <n v="0"/>
    <n v="0"/>
    <x v="0"/>
  </r>
  <r>
    <x v="21"/>
    <s v=""/>
    <n v="0"/>
    <n v="1"/>
    <x v="1"/>
    <s v="Østdanmark"/>
    <n v="120819.30729817749"/>
    <n v="0"/>
    <n v="0"/>
    <n v="106960.41463921656"/>
    <n v="0"/>
    <n v="0"/>
    <n v="0"/>
    <n v="0"/>
    <n v="13858.892658960933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Østdanmark"/>
    <n v="2364100.9929543477"/>
    <n v="700622.1199230341"/>
    <n v="0"/>
    <n v="256234.83946537593"/>
    <n v="0"/>
    <n v="0"/>
    <n v="0"/>
    <n v="0"/>
    <n v="1407244.0335659378"/>
    <n v="1407244.0335659378"/>
    <n v="0"/>
    <n v="4.8196138007986384"/>
    <n v="4.8196138007986384"/>
    <n v="0"/>
    <n v="4.8196138007986384"/>
    <n v="436245.65040544071"/>
    <n v="436245.65040544071"/>
    <n v="0"/>
    <n v="436245.65040544071"/>
    <n v="0"/>
    <x v="0"/>
  </r>
  <r>
    <x v="23"/>
    <s v=""/>
    <n v="0"/>
    <n v="0"/>
    <x v="1"/>
    <s v="Østdanmark"/>
    <n v="0"/>
    <n v="0"/>
    <n v="0"/>
    <n v="0"/>
    <n v="0"/>
    <n v="335173.45257844625"/>
    <n v="0"/>
    <n v="0"/>
    <n v="-335173.45257844625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  <n v="0"/>
    <x v="1"/>
  </r>
  <r>
    <x v="25"/>
    <s v=""/>
    <n v="0"/>
    <n v="0"/>
    <x v="1"/>
    <s v="Østdanmark"/>
    <n v="115210.53389359287"/>
    <n v="180626.6382614313"/>
    <n v="0"/>
    <n v="0"/>
    <n v="0"/>
    <n v="0"/>
    <n v="0"/>
    <n v="0"/>
    <n v="-65416.10436783843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Østdanmark"/>
    <n v="382116.33628402097"/>
    <n v="674147.29351119313"/>
    <n v="0"/>
    <n v="0"/>
    <n v="0"/>
    <n v="0"/>
    <n v="0"/>
    <n v="0"/>
    <n v="-292030.95722717216"/>
    <n v="0"/>
    <n v="0"/>
    <n v="0"/>
    <n v="0"/>
    <n v="0"/>
    <n v="0"/>
    <n v="0"/>
    <n v="0"/>
    <n v="0"/>
    <n v="0"/>
    <n v="0"/>
    <x v="0"/>
  </r>
  <r>
    <x v="27"/>
    <s v=""/>
    <n v="0"/>
    <n v="1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n v="0"/>
    <x v="0"/>
  </r>
  <r>
    <x v="29"/>
    <s v=""/>
    <n v="0"/>
    <n v="1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n v="1"/>
    <x v="1"/>
    <s v="Østdanmark"/>
    <n v="410761.8079459595"/>
    <n v="0"/>
    <n v="0"/>
    <n v="0"/>
    <n v="0"/>
    <n v="0"/>
    <n v="0"/>
    <n v="0"/>
    <n v="410761.8079459595"/>
    <n v="0"/>
    <n v="0"/>
    <n v="0"/>
    <n v="0"/>
    <n v="0"/>
    <n v="0"/>
    <n v="0"/>
    <n v="0"/>
    <n v="0"/>
    <n v="0"/>
    <n v="0"/>
    <x v="0"/>
  </r>
  <r>
    <x v="31"/>
    <s v="Vedmasse"/>
    <n v="1"/>
    <n v="0"/>
    <x v="1"/>
    <s v="Østdanmark"/>
    <n v="39668.631585604686"/>
    <n v="0"/>
    <n v="0"/>
    <n v="0"/>
    <n v="0"/>
    <n v="0"/>
    <n v="39668.631585604686"/>
    <n v="0"/>
    <n v="0"/>
    <n v="0"/>
    <n v="39668.631585604686"/>
    <n v="0"/>
    <n v="0.72990282117512606"/>
    <n v="0"/>
    <n v="0.72990282117512606"/>
    <n v="0"/>
    <n v="16462.482108025946"/>
    <n v="0"/>
    <n v="16462.482108025946"/>
    <n v="0"/>
    <x v="1"/>
  </r>
  <r>
    <x v="32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n v="0"/>
    <x v="1"/>
    <s v="Østdanmark"/>
    <n v="200297.62873879672"/>
    <n v="0"/>
    <n v="0"/>
    <n v="0"/>
    <n v="0"/>
    <n v="0"/>
    <n v="0"/>
    <n v="200297.62873879672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1"/>
    <s v="Østdanmark"/>
    <n v="100148.81436939836"/>
    <n v="25514.0464210887"/>
    <n v="0"/>
    <n v="0"/>
    <n v="0"/>
    <n v="0"/>
    <n v="0"/>
    <n v="0"/>
    <n v="74634.767948309658"/>
    <n v="0"/>
    <n v="0"/>
    <n v="0"/>
    <n v="0"/>
    <n v="0"/>
    <n v="0"/>
    <n v="0"/>
    <n v="0"/>
    <n v="0"/>
    <n v="0"/>
    <n v="0"/>
    <x v="0"/>
  </r>
  <r>
    <x v="37"/>
    <s v="Rapsolie"/>
    <n v="1"/>
    <n v="1"/>
    <x v="1"/>
    <s v="Østdanmark"/>
    <n v="64095.241196414951"/>
    <n v="0"/>
    <n v="0"/>
    <n v="0"/>
    <n v="0"/>
    <n v="0"/>
    <n v="64095.241196414951"/>
    <n v="0"/>
    <n v="0"/>
    <n v="0"/>
    <n v="64095.241196414951"/>
    <n v="0"/>
    <n v="2.243333441874523"/>
    <n v="0"/>
    <n v="2.243333441874523"/>
    <n v="0"/>
    <n v="0"/>
    <n v="0"/>
    <n v="0"/>
    <n v="0"/>
    <x v="1"/>
  </r>
  <r>
    <x v="38"/>
    <s v="Græs og urter"/>
    <n v="1"/>
    <n v="1"/>
    <x v="1"/>
    <s v="Østdanmark"/>
    <n v="2327318.8289159178"/>
    <n v="100241.37903515603"/>
    <n v="0"/>
    <n v="0"/>
    <n v="0"/>
    <n v="0"/>
    <n v="0"/>
    <n v="0"/>
    <n v="2227077.4498807616"/>
    <n v="1794004.4501021868"/>
    <n v="0"/>
    <n v="4.8689998377553394"/>
    <n v="4.8689998377553394"/>
    <n v="0"/>
    <n v="4.8689998377553394"/>
    <n v="358800.89002043736"/>
    <n v="358800.89002043736"/>
    <n v="0"/>
    <n v="358800.89002043736"/>
    <n v="0"/>
    <x v="0"/>
  </r>
  <r>
    <x v="39"/>
    <s v=""/>
    <n v="0"/>
    <n v="0"/>
    <x v="1"/>
    <s v="Østdanmark"/>
    <n v="21912.353272016309"/>
    <n v="0"/>
    <n v="0"/>
    <n v="0"/>
    <n v="0"/>
    <n v="0"/>
    <n v="0"/>
    <n v="0"/>
    <n v="21912.353272016309"/>
    <n v="0"/>
    <n v="0"/>
    <n v="0"/>
    <n v="0"/>
    <n v="0"/>
    <n v="0"/>
    <n v="0"/>
    <n v="0"/>
    <n v="0"/>
    <n v="0"/>
    <n v="0"/>
    <x v="0"/>
  </r>
  <r>
    <x v="40"/>
    <s v=""/>
    <n v="0"/>
    <n v="0"/>
    <x v="1"/>
    <s v="Østdanmark"/>
    <n v="17658.552594451528"/>
    <n v="4697.1466214556613"/>
    <n v="0"/>
    <n v="0"/>
    <n v="0"/>
    <n v="0"/>
    <n v="0"/>
    <n v="0"/>
    <n v="12961.405972995868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  <n v="0"/>
    <x v="0"/>
  </r>
  <r>
    <x v="42"/>
    <s v="Husdyrgødning"/>
    <n v="1"/>
    <n v="0"/>
    <x v="1"/>
    <s v="Østdanmark"/>
    <n v="2106792.4244348742"/>
    <n v="0"/>
    <n v="0"/>
    <n v="0"/>
    <n v="1580094.3183261557"/>
    <n v="526698.10610871855"/>
    <n v="0"/>
    <n v="0"/>
    <n v="0"/>
    <n v="0"/>
    <n v="1580094.3183261557"/>
    <n v="0"/>
    <n v="0.68070463233490797"/>
    <n v="0.68070463233490797"/>
    <n v="0"/>
    <n v="0"/>
    <n v="79004.715916307789"/>
    <n v="79004.715916307789"/>
    <n v="0"/>
    <n v="0"/>
    <x v="1"/>
  </r>
  <r>
    <x v="43"/>
    <s v=""/>
    <n v="0"/>
    <n v="1"/>
    <x v="1"/>
    <s v="Østdanmark"/>
    <n v="192585.04353697354"/>
    <n v="0"/>
    <n v="0"/>
    <n v="105526.43984954793"/>
    <n v="0"/>
    <n v="0"/>
    <n v="0"/>
    <n v="0"/>
    <n v="87058.60368742561"/>
    <n v="0"/>
    <n v="0"/>
    <n v="0"/>
    <n v="0"/>
    <n v="0"/>
    <n v="0"/>
    <n v="0"/>
    <n v="0"/>
    <n v="0"/>
    <n v="0"/>
    <n v="0"/>
    <x v="0"/>
  </r>
  <r>
    <x v="44"/>
    <s v="Havbiomasse"/>
    <n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1"/>
    <s v="Østdanmark"/>
    <n v="647645.86028338596"/>
    <n v="0"/>
    <n v="0"/>
    <n v="0"/>
    <n v="0"/>
    <n v="0"/>
    <n v="647645.86028338596"/>
    <n v="0"/>
    <n v="0"/>
    <n v="0"/>
    <n v="647645.86028338596"/>
    <n v="0"/>
    <n v="9.3866998993191597"/>
    <n v="0"/>
    <n v="9.3866998993191597"/>
    <n v="0"/>
    <n v="320314.84839849127"/>
    <n v="0"/>
    <n v="320314.84839849127"/>
    <n v="0"/>
    <x v="1"/>
  </r>
  <r>
    <x v="47"/>
    <s v=""/>
    <n v="0"/>
    <n v="0"/>
    <x v="1"/>
    <s v="Østdanmark"/>
    <n v="178235.22139277839"/>
    <n v="0"/>
    <n v="0"/>
    <n v="0"/>
    <n v="0"/>
    <n v="0"/>
    <n v="0"/>
    <n v="178235.22139277839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n v="1"/>
    <x v="2"/>
    <s v="Østdanmark"/>
    <n v="27963.188224431749"/>
    <n v="7267.3729665242781"/>
    <n v="0"/>
    <n v="0"/>
    <n v="0"/>
    <n v="0"/>
    <n v="0"/>
    <n v="0"/>
    <n v="20695.81525790747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n v="0"/>
    <x v="1"/>
  </r>
  <r>
    <x v="3"/>
    <s v=""/>
    <n v="1"/>
    <n v="0"/>
    <x v="2"/>
    <s v="Østdanmark"/>
    <n v="127770459.38070777"/>
    <n v="0"/>
    <n v="0"/>
    <n v="0"/>
    <n v="0"/>
    <n v="0"/>
    <n v="127770459.38070777"/>
    <n v="0"/>
    <n v="0"/>
    <n v="0"/>
    <n v="127770459.38070777"/>
    <n v="0"/>
    <n v="0"/>
    <n v="0"/>
    <n v="0"/>
    <n v="0"/>
    <n v="0"/>
    <n v="0"/>
    <n v="0"/>
    <n v="0"/>
    <x v="1"/>
  </r>
  <r>
    <x v="4"/>
    <s v=""/>
    <n v="0"/>
    <n v="0"/>
    <x v="2"/>
    <s v="Østdanmark"/>
    <n v="5931800.6059544124"/>
    <n v="0"/>
    <n v="0"/>
    <n v="0"/>
    <n v="0"/>
    <n v="4680862.224178886"/>
    <n v="0"/>
    <n v="0"/>
    <n v="1250938.3817755263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2"/>
    <s v="Østdanmark"/>
    <n v="342152.71828788641"/>
    <n v="0"/>
    <n v="0"/>
    <n v="0"/>
    <n v="307937.44645909779"/>
    <n v="12952.924335184269"/>
    <n v="0"/>
    <n v="0"/>
    <n v="21262.347493604349"/>
    <n v="21262.347493604349"/>
    <n v="307937.44645909779"/>
    <n v="4.5799096501223768E-2"/>
    <n v="0.70909635617412037"/>
    <n v="0.66329725967289666"/>
    <n v="4.5799096501223713E-2"/>
    <n v="6378.7042480813043"/>
    <n v="98759.938185810635"/>
    <n v="92381.233937729339"/>
    <n v="6378.7042480812961"/>
    <n v="0"/>
    <x v="0"/>
  </r>
  <r>
    <x v="7"/>
    <s v="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  <n v="0"/>
    <x v="1"/>
  </r>
  <r>
    <x v="9"/>
    <s v=""/>
    <n v="0"/>
    <n v="1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n v="0"/>
    <x v="2"/>
    <s v="Østdanmark"/>
    <n v="619622.98434941436"/>
    <n v="0"/>
    <n v="0"/>
    <n v="0"/>
    <n v="0"/>
    <n v="0"/>
    <n v="0"/>
    <n v="0"/>
    <n v="619622.98434941436"/>
    <n v="0"/>
    <n v="0"/>
    <n v="0"/>
    <n v="0"/>
    <n v="0"/>
    <n v="0"/>
    <n v="0"/>
    <n v="0"/>
    <n v="0"/>
    <n v="0"/>
    <n v="0"/>
    <x v="0"/>
  </r>
  <r>
    <x v="11"/>
    <s v=""/>
    <n v="0"/>
    <n v="1"/>
    <x v="2"/>
    <s v="Østdanmark"/>
    <n v="16278.266064377463"/>
    <n v="0"/>
    <n v="0"/>
    <n v="233795.01599247381"/>
    <n v="0"/>
    <n v="0"/>
    <n v="0"/>
    <n v="0"/>
    <n v="-217516.74992809634"/>
    <n v="0"/>
    <n v="0"/>
    <n v="0"/>
    <n v="0"/>
    <n v="0"/>
    <n v="0"/>
    <n v="0"/>
    <n v="0"/>
    <n v="0"/>
    <n v="0"/>
    <n v="1"/>
    <x v="1"/>
  </r>
  <r>
    <x v="12"/>
    <s v="Glycerin"/>
    <n v="1"/>
    <n v="0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n v="0"/>
    <x v="2"/>
    <s v="Østdanmark"/>
    <n v="2066928.9300738815"/>
    <n v="1378883.0846623355"/>
    <n v="0"/>
    <n v="0"/>
    <n v="0"/>
    <n v="0"/>
    <n v="0"/>
    <n v="0"/>
    <n v="688045.84541154606"/>
    <n v="688045.84541154606"/>
    <n v="0"/>
    <n v="1.2659183498265685"/>
    <n v="1.2659183498265685"/>
    <n v="0"/>
    <n v="1.2659183498265685"/>
    <n v="192652.83671523293"/>
    <n v="192652.83671523293"/>
    <n v="0"/>
    <n v="192652.83671523293"/>
    <n v="0"/>
    <x v="0"/>
  </r>
  <r>
    <x v="14"/>
    <s v="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2"/>
    <s v="Østdanmark"/>
    <n v="100361.40981981652"/>
    <n v="0"/>
    <n v="0"/>
    <n v="244869.51675001203"/>
    <n v="0"/>
    <n v="0"/>
    <n v="0"/>
    <n v="0"/>
    <n v="-144508.10693019553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2"/>
    <s v="Østdanmark"/>
    <n v="1501603.8609770872"/>
    <n v="87107.539862645164"/>
    <n v="92961.560520988991"/>
    <n v="0"/>
    <n v="0"/>
    <n v="0"/>
    <n v="1321534.7605934532"/>
    <n v="0"/>
    <n v="0"/>
    <n v="0"/>
    <n v="1321534.7605934532"/>
    <n v="0"/>
    <n v="13.659127355928229"/>
    <n v="0"/>
    <n v="13.659127355928229"/>
    <n v="0"/>
    <n v="1123304.5465044351"/>
    <n v="0"/>
    <n v="1123304.5465044351"/>
    <n v="0"/>
    <x v="1"/>
  </r>
  <r>
    <x v="17"/>
    <s v="Bionedbrydeligt affald"/>
    <n v="1"/>
    <n v="0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  <n v="0"/>
    <x v="1"/>
  </r>
  <r>
    <x v="18"/>
    <s v=""/>
    <n v="0"/>
    <n v="1"/>
    <x v="2"/>
    <s v="Østdanmark"/>
    <n v="0"/>
    <n v="544043.61513285921"/>
    <n v="0"/>
    <n v="0"/>
    <n v="0"/>
    <n v="0"/>
    <n v="0"/>
    <n v="0"/>
    <n v="-544043.61513285921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2"/>
    <s v="Østdanmark"/>
    <n v="200523.95597408165"/>
    <n v="0"/>
    <n v="0"/>
    <n v="0"/>
    <n v="0"/>
    <n v="0"/>
    <n v="0"/>
    <n v="0"/>
    <n v="200523.95597408165"/>
    <n v="200523.95597408165"/>
    <n v="0"/>
    <n v="0.8688963693499725"/>
    <n v="0.8688963693499725"/>
    <n v="0"/>
    <n v="0.8688963693499725"/>
    <n v="84220.061509114283"/>
    <n v="84220.061509114283"/>
    <n v="0"/>
    <n v="84220.061509114283"/>
    <n v="0"/>
    <x v="0"/>
  </r>
  <r>
    <x v="20"/>
    <s v=""/>
    <n v="0"/>
    <n v="0"/>
    <x v="2"/>
    <s v="Østdanmark"/>
    <n v="150223.49993632184"/>
    <n v="0"/>
    <n v="0"/>
    <n v="0"/>
    <n v="0"/>
    <n v="0"/>
    <n v="0"/>
    <n v="0"/>
    <n v="150223.49993632184"/>
    <n v="0"/>
    <n v="0"/>
    <n v="0"/>
    <n v="0"/>
    <n v="0"/>
    <n v="0"/>
    <n v="0"/>
    <n v="0"/>
    <n v="0"/>
    <n v="0"/>
    <n v="0"/>
    <x v="0"/>
  </r>
  <r>
    <x v="21"/>
    <s v=""/>
    <n v="0"/>
    <n v="1"/>
    <x v="2"/>
    <s v="Østdanmark"/>
    <n v="119162.42345688539"/>
    <n v="0"/>
    <n v="0"/>
    <n v="111975.50765955324"/>
    <n v="0"/>
    <n v="0"/>
    <n v="0"/>
    <n v="0"/>
    <n v="7186.9157973321417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Østdanmark"/>
    <n v="2365391.4259483349"/>
    <n v="662441.233045817"/>
    <n v="0"/>
    <n v="268249.01834925939"/>
    <n v="0"/>
    <n v="0"/>
    <n v="0"/>
    <n v="0"/>
    <n v="1434701.1745532583"/>
    <n v="1434701.1745532583"/>
    <n v="0"/>
    <n v="4.913650664680473"/>
    <n v="4.913650664680473"/>
    <n v="0"/>
    <n v="4.913650664680473"/>
    <n v="444757.36411151011"/>
    <n v="444757.36411151011"/>
    <n v="0"/>
    <n v="444757.36411151011"/>
    <n v="0"/>
    <x v="0"/>
  </r>
  <r>
    <x v="23"/>
    <s v=""/>
    <n v="0"/>
    <n v="0"/>
    <x v="2"/>
    <s v="Østdanmark"/>
    <n v="0"/>
    <n v="0"/>
    <n v="0"/>
    <n v="0"/>
    <n v="0"/>
    <n v="288937.99053379206"/>
    <n v="0"/>
    <n v="0"/>
    <n v="-288937.99053379206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  <n v="0"/>
    <x v="1"/>
  </r>
  <r>
    <x v="25"/>
    <s v=""/>
    <n v="0"/>
    <n v="0"/>
    <x v="2"/>
    <s v="Østdanmark"/>
    <n v="113070.46736338305"/>
    <n v="170783.26471332053"/>
    <n v="0"/>
    <n v="0"/>
    <n v="0"/>
    <n v="0"/>
    <n v="0"/>
    <n v="0"/>
    <n v="-57712.797349937478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Østdanmark"/>
    <n v="385351.77925728471"/>
    <n v="637409.17060556682"/>
    <n v="0"/>
    <n v="0"/>
    <n v="0"/>
    <n v="0"/>
    <n v="0"/>
    <n v="0"/>
    <n v="-252057.39134828211"/>
    <n v="0"/>
    <n v="0"/>
    <n v="0"/>
    <n v="0"/>
    <n v="0"/>
    <n v="0"/>
    <n v="0"/>
    <n v="0"/>
    <n v="0"/>
    <n v="0"/>
    <n v="0"/>
    <x v="0"/>
  </r>
  <r>
    <x v="27"/>
    <s v=""/>
    <n v="0"/>
    <n v="1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n v="0"/>
    <x v="0"/>
  </r>
  <r>
    <x v="29"/>
    <s v=""/>
    <n v="0"/>
    <n v="1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n v="1"/>
    <x v="2"/>
    <s v="Østdanmark"/>
    <n v="407929.68166494544"/>
    <n v="0"/>
    <n v="0"/>
    <n v="0"/>
    <n v="0"/>
    <n v="0"/>
    <n v="0"/>
    <n v="0"/>
    <n v="407929.68166494544"/>
    <n v="0"/>
    <n v="0"/>
    <n v="0"/>
    <n v="0"/>
    <n v="0"/>
    <n v="0"/>
    <n v="0"/>
    <n v="0"/>
    <n v="0"/>
    <n v="0"/>
    <n v="0"/>
    <x v="0"/>
  </r>
  <r>
    <x v="31"/>
    <s v="Vedmasse"/>
    <n v="1"/>
    <n v="0"/>
    <x v="2"/>
    <s v="Østdanmark"/>
    <n v="36959.622363047813"/>
    <n v="0"/>
    <n v="0"/>
    <n v="0"/>
    <n v="0"/>
    <n v="0"/>
    <n v="36959.622363047813"/>
    <n v="0"/>
    <n v="0"/>
    <n v="0"/>
    <n v="36959.622363047813"/>
    <n v="0"/>
    <n v="0.68005705148007967"/>
    <n v="0"/>
    <n v="0.68005705148007967"/>
    <n v="0"/>
    <n v="15338.243280664843"/>
    <n v="0"/>
    <n v="15338.243280664843"/>
    <n v="0"/>
    <x v="1"/>
  </r>
  <r>
    <x v="32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n v="0"/>
    <x v="2"/>
    <s v="Østdanmark"/>
    <n v="200042.64483548011"/>
    <n v="0"/>
    <n v="0"/>
    <n v="0"/>
    <n v="0"/>
    <n v="0"/>
    <n v="0"/>
    <n v="200042.64483548011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2"/>
    <s v="Østdanmark"/>
    <n v="100021.32241774006"/>
    <n v="24123.640819434757"/>
    <n v="0"/>
    <n v="0"/>
    <n v="0"/>
    <n v="0"/>
    <n v="0"/>
    <n v="0"/>
    <n v="75897.681598305295"/>
    <n v="0"/>
    <n v="0"/>
    <n v="0"/>
    <n v="0"/>
    <n v="0"/>
    <n v="0"/>
    <n v="0"/>
    <n v="0"/>
    <n v="0"/>
    <n v="0"/>
    <n v="0"/>
    <x v="0"/>
  </r>
  <r>
    <x v="37"/>
    <s v="Rapsolie"/>
    <n v="1"/>
    <n v="1"/>
    <x v="2"/>
    <s v="Østdanmark"/>
    <n v="64013.646347353635"/>
    <n v="0"/>
    <n v="0"/>
    <n v="0"/>
    <n v="0"/>
    <n v="0"/>
    <n v="64013.646347353635"/>
    <n v="0"/>
    <n v="0"/>
    <n v="0"/>
    <n v="64013.646347353635"/>
    <n v="0"/>
    <n v="2.240477622157377"/>
    <n v="0"/>
    <n v="2.240477622157377"/>
    <n v="0"/>
    <n v="0"/>
    <n v="0"/>
    <n v="0"/>
    <n v="0"/>
    <x v="1"/>
  </r>
  <r>
    <x v="38"/>
    <s v="Græs og urter"/>
    <n v="1"/>
    <n v="1"/>
    <x v="2"/>
    <s v="Østdanmark"/>
    <n v="2337477.1247217245"/>
    <n v="94778.655771754129"/>
    <n v="0"/>
    <n v="0"/>
    <n v="0"/>
    <n v="0"/>
    <n v="0"/>
    <n v="0"/>
    <n v="2242698.4689499703"/>
    <n v="1830597.0172306281"/>
    <n v="0"/>
    <n v="4.9683135286446136"/>
    <n v="4.9683135286446136"/>
    <n v="0"/>
    <n v="4.9683135286446136"/>
    <n v="366119.40344612562"/>
    <n v="366119.40344612562"/>
    <n v="0"/>
    <n v="366119.40344612562"/>
    <n v="0"/>
    <x v="0"/>
  </r>
  <r>
    <x v="39"/>
    <s v=""/>
    <n v="0"/>
    <n v="0"/>
    <x v="2"/>
    <s v="Østdanmark"/>
    <n v="20186.20419193256"/>
    <n v="0"/>
    <n v="0"/>
    <n v="0"/>
    <n v="0"/>
    <n v="0"/>
    <n v="0"/>
    <n v="0"/>
    <n v="20186.20419193256"/>
    <n v="0"/>
    <n v="0"/>
    <n v="0"/>
    <n v="0"/>
    <n v="0"/>
    <n v="0"/>
    <n v="0"/>
    <n v="0"/>
    <n v="0"/>
    <n v="0"/>
    <n v="0"/>
    <x v="0"/>
  </r>
  <r>
    <x v="40"/>
    <s v=""/>
    <n v="0"/>
    <n v="0"/>
    <x v="2"/>
    <s v="Østdanmark"/>
    <n v="16053.966219959522"/>
    <n v="4441.1723684315039"/>
    <n v="0"/>
    <n v="0"/>
    <n v="0"/>
    <n v="0"/>
    <n v="0"/>
    <n v="0"/>
    <n v="11612.793851528018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Østdanmark"/>
    <n v="3500281.4918378997"/>
    <n v="0"/>
    <n v="0"/>
    <n v="0"/>
    <n v="3150253.3426541099"/>
    <n v="0"/>
    <n v="0"/>
    <n v="0"/>
    <n v="350028.14918378973"/>
    <n v="350028.14918378973"/>
    <n v="3150253.3426541099"/>
    <n v="0.17466754672420293"/>
    <n v="1.7466754672420306"/>
    <n v="1.5720079205178277"/>
    <n v="0.17466754672420293"/>
    <n v="21001.688951027383"/>
    <n v="210016.88951027396"/>
    <n v="189015.20055924659"/>
    <n v="21001.688951027376"/>
    <n v="0"/>
    <x v="0"/>
  </r>
  <r>
    <x v="42"/>
    <s v="Husdyrgødning"/>
    <n v="1"/>
    <n v="0"/>
    <x v="2"/>
    <s v="Østdanmark"/>
    <n v="1882077.697473543"/>
    <n v="0"/>
    <n v="0"/>
    <n v="0"/>
    <n v="1693869.9277261887"/>
    <n v="188207.76974735426"/>
    <n v="0"/>
    <n v="0"/>
    <n v="0"/>
    <n v="0"/>
    <n v="1693869.9277261887"/>
    <n v="0"/>
    <n v="0.72971916486444222"/>
    <n v="0.72971916486444222"/>
    <n v="0"/>
    <n v="0"/>
    <n v="84693.496386309445"/>
    <n v="84693.496386309445"/>
    <n v="0"/>
    <n v="0"/>
    <x v="1"/>
  </r>
  <r>
    <x v="43"/>
    <s v=""/>
    <n v="0"/>
    <n v="1"/>
    <x v="2"/>
    <s v="Østdanmark"/>
    <n v="174765.59603194657"/>
    <n v="0"/>
    <n v="0"/>
    <n v="110474.29755686472"/>
    <n v="0"/>
    <n v="0"/>
    <n v="0"/>
    <n v="0"/>
    <n v="64291.298475081843"/>
    <n v="0"/>
    <n v="0"/>
    <n v="0"/>
    <n v="0"/>
    <n v="0"/>
    <n v="0"/>
    <n v="0"/>
    <n v="0"/>
    <n v="0"/>
    <n v="0"/>
    <n v="0"/>
    <x v="0"/>
  </r>
  <r>
    <x v="44"/>
    <s v="Havbiomasse"/>
    <n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2"/>
    <s v="Østdanmark"/>
    <n v="637918.49942824384"/>
    <n v="0"/>
    <n v="0"/>
    <n v="0"/>
    <n v="0"/>
    <n v="0"/>
    <n v="637918.49942824384"/>
    <n v="0"/>
    <n v="0"/>
    <n v="0"/>
    <n v="637918.49942824384"/>
    <n v="0"/>
    <n v="9.2457157245424533"/>
    <n v="0"/>
    <n v="9.2457157245424533"/>
    <n v="0"/>
    <n v="315503.85784221895"/>
    <n v="0"/>
    <n v="315503.85784221895"/>
    <n v="0"/>
    <x v="1"/>
  </r>
  <r>
    <x v="47"/>
    <s v=""/>
    <n v="0"/>
    <n v="0"/>
    <x v="2"/>
    <s v="Østdanmark"/>
    <n v="181156.38422629872"/>
    <n v="0"/>
    <n v="0"/>
    <n v="0"/>
    <n v="0"/>
    <n v="0"/>
    <n v="0"/>
    <n v="181156.38422629872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1941424.383000549"/>
    <s v="CO2 - atmosfære"/>
    <x v="0"/>
  </r>
  <r>
    <s v="Vestdanmark"/>
    <x v="0"/>
    <n v="5070835.3540045777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469132.82551179174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9973918.4318741746"/>
    <s v="CO2 - atmosfære"/>
    <x v="0"/>
  </r>
  <r>
    <s v="Vestdanmark"/>
    <x v="1"/>
    <n v="5015258.8213962922"/>
    <s v="Landbrug"/>
    <x v="1"/>
  </r>
  <r>
    <s v="Vestdanmark"/>
    <x v="1"/>
    <n v="4043577.2436277913"/>
    <s v="Landbrug"/>
    <x v="2"/>
  </r>
  <r>
    <s v="Vestdanmark"/>
    <x v="1"/>
    <n v="1202420.0951645882"/>
    <s v="Landbrug"/>
    <x v="2"/>
  </r>
  <r>
    <s v="Vestdanmark"/>
    <x v="1"/>
    <n v="1839084.3419425203"/>
    <s v="Landbrug"/>
    <x v="2"/>
  </r>
  <r>
    <s v="Vestdanmark"/>
    <x v="1"/>
    <n v="-158.24317477886137"/>
    <s v="Hav"/>
    <x v="3"/>
  </r>
  <r>
    <s v="Vestdanmark"/>
    <x v="1"/>
    <n v="-1228033.747647149"/>
    <s v="Skov"/>
    <x v="4"/>
  </r>
  <r>
    <s v="Vestdanmark"/>
    <x v="1"/>
    <n v="-472893.63203247666"/>
    <s v="HWP"/>
    <x v="5"/>
  </r>
  <r>
    <s v="Vestdanmark"/>
    <x v="1"/>
    <n v="-425336.4474026151"/>
    <s v="Biogasanlæg"/>
    <x v="6"/>
  </r>
  <r>
    <s v="Vestdanmark"/>
    <x v="1"/>
    <n v="0"/>
    <s v="Pyrolyseproces"/>
    <x v="7"/>
  </r>
  <r>
    <s v="Vestdanmark"/>
    <x v="2"/>
    <n v="5105512.731170225"/>
    <s v="CO2 - atmosfære"/>
    <x v="0"/>
  </r>
  <r>
    <s v="Vestdanmark"/>
    <x v="2"/>
    <n v="4915706.8925452614"/>
    <s v="Landbrug"/>
    <x v="1"/>
  </r>
  <r>
    <s v="Vestdanmark"/>
    <x v="2"/>
    <n v="3681930.3741319757"/>
    <s v="Landbrug"/>
    <x v="2"/>
  </r>
  <r>
    <s v="Vestdanmark"/>
    <x v="2"/>
    <n v="998027.58022386348"/>
    <s v="Landbrug"/>
    <x v="2"/>
  </r>
  <r>
    <s v="Vestdanmark"/>
    <x v="2"/>
    <n v="0"/>
    <s v="Landbrug"/>
    <x v="2"/>
  </r>
  <r>
    <s v="Vestdanmark"/>
    <x v="2"/>
    <n v="-158.24317477886137"/>
    <s v="Hav"/>
    <x v="3"/>
  </r>
  <r>
    <s v="Vestdanmark"/>
    <x v="2"/>
    <n v="-2887651.1003491962"/>
    <s v="Skov"/>
    <x v="4"/>
  </r>
  <r>
    <s v="Vestdanmark"/>
    <x v="2"/>
    <n v="-1116274.2073436431"/>
    <s v="HWP"/>
    <x v="5"/>
  </r>
  <r>
    <s v="Vestdanmark"/>
    <x v="2"/>
    <n v="-486068.56486325985"/>
    <s v="Biogasanlæg"/>
    <x v="6"/>
  </r>
  <r>
    <s v="Vestdanmark"/>
    <x v="2"/>
    <n v="0"/>
    <s v="Pyrolyseproces"/>
    <x v="7"/>
  </r>
  <r>
    <s v="Østdanmark"/>
    <x v="0"/>
    <n v="1968955.6357662694"/>
    <s v="CO2 - atmosfære"/>
    <x v="0"/>
  </r>
  <r>
    <s v="Østdanmark"/>
    <x v="0"/>
    <n v="448426.54673213884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137317.43481230648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662041.497231198"/>
    <s v="CO2 - atmosfære"/>
    <x v="0"/>
  </r>
  <r>
    <s v="Østdanmark"/>
    <x v="1"/>
    <n v="442867.88660548098"/>
    <s v="Landbrug"/>
    <x v="1"/>
  </r>
  <r>
    <s v="Østdanmark"/>
    <x v="1"/>
    <n v="1211586.3086878173"/>
    <s v="Landbrug"/>
    <x v="2"/>
  </r>
  <r>
    <s v="Østdanmark"/>
    <x v="1"/>
    <n v="182621.40301891766"/>
    <s v="Landbrug"/>
    <x v="2"/>
  </r>
  <r>
    <s v="Østdanmark"/>
    <x v="1"/>
    <n v="279204.42809339461"/>
    <s v="Landbrug"/>
    <x v="2"/>
  </r>
  <r>
    <s v="Østdanmark"/>
    <x v="1"/>
    <n v="-0.19402522113858015"/>
    <s v="Hav"/>
    <x v="3"/>
  </r>
  <r>
    <s v="Østdanmark"/>
    <x v="1"/>
    <n v="-278201.85046482197"/>
    <s v="Skov"/>
    <x v="4"/>
  </r>
  <r>
    <s v="Østdanmark"/>
    <x v="1"/>
    <n v="-135559.93500491785"/>
    <s v="HWP"/>
    <x v="5"/>
  </r>
  <r>
    <s v="Østdanmark"/>
    <x v="1"/>
    <n v="-40476.549679451244"/>
    <s v="Biogasanlæg"/>
    <x v="6"/>
  </r>
  <r>
    <s v="Østdanmark"/>
    <x v="1"/>
    <n v="0"/>
    <s v="Pyrolyseproces"/>
    <x v="7"/>
  </r>
  <r>
    <s v="Østdanmark"/>
    <x v="2"/>
    <n v="876792.29648718657"/>
    <s v="CO2 - atmosfære"/>
    <x v="0"/>
  </r>
  <r>
    <s v="Østdanmark"/>
    <x v="2"/>
    <n v="430346.04833642254"/>
    <s v="Landbrug"/>
    <x v="1"/>
  </r>
  <r>
    <s v="Østdanmark"/>
    <x v="2"/>
    <n v="1156544.5871639531"/>
    <s v="Landbrug"/>
    <x v="2"/>
  </r>
  <r>
    <s v="Østdanmark"/>
    <x v="2"/>
    <n v="151578.63519164603"/>
    <s v="Landbrug"/>
    <x v="2"/>
  </r>
  <r>
    <s v="Østdanmark"/>
    <x v="2"/>
    <n v="0"/>
    <s v="Landbrug"/>
    <x v="2"/>
  </r>
  <r>
    <s v="Østdanmark"/>
    <x v="2"/>
    <n v="-0.19402522113858015"/>
    <s v="Hav"/>
    <x v="3"/>
  </r>
  <r>
    <s v="Østdanmark"/>
    <x v="2"/>
    <n v="-565732.58937917813"/>
    <s v="Skov"/>
    <x v="4"/>
  </r>
  <r>
    <s v="Østdanmark"/>
    <x v="2"/>
    <n v="-250413.3836601582"/>
    <s v="HWP"/>
    <x v="5"/>
  </r>
  <r>
    <s v="Østdanmark"/>
    <x v="2"/>
    <n v="-45530.807140277917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</r>
  <r>
    <x v="17"/>
    <x v="1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</r>
  <r>
    <x v="27"/>
    <x v="0"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</r>
  <r>
    <x v="47"/>
    <x v="0"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</r>
  <r>
    <x v="0"/>
    <x v="10"/>
    <n v="0"/>
    <n v="1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n v="1"/>
    <x v="1"/>
    <s v="Vestdanmark"/>
    <n v="264281.48271181755"/>
    <n v="62908.541627737373"/>
    <n v="0"/>
    <n v="0"/>
    <n v="0"/>
    <n v="0"/>
    <n v="0"/>
    <n v="0"/>
    <n v="201372.94108408017"/>
    <n v="0"/>
    <n v="0"/>
    <n v="0"/>
    <n v="0"/>
    <n v="0"/>
    <n v="0"/>
    <n v="0"/>
    <n v="0"/>
    <n v="0"/>
    <n v="0"/>
  </r>
  <r>
    <x v="2"/>
    <x v="1"/>
    <n v="1"/>
    <n v="0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</r>
  <r>
    <x v="3"/>
    <x v="10"/>
    <n v="1"/>
    <n v="0"/>
    <x v="1"/>
    <s v="Vestdanmark"/>
    <n v="492782535.68274039"/>
    <n v="0"/>
    <n v="0"/>
    <n v="0"/>
    <n v="0"/>
    <n v="0"/>
    <n v="492782535.68274039"/>
    <n v="0"/>
    <n v="0"/>
    <n v="0"/>
    <n v="492782535.68274039"/>
    <n v="0"/>
    <n v="0"/>
    <n v="0"/>
    <n v="0"/>
    <n v="0"/>
    <n v="0"/>
    <n v="0"/>
    <n v="0"/>
  </r>
  <r>
    <x v="4"/>
    <x v="10"/>
    <n v="0"/>
    <n v="0"/>
    <x v="1"/>
    <s v="Vestdanmark"/>
    <n v="23970432.839117184"/>
    <n v="0"/>
    <n v="0"/>
    <n v="0"/>
    <n v="0"/>
    <n v="19339631.292659696"/>
    <n v="0"/>
    <n v="0"/>
    <n v="4630801.5464574881"/>
    <n v="0"/>
    <n v="0"/>
    <n v="0"/>
    <n v="0"/>
    <n v="0"/>
    <n v="0"/>
    <n v="0"/>
    <n v="0"/>
    <n v="0"/>
    <n v="0"/>
  </r>
  <r>
    <x v="5"/>
    <x v="1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1"/>
    <s v="Vestdanmark"/>
    <n v="2572334.3954420607"/>
    <n v="0"/>
    <n v="0"/>
    <n v="0"/>
    <n v="1929250.7965815454"/>
    <n v="243453.07671148074"/>
    <n v="0"/>
    <n v="0"/>
    <n v="399630.52214903431"/>
    <n v="399630.52214903431"/>
    <n v="1929250.7965815454"/>
    <n v="0.86080414470901989"/>
    <n v="5.0164103605456685"/>
    <n v="4.1556062158366487"/>
    <n v="0.86080414470901978"/>
    <n v="119889.15664471028"/>
    <n v="698664.39561917388"/>
    <n v="578775.23897446354"/>
    <n v="119889.15664471034"/>
  </r>
  <r>
    <x v="7"/>
    <x v="10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</r>
  <r>
    <x v="9"/>
    <x v="10"/>
    <n v="0"/>
    <n v="1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n v="0"/>
    <x v="1"/>
    <s v="Vestdanmark"/>
    <n v="896684.85799615958"/>
    <n v="0"/>
    <n v="0"/>
    <n v="0"/>
    <n v="0"/>
    <n v="0"/>
    <n v="0"/>
    <n v="0"/>
    <n v="896684.85799615958"/>
    <n v="0"/>
    <n v="0"/>
    <n v="0"/>
    <n v="0"/>
    <n v="0"/>
    <n v="0"/>
    <n v="0"/>
    <n v="0"/>
    <n v="0"/>
    <n v="0"/>
  </r>
  <r>
    <x v="11"/>
    <x v="10"/>
    <n v="0"/>
    <n v="1"/>
    <x v="1"/>
    <s v="Vestdanmark"/>
    <n v="26490.425666789368"/>
    <n v="0"/>
    <n v="0"/>
    <n v="257923.29437791562"/>
    <n v="0"/>
    <n v="0"/>
    <n v="0"/>
    <n v="0"/>
    <n v="-231432.86871112624"/>
    <n v="0"/>
    <n v="0"/>
    <n v="0"/>
    <n v="0"/>
    <n v="0"/>
    <n v="0"/>
    <n v="0"/>
    <n v="0"/>
    <n v="0"/>
    <n v="0"/>
  </r>
  <r>
    <x v="12"/>
    <x v="3"/>
    <n v="1"/>
    <n v="0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n v="0"/>
    <x v="1"/>
    <s v="Vestdanmark"/>
    <n v="15769668.337175274"/>
    <n v="11936022.044118334"/>
    <n v="0"/>
    <n v="0"/>
    <n v="0"/>
    <n v="0"/>
    <n v="0"/>
    <n v="0"/>
    <n v="3833646.2930569407"/>
    <n v="3833646.2930569407"/>
    <n v="0"/>
    <n v="7.0534299734381394"/>
    <n v="7.0534299734381394"/>
    <n v="0"/>
    <n v="7.0534299734381394"/>
    <n v="1073420.9620559434"/>
    <n v="1073420.9620559434"/>
    <n v="0"/>
    <n v="1073420.9620559434"/>
  </r>
  <r>
    <x v="14"/>
    <x v="10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1"/>
    <s v="Vestdanmark"/>
    <n v="189947.9283403279"/>
    <n v="0"/>
    <n v="0"/>
    <n v="270140.71358529059"/>
    <n v="0"/>
    <n v="0"/>
    <n v="0"/>
    <n v="0"/>
    <n v="-80192.785244962695"/>
    <n v="0"/>
    <n v="0"/>
    <n v="0"/>
    <n v="0"/>
    <n v="0"/>
    <n v="0"/>
    <n v="0"/>
    <n v="0"/>
    <n v="0"/>
    <n v="0"/>
  </r>
  <r>
    <x v="16"/>
    <x v="5"/>
    <n v="1"/>
    <n v="0"/>
    <x v="1"/>
    <s v="Vestdanmark"/>
    <n v="3749912.1092935386"/>
    <n v="754028.76978801878"/>
    <n v="702117.72064633376"/>
    <n v="0"/>
    <n v="0"/>
    <n v="0"/>
    <n v="2293765.6188591849"/>
    <n v="0"/>
    <n v="0"/>
    <n v="0"/>
    <n v="2293765.6188591849"/>
    <n v="0"/>
    <n v="23.707917223893222"/>
    <n v="0"/>
    <n v="23.707917223893222"/>
    <n v="0"/>
    <n v="1949700.7760303072"/>
    <n v="0"/>
    <n v="1949700.7760303072"/>
  </r>
  <r>
    <x v="17"/>
    <x v="1"/>
    <n v="1"/>
    <n v="0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</r>
  <r>
    <x v="18"/>
    <x v="10"/>
    <n v="0"/>
    <n v="1"/>
    <x v="1"/>
    <s v="Vestdanmark"/>
    <n v="0"/>
    <n v="4709403.3246320067"/>
    <n v="0"/>
    <n v="0"/>
    <n v="0"/>
    <n v="0"/>
    <n v="0"/>
    <n v="0"/>
    <n v="-4709403.3246320067"/>
    <n v="0"/>
    <n v="0"/>
    <n v="0"/>
    <n v="0"/>
    <n v="0"/>
    <n v="0"/>
    <n v="0"/>
    <n v="0"/>
    <n v="0"/>
    <n v="0"/>
  </r>
  <r>
    <x v="19"/>
    <x v="1"/>
    <n v="1"/>
    <n v="0"/>
    <x v="1"/>
    <s v="Vestdanmark"/>
    <n v="516148.16711972357"/>
    <n v="0"/>
    <n v="0"/>
    <n v="0"/>
    <n v="0"/>
    <n v="0"/>
    <n v="0"/>
    <n v="0"/>
    <n v="516148.16711972357"/>
    <n v="516148.16711972357"/>
    <n v="0"/>
    <n v="2.2365371073914879"/>
    <n v="2.2365371073914879"/>
    <n v="0"/>
    <n v="2.2365371073914879"/>
    <n v="216782.23019028388"/>
    <n v="216782.23019028388"/>
    <n v="0"/>
    <n v="216782.23019028388"/>
  </r>
  <r>
    <x v="20"/>
    <x v="10"/>
    <n v="0"/>
    <n v="0"/>
    <x v="1"/>
    <s v="Vestdanmark"/>
    <n v="782472.88933192089"/>
    <n v="0"/>
    <n v="0"/>
    <n v="0"/>
    <n v="0"/>
    <n v="0"/>
    <n v="0"/>
    <n v="0"/>
    <n v="782472.88933192089"/>
    <n v="0"/>
    <n v="0"/>
    <n v="0"/>
    <n v="0"/>
    <n v="0"/>
    <n v="0"/>
    <n v="0"/>
    <n v="0"/>
    <n v="0"/>
    <n v="0"/>
  </r>
  <r>
    <x v="21"/>
    <x v="10"/>
    <n v="0"/>
    <n v="1"/>
    <x v="1"/>
    <s v="Vestdanmark"/>
    <n v="2184559.2882253225"/>
    <n v="0"/>
    <n v="0"/>
    <n v="123531.68309679118"/>
    <n v="0"/>
    <n v="0"/>
    <n v="0"/>
    <n v="0"/>
    <n v="2061027.6051285313"/>
    <n v="0"/>
    <n v="0"/>
    <n v="0"/>
    <n v="0"/>
    <n v="0"/>
    <n v="0"/>
    <n v="0"/>
    <n v="0"/>
    <n v="0"/>
    <n v="0"/>
  </r>
  <r>
    <x v="22"/>
    <x v="5"/>
    <n v="1"/>
    <n v="1"/>
    <x v="1"/>
    <s v="Vestdanmark"/>
    <n v="7012260.3004318569"/>
    <n v="5734288.3153172266"/>
    <n v="0"/>
    <n v="295933.04302308214"/>
    <n v="0"/>
    <n v="0"/>
    <n v="0"/>
    <n v="0"/>
    <n v="982038.94209154788"/>
    <n v="982038.94209154788"/>
    <n v="0"/>
    <n v="3.3633458912116594"/>
    <n v="3.3633458912116594"/>
    <n v="0"/>
    <n v="3.3633458912116594"/>
    <n v="304432.07204837987"/>
    <n v="304432.07204837987"/>
    <n v="0"/>
    <n v="304432.07204837987"/>
  </r>
  <r>
    <x v="23"/>
    <x v="10"/>
    <n v="0"/>
    <n v="0"/>
    <x v="1"/>
    <s v="Vestdanmark"/>
    <n v="0"/>
    <n v="0"/>
    <n v="0"/>
    <n v="0"/>
    <n v="0"/>
    <n v="590491.77533861843"/>
    <n v="0"/>
    <n v="0"/>
    <n v="-590491.77533861843"/>
    <n v="0"/>
    <n v="0"/>
    <n v="0"/>
    <n v="0"/>
    <n v="0"/>
    <n v="0"/>
    <n v="0"/>
    <n v="0"/>
    <n v="0"/>
    <n v="0"/>
  </r>
  <r>
    <x v="24"/>
    <x v="2"/>
    <n v="1"/>
    <n v="0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</r>
  <r>
    <x v="25"/>
    <x v="10"/>
    <n v="0"/>
    <n v="0"/>
    <x v="1"/>
    <s v="Vestdanmark"/>
    <n v="1620993.8653666629"/>
    <n v="1478350.7282518283"/>
    <n v="0"/>
    <n v="0"/>
    <n v="0"/>
    <n v="0"/>
    <n v="0"/>
    <n v="0"/>
    <n v="142643.13711483451"/>
    <n v="0"/>
    <n v="0"/>
    <n v="0"/>
    <n v="0"/>
    <n v="0"/>
    <n v="0"/>
    <n v="0"/>
    <n v="0"/>
    <n v="0"/>
    <n v="0"/>
  </r>
  <r>
    <x v="26"/>
    <x v="4"/>
    <n v="1"/>
    <n v="1"/>
    <x v="1"/>
    <s v="Vestdanmark"/>
    <n v="7810797.3149183672"/>
    <n v="5517603.3385994658"/>
    <n v="0"/>
    <n v="0"/>
    <n v="0"/>
    <n v="0"/>
    <n v="0"/>
    <n v="0"/>
    <n v="2293193.9763189014"/>
    <n v="2001163.0190917293"/>
    <n v="0"/>
    <n v="7.1841752385393089"/>
    <n v="7.1841752385393089"/>
    <n v="0"/>
    <n v="7.1841752385393089"/>
    <n v="600348.90572751872"/>
    <n v="600348.90572751872"/>
    <n v="0"/>
    <n v="600348.90572751872"/>
  </r>
  <r>
    <x v="27"/>
    <x v="10"/>
    <n v="0"/>
    <n v="1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</r>
  <r>
    <x v="29"/>
    <x v="10"/>
    <n v="0"/>
    <n v="1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n v="1"/>
    <x v="1"/>
    <s v="Vestdanmark"/>
    <n v="1644241.434656535"/>
    <n v="0"/>
    <n v="0"/>
    <n v="0"/>
    <n v="0"/>
    <n v="0"/>
    <n v="0"/>
    <n v="0"/>
    <n v="1644241.434656535"/>
    <n v="0"/>
    <n v="0"/>
    <n v="0"/>
    <n v="0"/>
    <n v="0"/>
    <n v="0"/>
    <n v="0"/>
    <n v="0"/>
    <n v="0"/>
    <n v="0"/>
  </r>
  <r>
    <x v="31"/>
    <x v="7"/>
    <n v="1"/>
    <n v="0"/>
    <x v="1"/>
    <s v="Vestdanmark"/>
    <n v="170203.15251490066"/>
    <n v="0"/>
    <n v="0"/>
    <n v="0"/>
    <n v="0"/>
    <n v="0"/>
    <n v="170203.15251490066"/>
    <n v="0"/>
    <n v="0"/>
    <n v="0"/>
    <n v="170203.15251490066"/>
    <n v="0"/>
    <n v="3.1317380062741718"/>
    <n v="0"/>
    <n v="3.1317380062741718"/>
    <n v="0"/>
    <n v="70634.308293683775"/>
    <n v="0"/>
    <n v="70634.308293683775"/>
  </r>
  <r>
    <x v="32"/>
    <x v="8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n v="0"/>
    <x v="1"/>
    <s v="Vestdanmark"/>
    <n v="497134.76694638823"/>
    <n v="0"/>
    <n v="0"/>
    <n v="0"/>
    <n v="0"/>
    <n v="0"/>
    <n v="0"/>
    <n v="497134.76694638823"/>
    <n v="0"/>
    <n v="0"/>
    <n v="0"/>
    <n v="0"/>
    <n v="0"/>
    <n v="0"/>
    <n v="0"/>
    <n v="0"/>
    <n v="0"/>
    <n v="0"/>
    <n v="0"/>
  </r>
  <r>
    <x v="36"/>
    <x v="10"/>
    <n v="0"/>
    <n v="0"/>
    <x v="1"/>
    <s v="Vestdanmark"/>
    <n v="248567.38347319412"/>
    <n v="208821.40901429488"/>
    <n v="0"/>
    <n v="0"/>
    <n v="0"/>
    <n v="0"/>
    <n v="0"/>
    <n v="0"/>
    <n v="39745.974458899233"/>
    <n v="0"/>
    <n v="0"/>
    <n v="0"/>
    <n v="0"/>
    <n v="0"/>
    <n v="0"/>
    <n v="0"/>
    <n v="0"/>
    <n v="0"/>
    <n v="0"/>
  </r>
  <r>
    <x v="37"/>
    <x v="9"/>
    <n v="1"/>
    <n v="1"/>
    <x v="1"/>
    <s v="Vestdanmark"/>
    <n v="159083.12542284423"/>
    <n v="0"/>
    <n v="0"/>
    <n v="0"/>
    <n v="0"/>
    <n v="0"/>
    <n v="159083.12542284423"/>
    <n v="0"/>
    <n v="0"/>
    <n v="0"/>
    <n v="159083.12542284423"/>
    <n v="0"/>
    <n v="5.5679093897995475"/>
    <n v="0"/>
    <n v="5.5679093897995475"/>
    <n v="0"/>
    <n v="0"/>
    <n v="0"/>
    <n v="0"/>
  </r>
  <r>
    <x v="38"/>
    <x v="4"/>
    <n v="1"/>
    <n v="1"/>
    <x v="1"/>
    <s v="Vestdanmark"/>
    <n v="387359.23061650008"/>
    <n v="820432.23039507493"/>
    <n v="0"/>
    <n v="0"/>
    <n v="0"/>
    <n v="0"/>
    <n v="0"/>
    <n v="0"/>
    <n v="-433072.99977857486"/>
    <n v="0"/>
    <n v="0"/>
    <n v="0"/>
    <n v="0"/>
    <n v="0"/>
    <n v="0"/>
    <n v="0"/>
    <n v="0"/>
    <n v="0"/>
    <n v="0"/>
  </r>
  <r>
    <x v="39"/>
    <x v="10"/>
    <n v="0"/>
    <n v="0"/>
    <x v="1"/>
    <s v="Vestdanmark"/>
    <n v="186820.23082427966"/>
    <n v="0"/>
    <n v="0"/>
    <n v="0"/>
    <n v="0"/>
    <n v="0"/>
    <n v="0"/>
    <n v="0"/>
    <n v="186820.23082427966"/>
    <n v="0"/>
    <n v="0"/>
    <n v="0"/>
    <n v="0"/>
    <n v="0"/>
    <n v="0"/>
    <n v="0"/>
    <n v="0"/>
    <n v="0"/>
    <n v="0"/>
  </r>
  <r>
    <x v="40"/>
    <x v="10"/>
    <n v="0"/>
    <n v="0"/>
    <x v="1"/>
    <s v="Vestdanmark"/>
    <n v="125332.48409482336"/>
    <n v="38444.108772506181"/>
    <n v="0"/>
    <n v="0"/>
    <n v="0"/>
    <n v="0"/>
    <n v="0"/>
    <n v="0"/>
    <n v="86888.375322317181"/>
    <n v="0"/>
    <n v="0"/>
    <n v="0"/>
    <n v="0"/>
    <n v="0"/>
    <n v="0"/>
    <n v="0"/>
    <n v="0"/>
    <n v="0"/>
    <n v="0"/>
  </r>
  <r>
    <x v="41"/>
    <x v="1"/>
    <n v="1"/>
    <n v="0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</r>
  <r>
    <x v="42"/>
    <x v="2"/>
    <n v="1"/>
    <n v="0"/>
    <x v="1"/>
    <s v="Vestdanmark"/>
    <n v="14539919.740607873"/>
    <n v="0"/>
    <n v="0"/>
    <n v="0"/>
    <n v="10904939.805455904"/>
    <n v="3634979.9351519686"/>
    <n v="0"/>
    <n v="0"/>
    <n v="0"/>
    <n v="0"/>
    <n v="10904939.805455904"/>
    <n v="0"/>
    <n v="4.697848068190404"/>
    <n v="4.697848068190404"/>
    <n v="0"/>
    <n v="0"/>
    <n v="545246.9902727952"/>
    <n v="545246.9902727952"/>
    <n v="0"/>
  </r>
  <r>
    <x v="43"/>
    <x v="10"/>
    <n v="0"/>
    <n v="1"/>
    <x v="1"/>
    <s v="Vestdanmark"/>
    <n v="1329115.7893830882"/>
    <n v="0"/>
    <n v="0"/>
    <n v="121875.54404868034"/>
    <n v="0"/>
    <n v="0"/>
    <n v="0"/>
    <n v="0"/>
    <n v="1207240.2453344078"/>
    <n v="0"/>
    <n v="0"/>
    <n v="0"/>
    <n v="0"/>
    <n v="0"/>
    <n v="0"/>
    <n v="0"/>
    <n v="0"/>
    <n v="0"/>
    <n v="0"/>
  </r>
  <r>
    <x v="44"/>
    <x v="6"/>
    <n v="1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</r>
  <r>
    <x v="45"/>
    <x v="10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1"/>
    <s v="Vestdanmark"/>
    <n v="2217144.8993992088"/>
    <n v="0"/>
    <n v="0"/>
    <n v="0"/>
    <n v="0"/>
    <n v="0"/>
    <n v="2217144.8993992088"/>
    <n v="0"/>
    <n v="0"/>
    <n v="0"/>
    <n v="2217144.8993992088"/>
    <n v="0"/>
    <n v="32.134342362444997"/>
    <n v="0"/>
    <n v="32.134342362444997"/>
    <n v="0"/>
    <n v="1096562.9148278586"/>
    <n v="0"/>
    <n v="1096562.9148278586"/>
  </r>
  <r>
    <x v="47"/>
    <x v="10"/>
    <n v="0"/>
    <n v="0"/>
    <x v="1"/>
    <s v="Vestdanmark"/>
    <n v="610444.4261939266"/>
    <n v="0"/>
    <n v="0"/>
    <n v="0"/>
    <n v="0"/>
    <n v="0"/>
    <n v="0"/>
    <n v="610444.4261939266"/>
    <n v="0"/>
    <n v="0"/>
    <n v="0"/>
    <n v="0"/>
    <n v="0"/>
    <n v="0"/>
    <n v="0"/>
    <n v="0"/>
    <n v="0"/>
    <n v="0"/>
    <n v="0"/>
  </r>
  <r>
    <x v="0"/>
    <x v="10"/>
    <n v="0"/>
    <n v="1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n v="1"/>
    <x v="2"/>
    <s v="Vestdanmark"/>
    <n v="250215.04217969507"/>
    <n v="60017.752814183521"/>
    <n v="0"/>
    <n v="0"/>
    <n v="0"/>
    <n v="0"/>
    <n v="0"/>
    <n v="0"/>
    <n v="190197.28936551156"/>
    <n v="0"/>
    <n v="0"/>
    <n v="0"/>
    <n v="0"/>
    <n v="0"/>
    <n v="0"/>
    <n v="0"/>
    <n v="0"/>
    <n v="0"/>
    <n v="0"/>
  </r>
  <r>
    <x v="2"/>
    <x v="1"/>
    <n v="1"/>
    <n v="0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</r>
  <r>
    <x v="3"/>
    <x v="10"/>
    <n v="1"/>
    <n v="0"/>
    <x v="2"/>
    <s v="Vestdanmark"/>
    <n v="563663167.57084477"/>
    <n v="0"/>
    <n v="0"/>
    <n v="0"/>
    <n v="0"/>
    <n v="0"/>
    <n v="563663167.57084477"/>
    <n v="0"/>
    <n v="0"/>
    <n v="0"/>
    <n v="563663167.57084477"/>
    <n v="0"/>
    <n v="0"/>
    <n v="0"/>
    <n v="0"/>
    <n v="0"/>
    <n v="0"/>
    <n v="0"/>
    <n v="0"/>
  </r>
  <r>
    <x v="4"/>
    <x v="10"/>
    <n v="0"/>
    <n v="0"/>
    <x v="2"/>
    <s v="Vestdanmark"/>
    <n v="27386289.783254456"/>
    <n v="0"/>
    <n v="0"/>
    <n v="0"/>
    <n v="0"/>
    <n v="21610883.072868608"/>
    <n v="0"/>
    <n v="0"/>
    <n v="5775406.7103858478"/>
    <n v="0"/>
    <n v="0"/>
    <n v="0"/>
    <n v="0"/>
    <n v="0"/>
    <n v="0"/>
    <n v="0"/>
    <n v="0"/>
    <n v="0"/>
    <n v="0"/>
  </r>
  <r>
    <x v="5"/>
    <x v="1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2"/>
    <s v="Vestdanmark"/>
    <n v="2537079.9796545585"/>
    <n v="0"/>
    <n v="0"/>
    <n v="0"/>
    <n v="2283371.9816891025"/>
    <n v="96046.599229779691"/>
    <n v="0"/>
    <n v="0"/>
    <n v="157661.39873567643"/>
    <n v="157661.39873567643"/>
    <n v="2283371.9816891025"/>
    <n v="0.33960265287664704"/>
    <n v="5.2579859014349744"/>
    <n v="4.9183832485583272"/>
    <n v="0.33960265287664715"/>
    <n v="47298.419620702924"/>
    <n v="732310.01412743365"/>
    <n v="685011.59450673067"/>
    <n v="47298.419620702974"/>
  </r>
  <r>
    <x v="7"/>
    <x v="10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</r>
  <r>
    <x v="9"/>
    <x v="10"/>
    <n v="0"/>
    <n v="1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n v="0"/>
    <x v="2"/>
    <s v="Vestdanmark"/>
    <n v="813451.18685438076"/>
    <n v="0"/>
    <n v="0"/>
    <n v="0"/>
    <n v="0"/>
    <n v="0"/>
    <n v="0"/>
    <n v="0"/>
    <n v="813451.18685438076"/>
    <n v="0"/>
    <n v="0"/>
    <n v="0"/>
    <n v="0"/>
    <n v="0"/>
    <n v="0"/>
    <n v="0"/>
    <n v="0"/>
    <n v="0"/>
    <n v="0"/>
  </r>
  <r>
    <x v="11"/>
    <x v="10"/>
    <n v="0"/>
    <n v="1"/>
    <x v="2"/>
    <s v="Vestdanmark"/>
    <n v="24926.840286441191"/>
    <n v="0"/>
    <n v="0"/>
    <n v="267978.92035102146"/>
    <n v="0"/>
    <n v="0"/>
    <n v="0"/>
    <n v="0"/>
    <n v="-243052.08006458025"/>
    <n v="0"/>
    <n v="0"/>
    <n v="0"/>
    <n v="0"/>
    <n v="0"/>
    <n v="0"/>
    <n v="0"/>
    <n v="0"/>
    <n v="0"/>
    <n v="0"/>
  </r>
  <r>
    <x v="12"/>
    <x v="3"/>
    <n v="1"/>
    <n v="0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n v="0"/>
    <x v="2"/>
    <s v="Vestdanmark"/>
    <n v="13682245.34995167"/>
    <n v="11387535.016591122"/>
    <n v="0"/>
    <n v="0"/>
    <n v="0"/>
    <n v="0"/>
    <n v="0"/>
    <n v="0"/>
    <n v="2294710.3333605472"/>
    <n v="2294710.3333605472"/>
    <n v="0"/>
    <n v="4.2219801745917369"/>
    <n v="4.2219801745917369"/>
    <n v="0"/>
    <n v="4.2219801745917369"/>
    <n v="642518.89334095328"/>
    <n v="642518.89334095328"/>
    <n v="0"/>
    <n v="642518.89334095328"/>
  </r>
  <r>
    <x v="14"/>
    <x v="10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2"/>
    <s v="Vestdanmark"/>
    <n v="182765.86123576926"/>
    <n v="0"/>
    <n v="0"/>
    <n v="280672.65868343826"/>
    <n v="0"/>
    <n v="0"/>
    <n v="0"/>
    <n v="0"/>
    <n v="-97906.797447669"/>
    <n v="0"/>
    <n v="0"/>
    <n v="0"/>
    <n v="0"/>
    <n v="0"/>
    <n v="0"/>
    <n v="0"/>
    <n v="0"/>
    <n v="0"/>
    <n v="0"/>
  </r>
  <r>
    <x v="16"/>
    <x v="5"/>
    <n v="1"/>
    <n v="0"/>
    <x v="2"/>
    <s v="Vestdanmark"/>
    <n v="3995324.8119856864"/>
    <n v="719379.45387000521"/>
    <n v="654302.91213284992"/>
    <n v="0"/>
    <n v="0"/>
    <n v="0"/>
    <n v="2621642.4459828315"/>
    <n v="0"/>
    <n v="0"/>
    <n v="0"/>
    <n v="2621642.4459828315"/>
    <n v="0"/>
    <n v="27.096788612133071"/>
    <n v="0"/>
    <n v="27.096788612133071"/>
    <n v="0"/>
    <n v="2228396.0790854068"/>
    <n v="0"/>
    <n v="2228396.0790854068"/>
  </r>
  <r>
    <x v="17"/>
    <x v="1"/>
    <n v="1"/>
    <n v="0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</r>
  <r>
    <x v="18"/>
    <x v="10"/>
    <n v="0"/>
    <n v="1"/>
    <x v="2"/>
    <s v="Vestdanmark"/>
    <n v="0"/>
    <n v="4492995.6620617937"/>
    <n v="0"/>
    <n v="0"/>
    <n v="0"/>
    <n v="0"/>
    <n v="0"/>
    <n v="0"/>
    <n v="-4492995.6620617937"/>
    <n v="0"/>
    <n v="0"/>
    <n v="0"/>
    <n v="0"/>
    <n v="0"/>
    <n v="0"/>
    <n v="0"/>
    <n v="0"/>
    <n v="0"/>
    <n v="0"/>
  </r>
  <r>
    <x v="19"/>
    <x v="1"/>
    <n v="1"/>
    <n v="0"/>
    <x v="2"/>
    <s v="Vestdanmark"/>
    <n v="500298.07400383818"/>
    <n v="0"/>
    <n v="0"/>
    <n v="0"/>
    <n v="0"/>
    <n v="0"/>
    <n v="0"/>
    <n v="0"/>
    <n v="500298.07400383818"/>
    <n v="500298.07400383818"/>
    <n v="0"/>
    <n v="2.1678565934082514"/>
    <n v="2.1678565934082514"/>
    <n v="0"/>
    <n v="2.1678565934082514"/>
    <n v="210125.19108161202"/>
    <n v="210125.19108161202"/>
    <n v="0"/>
    <n v="210125.19108161202"/>
  </r>
  <r>
    <x v="20"/>
    <x v="10"/>
    <n v="0"/>
    <n v="0"/>
    <x v="2"/>
    <s v="Vestdanmark"/>
    <n v="736287.78133601486"/>
    <n v="0"/>
    <n v="0"/>
    <n v="0"/>
    <n v="0"/>
    <n v="0"/>
    <n v="0"/>
    <n v="0"/>
    <n v="736287.78133601486"/>
    <n v="0"/>
    <n v="0"/>
    <n v="0"/>
    <n v="0"/>
    <n v="0"/>
    <n v="0"/>
    <n v="0"/>
    <n v="0"/>
    <n v="0"/>
    <n v="0"/>
  </r>
  <r>
    <x v="21"/>
    <x v="10"/>
    <n v="0"/>
    <n v="1"/>
    <x v="2"/>
    <s v="Vestdanmark"/>
    <n v="2034058.7589381256"/>
    <n v="0"/>
    <n v="0"/>
    <n v="128347.79869443661"/>
    <n v="0"/>
    <n v="0"/>
    <n v="0"/>
    <n v="0"/>
    <n v="1905710.9602436889"/>
    <n v="0"/>
    <n v="0"/>
    <n v="0"/>
    <n v="0"/>
    <n v="0"/>
    <n v="0"/>
    <n v="0"/>
    <n v="0"/>
    <n v="0"/>
    <n v="0"/>
  </r>
  <r>
    <x v="22"/>
    <x v="5"/>
    <n v="1"/>
    <n v="1"/>
    <x v="2"/>
    <s v="Vestdanmark"/>
    <n v="6657445.6000957079"/>
    <n v="5470784.8849928668"/>
    <n v="0"/>
    <n v="307470.55071854044"/>
    <n v="0"/>
    <n v="0"/>
    <n v="0"/>
    <n v="0"/>
    <n v="879190.16438430082"/>
    <n v="879190.16438430082"/>
    <n v="0"/>
    <n v="3.0111032263932169"/>
    <n v="3.0111032263932169"/>
    <n v="0"/>
    <n v="3.0111032263932169"/>
    <n v="272548.95095913328"/>
    <n v="272548.95095913328"/>
    <n v="0"/>
    <n v="272548.95095913328"/>
  </r>
  <r>
    <x v="23"/>
    <x v="10"/>
    <n v="0"/>
    <n v="0"/>
    <x v="2"/>
    <s v="Vestdanmark"/>
    <n v="0"/>
    <n v="0"/>
    <n v="0"/>
    <n v="0"/>
    <n v="0"/>
    <n v="475615.83979339601"/>
    <n v="0"/>
    <n v="0"/>
    <n v="-475615.83979339601"/>
    <n v="0"/>
    <n v="0"/>
    <n v="0"/>
    <n v="0"/>
    <n v="0"/>
    <n v="0"/>
    <n v="0"/>
    <n v="0"/>
    <n v="0"/>
    <n v="0"/>
  </r>
  <r>
    <x v="24"/>
    <x v="2"/>
    <n v="1"/>
    <n v="0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</r>
  <r>
    <x v="25"/>
    <x v="10"/>
    <n v="0"/>
    <n v="0"/>
    <x v="2"/>
    <s v="Vestdanmark"/>
    <n v="1590883.4700780637"/>
    <n v="1410417.1911333126"/>
    <n v="0"/>
    <n v="0"/>
    <n v="0"/>
    <n v="0"/>
    <n v="0"/>
    <n v="0"/>
    <n v="180466.27894475101"/>
    <n v="0"/>
    <n v="0"/>
    <n v="0"/>
    <n v="0"/>
    <n v="0"/>
    <n v="0"/>
    <n v="0"/>
    <n v="0"/>
    <n v="0"/>
    <n v="0"/>
  </r>
  <r>
    <x v="26"/>
    <x v="4"/>
    <n v="1"/>
    <n v="1"/>
    <x v="2"/>
    <s v="Vestdanmark"/>
    <n v="7480186.4136029035"/>
    <n v="5264057.0697440123"/>
    <n v="0"/>
    <n v="0"/>
    <n v="0"/>
    <n v="0"/>
    <n v="0"/>
    <n v="0"/>
    <n v="2216129.3438588912"/>
    <n v="1964071.9525106091"/>
    <n v="0"/>
    <n v="7.0510183095130872"/>
    <n v="7.0510183095130872"/>
    <n v="0"/>
    <n v="7.0510183095130872"/>
    <n v="589221.58575318265"/>
    <n v="589221.58575318265"/>
    <n v="0"/>
    <n v="589221.58575318265"/>
  </r>
  <r>
    <x v="27"/>
    <x v="10"/>
    <n v="0"/>
    <n v="1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</r>
  <r>
    <x v="29"/>
    <x v="10"/>
    <n v="0"/>
    <n v="1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n v="1"/>
    <x v="2"/>
    <s v="Vestdanmark"/>
    <n v="1547190.8284741363"/>
    <n v="0"/>
    <n v="0"/>
    <n v="0"/>
    <n v="0"/>
    <n v="0"/>
    <n v="0"/>
    <n v="0"/>
    <n v="1547190.8284741363"/>
    <n v="0"/>
    <n v="0"/>
    <n v="0"/>
    <n v="0"/>
    <n v="0"/>
    <n v="0"/>
    <n v="0"/>
    <n v="0"/>
    <n v="0"/>
    <n v="0"/>
  </r>
  <r>
    <x v="31"/>
    <x v="7"/>
    <n v="1"/>
    <n v="0"/>
    <x v="2"/>
    <s v="Vestdanmark"/>
    <n v="146472.78733520172"/>
    <n v="0"/>
    <n v="0"/>
    <n v="0"/>
    <n v="0"/>
    <n v="0"/>
    <n v="146472.78733520172"/>
    <n v="0"/>
    <n v="0"/>
    <n v="0"/>
    <n v="146472.78733520172"/>
    <n v="0"/>
    <n v="2.6950992869677113"/>
    <n v="0"/>
    <n v="2.6950992869677113"/>
    <n v="0"/>
    <n v="60786.20674410872"/>
    <n v="0"/>
    <n v="60786.20674410872"/>
  </r>
  <r>
    <x v="32"/>
    <x v="8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n v="0"/>
    <x v="2"/>
    <s v="Vestdanmark"/>
    <n v="471962.43365815014"/>
    <n v="0"/>
    <n v="0"/>
    <n v="0"/>
    <n v="0"/>
    <n v="0"/>
    <n v="0"/>
    <n v="471962.43365815014"/>
    <n v="0"/>
    <n v="0"/>
    <n v="0"/>
    <n v="0"/>
    <n v="0"/>
    <n v="0"/>
    <n v="0"/>
    <n v="0"/>
    <n v="0"/>
    <n v="0"/>
    <n v="0"/>
  </r>
  <r>
    <x v="36"/>
    <x v="10"/>
    <n v="0"/>
    <n v="0"/>
    <x v="2"/>
    <s v="Vestdanmark"/>
    <n v="235981.21682907507"/>
    <n v="199225.59614708141"/>
    <n v="0"/>
    <n v="0"/>
    <n v="0"/>
    <n v="0"/>
    <n v="0"/>
    <n v="0"/>
    <n v="36755.620681993663"/>
    <n v="0"/>
    <n v="0"/>
    <n v="0"/>
    <n v="0"/>
    <n v="0"/>
    <n v="0"/>
    <n v="0"/>
    <n v="0"/>
    <n v="0"/>
    <n v="0"/>
  </r>
  <r>
    <x v="37"/>
    <x v="9"/>
    <n v="1"/>
    <n v="1"/>
    <x v="2"/>
    <s v="Vestdanmark"/>
    <n v="151027.97877060805"/>
    <n v="0"/>
    <n v="0"/>
    <n v="0"/>
    <n v="0"/>
    <n v="0"/>
    <n v="151027.97877060805"/>
    <n v="0"/>
    <n v="0"/>
    <n v="0"/>
    <n v="151027.97877060805"/>
    <n v="0"/>
    <n v="5.2859792569712818"/>
    <n v="0"/>
    <n v="5.2859792569712818"/>
    <n v="0"/>
    <n v="0"/>
    <n v="0"/>
    <n v="0"/>
  </r>
  <r>
    <x v="38"/>
    <x v="4"/>
    <n v="1"/>
    <n v="1"/>
    <x v="2"/>
    <s v="Vestdanmark"/>
    <n v="370630.07456563454"/>
    <n v="782731.52628497675"/>
    <n v="0"/>
    <n v="0"/>
    <n v="0"/>
    <n v="0"/>
    <n v="0"/>
    <n v="0"/>
    <n v="-412101.45171934221"/>
    <n v="0"/>
    <n v="0"/>
    <n v="0"/>
    <n v="0"/>
    <n v="0"/>
    <n v="0"/>
    <n v="0"/>
    <n v="0"/>
    <n v="0"/>
    <n v="0"/>
  </r>
  <r>
    <x v="39"/>
    <x v="10"/>
    <n v="0"/>
    <n v="0"/>
    <x v="2"/>
    <s v="Vestdanmark"/>
    <n v="173774.13679266855"/>
    <n v="0"/>
    <n v="0"/>
    <n v="0"/>
    <n v="0"/>
    <n v="0"/>
    <n v="0"/>
    <n v="0"/>
    <n v="173774.13679266855"/>
    <n v="0"/>
    <n v="0"/>
    <n v="0"/>
    <n v="0"/>
    <n v="0"/>
    <n v="0"/>
    <n v="0"/>
    <n v="0"/>
    <n v="0"/>
    <n v="0"/>
  </r>
  <r>
    <x v="40"/>
    <x v="10"/>
    <n v="0"/>
    <n v="0"/>
    <x v="2"/>
    <s v="Vestdanmark"/>
    <n v="114148.26729349417"/>
    <n v="36677.515608667709"/>
    <n v="0"/>
    <n v="0"/>
    <n v="0"/>
    <n v="0"/>
    <n v="0"/>
    <n v="0"/>
    <n v="77470.751684826449"/>
    <n v="0"/>
    <n v="0"/>
    <n v="0"/>
    <n v="0"/>
    <n v="0"/>
    <n v="0"/>
    <n v="0"/>
    <n v="0"/>
    <n v="0"/>
    <n v="0"/>
  </r>
  <r>
    <x v="41"/>
    <x v="1"/>
    <n v="1"/>
    <n v="0"/>
    <x v="2"/>
    <s v="Vestdanmark"/>
    <n v="4121832.5977837904"/>
    <n v="0"/>
    <n v="0"/>
    <n v="0"/>
    <n v="3709649.3380054114"/>
    <n v="0"/>
    <n v="0"/>
    <n v="0"/>
    <n v="412183.259778379"/>
    <n v="412183.259778379"/>
    <n v="3709649.3380054114"/>
    <n v="0.20568356846200894"/>
    <n v="2.0568356846200895"/>
    <n v="1.8511521161580806"/>
    <n v="0.20568356846200886"/>
    <n v="24730.995586702738"/>
    <n v="247309.95586702743"/>
    <n v="222578.96028032468"/>
    <n v="24730.995586702746"/>
  </r>
  <r>
    <x v="42"/>
    <x v="2"/>
    <n v="1"/>
    <n v="0"/>
    <x v="2"/>
    <s v="Vestdanmark"/>
    <n v="12989062.590821607"/>
    <n v="0"/>
    <n v="0"/>
    <n v="0"/>
    <n v="11690156.331739446"/>
    <n v="1298906.2590821604"/>
    <n v="0"/>
    <n v="0"/>
    <n v="0"/>
    <n v="0"/>
    <n v="11690156.331739446"/>
    <n v="0"/>
    <n v="5.0361193477133543"/>
    <n v="5.0361193477133543"/>
    <n v="0"/>
    <n v="0"/>
    <n v="584507.81658697233"/>
    <n v="584507.81658697233"/>
    <n v="0"/>
  </r>
  <r>
    <x v="43"/>
    <x v="10"/>
    <n v="0"/>
    <n v="1"/>
    <x v="2"/>
    <s v="Vestdanmark"/>
    <n v="1206135.7873952007"/>
    <n v="0"/>
    <n v="0"/>
    <n v="126627.09194270898"/>
    <n v="0"/>
    <n v="0"/>
    <n v="0"/>
    <n v="0"/>
    <n v="1079508.6954524918"/>
    <n v="0"/>
    <n v="0"/>
    <n v="0"/>
    <n v="0"/>
    <n v="0"/>
    <n v="0"/>
    <n v="0"/>
    <n v="0"/>
    <n v="0"/>
    <n v="0"/>
  </r>
  <r>
    <x v="44"/>
    <x v="6"/>
    <n v="1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</r>
  <r>
    <x v="45"/>
    <x v="10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2"/>
    <s v="Vestdanmark"/>
    <n v="2287577.6202536402"/>
    <n v="0"/>
    <n v="0"/>
    <n v="0"/>
    <n v="0"/>
    <n v="0"/>
    <n v="2287577.6202536402"/>
    <n v="0"/>
    <n v="0"/>
    <n v="0"/>
    <n v="2287577.6202536402"/>
    <n v="0"/>
    <n v="33.155163855017776"/>
    <n v="0"/>
    <n v="33.155163855017776"/>
    <n v="0"/>
    <n v="1131397.7646837796"/>
    <n v="0"/>
    <n v="1131397.7646837796"/>
  </r>
  <r>
    <x v="47"/>
    <x v="10"/>
    <n v="0"/>
    <n v="0"/>
    <x v="2"/>
    <s v="Vestdanmark"/>
    <n v="659548.66396073136"/>
    <n v="0"/>
    <n v="0"/>
    <n v="0"/>
    <n v="0"/>
    <n v="0"/>
    <n v="0"/>
    <n v="659548.66396073136"/>
    <n v="0"/>
    <n v="0"/>
    <n v="0"/>
    <n v="0"/>
    <n v="0"/>
    <n v="0"/>
    <n v="0"/>
    <n v="0"/>
    <n v="0"/>
    <n v="0"/>
    <n v="0"/>
  </r>
  <r>
    <x v="0"/>
    <x v="0"/>
    <n v="0"/>
    <n v="1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n v="1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n v="0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n v="0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n v="1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n v="1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</r>
  <r>
    <x v="12"/>
    <x v="3"/>
    <n v="1"/>
    <n v="0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n v="0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</r>
  <r>
    <x v="14"/>
    <x v="0"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n v="1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</r>
  <r>
    <x v="16"/>
    <x v="5"/>
    <n v="1"/>
    <n v="0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</r>
  <r>
    <x v="17"/>
    <x v="1"/>
    <n v="1"/>
    <n v="0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n v="1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n v="0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n v="1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</r>
  <r>
    <x v="22"/>
    <x v="5"/>
    <n v="1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</r>
  <r>
    <x v="23"/>
    <x v="0"/>
    <n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n v="0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</r>
  <r>
    <x v="27"/>
    <x v="0"/>
    <n v="0"/>
    <n v="1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n v="1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n v="1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n v="0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</r>
  <r>
    <x v="39"/>
    <x v="0"/>
    <n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n v="0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n v="0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n v="1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</r>
  <r>
    <x v="47"/>
    <x v="0"/>
    <n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</r>
  <r>
    <x v="0"/>
    <x v="10"/>
    <n v="0"/>
    <n v="1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n v="1"/>
    <x v="1"/>
    <s v="Østdanmark"/>
    <n v="28047.573536439377"/>
    <n v="7686.2399260183547"/>
    <n v="0"/>
    <n v="0"/>
    <n v="0"/>
    <n v="0"/>
    <n v="0"/>
    <n v="0"/>
    <n v="20361.333610421021"/>
    <n v="0"/>
    <n v="0"/>
    <n v="0"/>
    <n v="0"/>
    <n v="0"/>
    <n v="0"/>
    <n v="0"/>
    <n v="0"/>
    <n v="0"/>
    <n v="0"/>
  </r>
  <r>
    <x v="2"/>
    <x v="1"/>
    <n v="1"/>
    <n v="0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</r>
  <r>
    <x v="3"/>
    <x v="10"/>
    <n v="1"/>
    <n v="0"/>
    <x v="1"/>
    <s v="Østdanmark"/>
    <n v="107723774.7744855"/>
    <n v="0"/>
    <n v="0"/>
    <n v="0"/>
    <n v="0"/>
    <n v="0"/>
    <n v="107723774.7744855"/>
    <n v="0"/>
    <n v="0"/>
    <n v="0"/>
    <n v="107723774.7744855"/>
    <n v="0"/>
    <n v="0"/>
    <n v="0"/>
    <n v="0"/>
    <n v="0"/>
    <n v="0"/>
    <n v="0"/>
    <n v="0"/>
  </r>
  <r>
    <x v="4"/>
    <x v="10"/>
    <n v="0"/>
    <n v="0"/>
    <x v="1"/>
    <s v="Østdanmark"/>
    <n v="4979961.0474174749"/>
    <n v="0"/>
    <n v="0"/>
    <n v="0"/>
    <n v="0"/>
    <n v="4017892.007010099"/>
    <n v="0"/>
    <n v="0"/>
    <n v="962069.0404073759"/>
    <n v="0"/>
    <n v="0"/>
    <n v="0"/>
    <n v="0"/>
    <n v="0"/>
    <n v="0"/>
    <n v="0"/>
    <n v="0"/>
    <n v="0"/>
    <n v="0"/>
  </r>
  <r>
    <x v="5"/>
    <x v="1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1"/>
    <s v="Østdanmark"/>
    <n v="346377.64489394147"/>
    <n v="0"/>
    <n v="0"/>
    <n v="0"/>
    <n v="259783.2336704561"/>
    <n v="32782.169963176602"/>
    <n v="0"/>
    <n v="0"/>
    <n v="53812.241260308772"/>
    <n v="53812.241260308772"/>
    <n v="259783.2336704561"/>
    <n v="0.1159115676747051"/>
    <n v="0.67548465300086757"/>
    <n v="0.55957308532616246"/>
    <n v="0.11591156767470512"/>
    <n v="16143.672378092631"/>
    <n v="94078.642479229457"/>
    <n v="77934.970101136831"/>
    <n v="16143.672378092626"/>
  </r>
  <r>
    <x v="7"/>
    <x v="10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</r>
  <r>
    <x v="9"/>
    <x v="10"/>
    <n v="0"/>
    <n v="1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n v="0"/>
    <x v="1"/>
    <s v="Østdanmark"/>
    <n v="639925.05348634056"/>
    <n v="0"/>
    <n v="0"/>
    <n v="0"/>
    <n v="0"/>
    <n v="0"/>
    <n v="0"/>
    <n v="0"/>
    <n v="639925.05348634056"/>
    <n v="0"/>
    <n v="0"/>
    <n v="0"/>
    <n v="0"/>
    <n v="0"/>
    <n v="0"/>
    <n v="0"/>
    <n v="0"/>
    <n v="0"/>
    <n v="0"/>
  </r>
  <r>
    <x v="11"/>
    <x v="10"/>
    <n v="0"/>
    <n v="1"/>
    <x v="1"/>
    <s v="Østdanmark"/>
    <n v="16391.280898066685"/>
    <n v="0"/>
    <n v="0"/>
    <n v="223323.94265330929"/>
    <n v="0"/>
    <n v="0"/>
    <n v="0"/>
    <n v="0"/>
    <n v="-206932.66175524262"/>
    <n v="0"/>
    <n v="0"/>
    <n v="0"/>
    <n v="0"/>
    <n v="0"/>
    <n v="0"/>
    <n v="0"/>
    <n v="0"/>
    <n v="0"/>
    <n v="0"/>
  </r>
  <r>
    <x v="12"/>
    <x v="3"/>
    <n v="1"/>
    <n v="0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n v="0"/>
    <x v="1"/>
    <s v="Østdanmark"/>
    <n v="2198776.4550645952"/>
    <n v="1458357.2726296766"/>
    <n v="0"/>
    <n v="0"/>
    <n v="0"/>
    <n v="0"/>
    <n v="0"/>
    <n v="0"/>
    <n v="740419.18243491859"/>
    <n v="740419.18243491859"/>
    <n v="0"/>
    <n v="1.3622787432824459"/>
    <n v="1.3622787432824459"/>
    <n v="0"/>
    <n v="1.3622787432824459"/>
    <n v="207317.37108177724"/>
    <n v="207317.37108177724"/>
    <n v="0"/>
    <n v="207317.37108177724"/>
  </r>
  <r>
    <x v="14"/>
    <x v="10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1"/>
    <s v="Østdanmark"/>
    <n v="99364.334403430083"/>
    <n v="0"/>
    <n v="0"/>
    <n v="233902.44520004498"/>
    <n v="0"/>
    <n v="0"/>
    <n v="0"/>
    <n v="0"/>
    <n v="-134538.1107966149"/>
    <n v="0"/>
    <n v="0"/>
    <n v="0"/>
    <n v="0"/>
    <n v="0"/>
    <n v="0"/>
    <n v="0"/>
    <n v="0"/>
    <n v="0"/>
    <n v="0"/>
  </r>
  <r>
    <x v="16"/>
    <x v="5"/>
    <n v="1"/>
    <n v="0"/>
    <x v="1"/>
    <s v="Østdanmark"/>
    <n v="1338955.2191121718"/>
    <n v="92128.125779914451"/>
    <n v="99919.118195708812"/>
    <n v="0"/>
    <n v="0"/>
    <n v="0"/>
    <n v="1146907.9751365485"/>
    <n v="0"/>
    <n v="0"/>
    <n v="0"/>
    <n v="1146907.9751365485"/>
    <n v="0"/>
    <n v="11.854218719820096"/>
    <n v="0"/>
    <n v="11.854218719820096"/>
    <n v="0"/>
    <n v="974871.77886606625"/>
    <n v="0"/>
    <n v="974871.77886606625"/>
  </r>
  <r>
    <x v="17"/>
    <x v="1"/>
    <n v="1"/>
    <n v="0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</r>
  <r>
    <x v="18"/>
    <x v="10"/>
    <n v="0"/>
    <n v="1"/>
    <x v="1"/>
    <s v="Østdanmark"/>
    <n v="0"/>
    <n v="575400.46112831845"/>
    <n v="0"/>
    <n v="0"/>
    <n v="0"/>
    <n v="0"/>
    <n v="0"/>
    <n v="0"/>
    <n v="-575400.46112831845"/>
    <n v="0"/>
    <n v="0"/>
    <n v="0"/>
    <n v="0"/>
    <n v="0"/>
    <n v="0"/>
    <n v="0"/>
    <n v="0"/>
    <n v="0"/>
    <n v="0"/>
  </r>
  <r>
    <x v="19"/>
    <x v="1"/>
    <n v="1"/>
    <n v="0"/>
    <x v="1"/>
    <s v="Østdanmark"/>
    <n v="201909.85062896684"/>
    <n v="0"/>
    <n v="0"/>
    <n v="0"/>
    <n v="0"/>
    <n v="0"/>
    <n v="0"/>
    <n v="0"/>
    <n v="201909.85062896684"/>
    <n v="201909.85062896684"/>
    <n v="0"/>
    <n v="0.87490163105589525"/>
    <n v="0.87490163105589525"/>
    <n v="0"/>
    <n v="0.87490163105589525"/>
    <n v="84802.137264166071"/>
    <n v="84802.137264166071"/>
    <n v="0"/>
    <n v="84802.137264166071"/>
  </r>
  <r>
    <x v="20"/>
    <x v="10"/>
    <n v="0"/>
    <n v="0"/>
    <x v="1"/>
    <s v="Østdanmark"/>
    <n v="151266.45400737421"/>
    <n v="0"/>
    <n v="0"/>
    <n v="0"/>
    <n v="0"/>
    <n v="0"/>
    <n v="0"/>
    <n v="0"/>
    <n v="151266.45400737421"/>
    <n v="0"/>
    <n v="0"/>
    <n v="0"/>
    <n v="0"/>
    <n v="0"/>
    <n v="0"/>
    <n v="0"/>
    <n v="0"/>
    <n v="0"/>
    <n v="0"/>
  </r>
  <r>
    <x v="21"/>
    <x v="10"/>
    <n v="0"/>
    <n v="1"/>
    <x v="1"/>
    <s v="Østdanmark"/>
    <n v="120819.30729817749"/>
    <n v="0"/>
    <n v="0"/>
    <n v="106960.41463921656"/>
    <n v="0"/>
    <n v="0"/>
    <n v="0"/>
    <n v="0"/>
    <n v="13858.892658960933"/>
    <n v="0"/>
    <n v="0"/>
    <n v="0"/>
    <n v="0"/>
    <n v="0"/>
    <n v="0"/>
    <n v="0"/>
    <n v="0"/>
    <n v="0"/>
    <n v="0"/>
  </r>
  <r>
    <x v="22"/>
    <x v="5"/>
    <n v="1"/>
    <n v="1"/>
    <x v="1"/>
    <s v="Østdanmark"/>
    <n v="2364100.9929543477"/>
    <n v="700622.1199230341"/>
    <n v="0"/>
    <n v="256234.83946537593"/>
    <n v="0"/>
    <n v="0"/>
    <n v="0"/>
    <n v="0"/>
    <n v="1407244.0335659378"/>
    <n v="1407244.0335659378"/>
    <n v="0"/>
    <n v="4.8196138007986384"/>
    <n v="4.8196138007986384"/>
    <n v="0"/>
    <n v="4.8196138007986384"/>
    <n v="436245.65040544071"/>
    <n v="436245.65040544071"/>
    <n v="0"/>
    <n v="436245.65040544071"/>
  </r>
  <r>
    <x v="23"/>
    <x v="10"/>
    <n v="0"/>
    <n v="0"/>
    <x v="1"/>
    <s v="Østdanmark"/>
    <n v="0"/>
    <n v="0"/>
    <n v="0"/>
    <n v="0"/>
    <n v="0"/>
    <n v="335173.45257844625"/>
    <n v="0"/>
    <n v="0"/>
    <n v="-335173.45257844625"/>
    <n v="0"/>
    <n v="0"/>
    <n v="0"/>
    <n v="0"/>
    <n v="0"/>
    <n v="0"/>
    <n v="0"/>
    <n v="0"/>
    <n v="0"/>
    <n v="0"/>
  </r>
  <r>
    <x v="24"/>
    <x v="2"/>
    <n v="1"/>
    <n v="0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</r>
  <r>
    <x v="25"/>
    <x v="10"/>
    <n v="0"/>
    <n v="0"/>
    <x v="1"/>
    <s v="Østdanmark"/>
    <n v="115210.53389359287"/>
    <n v="180626.6382614313"/>
    <n v="0"/>
    <n v="0"/>
    <n v="0"/>
    <n v="0"/>
    <n v="0"/>
    <n v="0"/>
    <n v="-65416.10436783843"/>
    <n v="0"/>
    <n v="0"/>
    <n v="0"/>
    <n v="0"/>
    <n v="0"/>
    <n v="0"/>
    <n v="0"/>
    <n v="0"/>
    <n v="0"/>
    <n v="0"/>
  </r>
  <r>
    <x v="26"/>
    <x v="4"/>
    <n v="1"/>
    <n v="1"/>
    <x v="1"/>
    <s v="Østdanmark"/>
    <n v="382116.33628402097"/>
    <n v="674147.29351119313"/>
    <n v="0"/>
    <n v="0"/>
    <n v="0"/>
    <n v="0"/>
    <n v="0"/>
    <n v="0"/>
    <n v="-292030.95722717216"/>
    <n v="0"/>
    <n v="0"/>
    <n v="0"/>
    <n v="0"/>
    <n v="0"/>
    <n v="0"/>
    <n v="0"/>
    <n v="0"/>
    <n v="0"/>
    <n v="0"/>
  </r>
  <r>
    <x v="27"/>
    <x v="10"/>
    <n v="0"/>
    <n v="1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</r>
  <r>
    <x v="29"/>
    <x v="10"/>
    <n v="0"/>
    <n v="1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n v="1"/>
    <x v="1"/>
    <s v="Østdanmark"/>
    <n v="410761.8079459595"/>
    <n v="0"/>
    <n v="0"/>
    <n v="0"/>
    <n v="0"/>
    <n v="0"/>
    <n v="0"/>
    <n v="0"/>
    <n v="410761.8079459595"/>
    <n v="0"/>
    <n v="0"/>
    <n v="0"/>
    <n v="0"/>
    <n v="0"/>
    <n v="0"/>
    <n v="0"/>
    <n v="0"/>
    <n v="0"/>
    <n v="0"/>
  </r>
  <r>
    <x v="31"/>
    <x v="7"/>
    <n v="1"/>
    <n v="0"/>
    <x v="1"/>
    <s v="Østdanmark"/>
    <n v="39668.631585604686"/>
    <n v="0"/>
    <n v="0"/>
    <n v="0"/>
    <n v="0"/>
    <n v="0"/>
    <n v="39668.631585604686"/>
    <n v="0"/>
    <n v="0"/>
    <n v="0"/>
    <n v="39668.631585604686"/>
    <n v="0"/>
    <n v="0.72990282117512606"/>
    <n v="0"/>
    <n v="0.72990282117512606"/>
    <n v="0"/>
    <n v="16462.482108025946"/>
    <n v="0"/>
    <n v="16462.482108025946"/>
  </r>
  <r>
    <x v="32"/>
    <x v="8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n v="0"/>
    <x v="1"/>
    <s v="Østdanmark"/>
    <n v="200297.62873879672"/>
    <n v="0"/>
    <n v="0"/>
    <n v="0"/>
    <n v="0"/>
    <n v="0"/>
    <n v="0"/>
    <n v="200297.62873879672"/>
    <n v="0"/>
    <n v="0"/>
    <n v="0"/>
    <n v="0"/>
    <n v="0"/>
    <n v="0"/>
    <n v="0"/>
    <n v="0"/>
    <n v="0"/>
    <n v="0"/>
    <n v="0"/>
  </r>
  <r>
    <x v="36"/>
    <x v="10"/>
    <n v="0"/>
    <n v="0"/>
    <x v="1"/>
    <s v="Østdanmark"/>
    <n v="100148.81436939836"/>
    <n v="25514.0464210887"/>
    <n v="0"/>
    <n v="0"/>
    <n v="0"/>
    <n v="0"/>
    <n v="0"/>
    <n v="0"/>
    <n v="74634.767948309658"/>
    <n v="0"/>
    <n v="0"/>
    <n v="0"/>
    <n v="0"/>
    <n v="0"/>
    <n v="0"/>
    <n v="0"/>
    <n v="0"/>
    <n v="0"/>
    <n v="0"/>
  </r>
  <r>
    <x v="37"/>
    <x v="9"/>
    <n v="1"/>
    <n v="1"/>
    <x v="1"/>
    <s v="Østdanmark"/>
    <n v="64095.241196414951"/>
    <n v="0"/>
    <n v="0"/>
    <n v="0"/>
    <n v="0"/>
    <n v="0"/>
    <n v="64095.241196414951"/>
    <n v="0"/>
    <n v="0"/>
    <n v="0"/>
    <n v="64095.241196414951"/>
    <n v="0"/>
    <n v="2.243333441874523"/>
    <n v="0"/>
    <n v="2.243333441874523"/>
    <n v="0"/>
    <n v="0"/>
    <n v="0"/>
    <n v="0"/>
  </r>
  <r>
    <x v="38"/>
    <x v="4"/>
    <n v="1"/>
    <n v="1"/>
    <x v="1"/>
    <s v="Østdanmark"/>
    <n v="2327318.8289159178"/>
    <n v="100241.37903515603"/>
    <n v="0"/>
    <n v="0"/>
    <n v="0"/>
    <n v="0"/>
    <n v="0"/>
    <n v="0"/>
    <n v="2227077.4498807616"/>
    <n v="1794004.4501021868"/>
    <n v="0"/>
    <n v="4.8689998377553394"/>
    <n v="4.8689998377553394"/>
    <n v="0"/>
    <n v="4.8689998377553394"/>
    <n v="358800.89002043736"/>
    <n v="358800.89002043736"/>
    <n v="0"/>
    <n v="358800.89002043736"/>
  </r>
  <r>
    <x v="39"/>
    <x v="10"/>
    <n v="0"/>
    <n v="0"/>
    <x v="1"/>
    <s v="Østdanmark"/>
    <n v="21912.353272016309"/>
    <n v="0"/>
    <n v="0"/>
    <n v="0"/>
    <n v="0"/>
    <n v="0"/>
    <n v="0"/>
    <n v="0"/>
    <n v="21912.353272016309"/>
    <n v="0"/>
    <n v="0"/>
    <n v="0"/>
    <n v="0"/>
    <n v="0"/>
    <n v="0"/>
    <n v="0"/>
    <n v="0"/>
    <n v="0"/>
    <n v="0"/>
  </r>
  <r>
    <x v="40"/>
    <x v="10"/>
    <n v="0"/>
    <n v="0"/>
    <x v="1"/>
    <s v="Østdanmark"/>
    <n v="17658.552594451528"/>
    <n v="4697.1466214556613"/>
    <n v="0"/>
    <n v="0"/>
    <n v="0"/>
    <n v="0"/>
    <n v="0"/>
    <n v="0"/>
    <n v="12961.405972995868"/>
    <n v="0"/>
    <n v="0"/>
    <n v="0"/>
    <n v="0"/>
    <n v="0"/>
    <n v="0"/>
    <n v="0"/>
    <n v="0"/>
    <n v="0"/>
    <n v="0"/>
  </r>
  <r>
    <x v="41"/>
    <x v="1"/>
    <n v="1"/>
    <n v="0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</r>
  <r>
    <x v="42"/>
    <x v="2"/>
    <n v="1"/>
    <n v="0"/>
    <x v="1"/>
    <s v="Østdanmark"/>
    <n v="2106792.4244348742"/>
    <n v="0"/>
    <n v="0"/>
    <n v="0"/>
    <n v="1580094.3183261557"/>
    <n v="526698.10610871855"/>
    <n v="0"/>
    <n v="0"/>
    <n v="0"/>
    <n v="0"/>
    <n v="1580094.3183261557"/>
    <n v="0"/>
    <n v="0.68070463233490797"/>
    <n v="0.68070463233490797"/>
    <n v="0"/>
    <n v="0"/>
    <n v="79004.715916307789"/>
    <n v="79004.715916307789"/>
    <n v="0"/>
  </r>
  <r>
    <x v="43"/>
    <x v="10"/>
    <n v="0"/>
    <n v="1"/>
    <x v="1"/>
    <s v="Østdanmark"/>
    <n v="192585.04353697354"/>
    <n v="0"/>
    <n v="0"/>
    <n v="105526.43984954793"/>
    <n v="0"/>
    <n v="0"/>
    <n v="0"/>
    <n v="0"/>
    <n v="87058.60368742561"/>
    <n v="0"/>
    <n v="0"/>
    <n v="0"/>
    <n v="0"/>
    <n v="0"/>
    <n v="0"/>
    <n v="0"/>
    <n v="0"/>
    <n v="0"/>
    <n v="0"/>
  </r>
  <r>
    <x v="44"/>
    <x v="6"/>
    <n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10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1"/>
    <s v="Østdanmark"/>
    <n v="647645.86028338596"/>
    <n v="0"/>
    <n v="0"/>
    <n v="0"/>
    <n v="0"/>
    <n v="0"/>
    <n v="647645.86028338596"/>
    <n v="0"/>
    <n v="0"/>
    <n v="0"/>
    <n v="647645.86028338596"/>
    <n v="0"/>
    <n v="9.3866998993191597"/>
    <n v="0"/>
    <n v="9.3866998993191597"/>
    <n v="0"/>
    <n v="320314.84839849127"/>
    <n v="0"/>
    <n v="320314.84839849127"/>
  </r>
  <r>
    <x v="47"/>
    <x v="10"/>
    <n v="0"/>
    <n v="0"/>
    <x v="1"/>
    <s v="Østdanmark"/>
    <n v="178235.22139277839"/>
    <n v="0"/>
    <n v="0"/>
    <n v="0"/>
    <n v="0"/>
    <n v="0"/>
    <n v="0"/>
    <n v="178235.22139277839"/>
    <n v="0"/>
    <n v="0"/>
    <n v="0"/>
    <n v="0"/>
    <n v="0"/>
    <n v="0"/>
    <n v="0"/>
    <n v="0"/>
    <n v="0"/>
    <n v="0"/>
    <n v="0"/>
  </r>
  <r>
    <x v="0"/>
    <x v="10"/>
    <n v="0"/>
    <n v="1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n v="1"/>
    <x v="2"/>
    <s v="Østdanmark"/>
    <n v="27963.188224431749"/>
    <n v="7267.3729665242781"/>
    <n v="0"/>
    <n v="0"/>
    <n v="0"/>
    <n v="0"/>
    <n v="0"/>
    <n v="0"/>
    <n v="20695.81525790747"/>
    <n v="0"/>
    <n v="0"/>
    <n v="0"/>
    <n v="0"/>
    <n v="0"/>
    <n v="0"/>
    <n v="0"/>
    <n v="0"/>
    <n v="0"/>
    <n v="0"/>
  </r>
  <r>
    <x v="2"/>
    <x v="1"/>
    <n v="1"/>
    <n v="0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</r>
  <r>
    <x v="3"/>
    <x v="10"/>
    <n v="1"/>
    <n v="0"/>
    <x v="2"/>
    <s v="Østdanmark"/>
    <n v="127770459.38070777"/>
    <n v="0"/>
    <n v="0"/>
    <n v="0"/>
    <n v="0"/>
    <n v="0"/>
    <n v="127770459.38070777"/>
    <n v="0"/>
    <n v="0"/>
    <n v="0"/>
    <n v="127770459.38070777"/>
    <n v="0"/>
    <n v="0"/>
    <n v="0"/>
    <n v="0"/>
    <n v="0"/>
    <n v="0"/>
    <n v="0"/>
    <n v="0"/>
  </r>
  <r>
    <x v="4"/>
    <x v="10"/>
    <n v="0"/>
    <n v="0"/>
    <x v="2"/>
    <s v="Østdanmark"/>
    <n v="5931800.6059544124"/>
    <n v="0"/>
    <n v="0"/>
    <n v="0"/>
    <n v="0"/>
    <n v="4680862.224178886"/>
    <n v="0"/>
    <n v="0"/>
    <n v="1250938.3817755263"/>
    <n v="0"/>
    <n v="0"/>
    <n v="0"/>
    <n v="0"/>
    <n v="0"/>
    <n v="0"/>
    <n v="0"/>
    <n v="0"/>
    <n v="0"/>
    <n v="0"/>
  </r>
  <r>
    <x v="5"/>
    <x v="1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2"/>
    <s v="Østdanmark"/>
    <n v="342152.71828788641"/>
    <n v="0"/>
    <n v="0"/>
    <n v="0"/>
    <n v="307937.44645909779"/>
    <n v="12952.924335184269"/>
    <n v="0"/>
    <n v="0"/>
    <n v="21262.347493604349"/>
    <n v="21262.347493604349"/>
    <n v="307937.44645909779"/>
    <n v="4.5799096501223768E-2"/>
    <n v="0.70909635617412037"/>
    <n v="0.66329725967289666"/>
    <n v="4.5799096501223713E-2"/>
    <n v="6378.7042480813043"/>
    <n v="98759.938185810635"/>
    <n v="92381.233937729339"/>
    <n v="6378.7042480812961"/>
  </r>
  <r>
    <x v="7"/>
    <x v="10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</r>
  <r>
    <x v="9"/>
    <x v="10"/>
    <n v="0"/>
    <n v="1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n v="0"/>
    <x v="2"/>
    <s v="Østdanmark"/>
    <n v="619622.98434941436"/>
    <n v="0"/>
    <n v="0"/>
    <n v="0"/>
    <n v="0"/>
    <n v="0"/>
    <n v="0"/>
    <n v="0"/>
    <n v="619622.98434941436"/>
    <n v="0"/>
    <n v="0"/>
    <n v="0"/>
    <n v="0"/>
    <n v="0"/>
    <n v="0"/>
    <n v="0"/>
    <n v="0"/>
    <n v="0"/>
    <n v="0"/>
  </r>
  <r>
    <x v="11"/>
    <x v="10"/>
    <n v="0"/>
    <n v="1"/>
    <x v="2"/>
    <s v="Østdanmark"/>
    <n v="16278.266064377463"/>
    <n v="0"/>
    <n v="0"/>
    <n v="233795.01599247381"/>
    <n v="0"/>
    <n v="0"/>
    <n v="0"/>
    <n v="0"/>
    <n v="-217516.74992809634"/>
    <n v="0"/>
    <n v="0"/>
    <n v="0"/>
    <n v="0"/>
    <n v="0"/>
    <n v="0"/>
    <n v="0"/>
    <n v="0"/>
    <n v="0"/>
    <n v="0"/>
  </r>
  <r>
    <x v="12"/>
    <x v="3"/>
    <n v="1"/>
    <n v="0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n v="0"/>
    <x v="2"/>
    <s v="Østdanmark"/>
    <n v="2066928.9300738815"/>
    <n v="1378883.0846623355"/>
    <n v="0"/>
    <n v="0"/>
    <n v="0"/>
    <n v="0"/>
    <n v="0"/>
    <n v="0"/>
    <n v="688045.84541154606"/>
    <n v="688045.84541154606"/>
    <n v="0"/>
    <n v="1.2659183498265685"/>
    <n v="1.2659183498265685"/>
    <n v="0"/>
    <n v="1.2659183498265685"/>
    <n v="192652.83671523293"/>
    <n v="192652.83671523293"/>
    <n v="0"/>
    <n v="192652.83671523293"/>
  </r>
  <r>
    <x v="14"/>
    <x v="10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2"/>
    <s v="Østdanmark"/>
    <n v="100361.40981981652"/>
    <n v="0"/>
    <n v="0"/>
    <n v="244869.51675001203"/>
    <n v="0"/>
    <n v="0"/>
    <n v="0"/>
    <n v="0"/>
    <n v="-144508.10693019553"/>
    <n v="0"/>
    <n v="0"/>
    <n v="0"/>
    <n v="0"/>
    <n v="0"/>
    <n v="0"/>
    <n v="0"/>
    <n v="0"/>
    <n v="0"/>
    <n v="0"/>
  </r>
  <r>
    <x v="16"/>
    <x v="5"/>
    <n v="1"/>
    <n v="0"/>
    <x v="2"/>
    <s v="Østdanmark"/>
    <n v="1501603.8609770872"/>
    <n v="87107.539862645164"/>
    <n v="92961.560520988991"/>
    <n v="0"/>
    <n v="0"/>
    <n v="0"/>
    <n v="1321534.7605934532"/>
    <n v="0"/>
    <n v="0"/>
    <n v="0"/>
    <n v="1321534.7605934532"/>
    <n v="0"/>
    <n v="13.659127355928229"/>
    <n v="0"/>
    <n v="13.659127355928229"/>
    <n v="0"/>
    <n v="1123304.5465044351"/>
    <n v="0"/>
    <n v="1123304.5465044351"/>
  </r>
  <r>
    <x v="17"/>
    <x v="1"/>
    <n v="1"/>
    <n v="0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</r>
  <r>
    <x v="18"/>
    <x v="10"/>
    <n v="0"/>
    <n v="1"/>
    <x v="2"/>
    <s v="Østdanmark"/>
    <n v="0"/>
    <n v="544043.61513285921"/>
    <n v="0"/>
    <n v="0"/>
    <n v="0"/>
    <n v="0"/>
    <n v="0"/>
    <n v="0"/>
    <n v="-544043.61513285921"/>
    <n v="0"/>
    <n v="0"/>
    <n v="0"/>
    <n v="0"/>
    <n v="0"/>
    <n v="0"/>
    <n v="0"/>
    <n v="0"/>
    <n v="0"/>
    <n v="0"/>
  </r>
  <r>
    <x v="19"/>
    <x v="1"/>
    <n v="1"/>
    <n v="0"/>
    <x v="2"/>
    <s v="Østdanmark"/>
    <n v="200523.95597408165"/>
    <n v="0"/>
    <n v="0"/>
    <n v="0"/>
    <n v="0"/>
    <n v="0"/>
    <n v="0"/>
    <n v="0"/>
    <n v="200523.95597408165"/>
    <n v="200523.95597408165"/>
    <n v="0"/>
    <n v="0.8688963693499725"/>
    <n v="0.8688963693499725"/>
    <n v="0"/>
    <n v="0.8688963693499725"/>
    <n v="84220.061509114283"/>
    <n v="84220.061509114283"/>
    <n v="0"/>
    <n v="84220.061509114283"/>
  </r>
  <r>
    <x v="20"/>
    <x v="10"/>
    <n v="0"/>
    <n v="0"/>
    <x v="2"/>
    <s v="Østdanmark"/>
    <n v="150223.49993632184"/>
    <n v="0"/>
    <n v="0"/>
    <n v="0"/>
    <n v="0"/>
    <n v="0"/>
    <n v="0"/>
    <n v="0"/>
    <n v="150223.49993632184"/>
    <n v="0"/>
    <n v="0"/>
    <n v="0"/>
    <n v="0"/>
    <n v="0"/>
    <n v="0"/>
    <n v="0"/>
    <n v="0"/>
    <n v="0"/>
    <n v="0"/>
  </r>
  <r>
    <x v="21"/>
    <x v="10"/>
    <n v="0"/>
    <n v="1"/>
    <x v="2"/>
    <s v="Østdanmark"/>
    <n v="119162.42345688539"/>
    <n v="0"/>
    <n v="0"/>
    <n v="111975.50765955324"/>
    <n v="0"/>
    <n v="0"/>
    <n v="0"/>
    <n v="0"/>
    <n v="7186.9157973321417"/>
    <n v="0"/>
    <n v="0"/>
    <n v="0"/>
    <n v="0"/>
    <n v="0"/>
    <n v="0"/>
    <n v="0"/>
    <n v="0"/>
    <n v="0"/>
    <n v="0"/>
  </r>
  <r>
    <x v="22"/>
    <x v="5"/>
    <n v="1"/>
    <n v="1"/>
    <x v="2"/>
    <s v="Østdanmark"/>
    <n v="2365391.4259483349"/>
    <n v="662441.233045817"/>
    <n v="0"/>
    <n v="268249.01834925939"/>
    <n v="0"/>
    <n v="0"/>
    <n v="0"/>
    <n v="0"/>
    <n v="1434701.1745532583"/>
    <n v="1434701.1745532583"/>
    <n v="0"/>
    <n v="4.913650664680473"/>
    <n v="4.913650664680473"/>
    <n v="0"/>
    <n v="4.913650664680473"/>
    <n v="444757.36411151011"/>
    <n v="444757.36411151011"/>
    <n v="0"/>
    <n v="444757.36411151011"/>
  </r>
  <r>
    <x v="23"/>
    <x v="10"/>
    <n v="0"/>
    <n v="0"/>
    <x v="2"/>
    <s v="Østdanmark"/>
    <n v="0"/>
    <n v="0"/>
    <n v="0"/>
    <n v="0"/>
    <n v="0"/>
    <n v="288937.99053379206"/>
    <n v="0"/>
    <n v="0"/>
    <n v="-288937.99053379206"/>
    <n v="0"/>
    <n v="0"/>
    <n v="0"/>
    <n v="0"/>
    <n v="0"/>
    <n v="0"/>
    <n v="0"/>
    <n v="0"/>
    <n v="0"/>
    <n v="0"/>
  </r>
  <r>
    <x v="24"/>
    <x v="2"/>
    <n v="1"/>
    <n v="0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</r>
  <r>
    <x v="25"/>
    <x v="10"/>
    <n v="0"/>
    <n v="0"/>
    <x v="2"/>
    <s v="Østdanmark"/>
    <n v="113070.46736338305"/>
    <n v="170783.26471332053"/>
    <n v="0"/>
    <n v="0"/>
    <n v="0"/>
    <n v="0"/>
    <n v="0"/>
    <n v="0"/>
    <n v="-57712.797349937478"/>
    <n v="0"/>
    <n v="0"/>
    <n v="0"/>
    <n v="0"/>
    <n v="0"/>
    <n v="0"/>
    <n v="0"/>
    <n v="0"/>
    <n v="0"/>
    <n v="0"/>
  </r>
  <r>
    <x v="26"/>
    <x v="4"/>
    <n v="1"/>
    <n v="1"/>
    <x v="2"/>
    <s v="Østdanmark"/>
    <n v="385351.77925728471"/>
    <n v="637409.17060556682"/>
    <n v="0"/>
    <n v="0"/>
    <n v="0"/>
    <n v="0"/>
    <n v="0"/>
    <n v="0"/>
    <n v="-252057.39134828211"/>
    <n v="0"/>
    <n v="0"/>
    <n v="0"/>
    <n v="0"/>
    <n v="0"/>
    <n v="0"/>
    <n v="0"/>
    <n v="0"/>
    <n v="0"/>
    <n v="0"/>
  </r>
  <r>
    <x v="27"/>
    <x v="10"/>
    <n v="0"/>
    <n v="1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</r>
  <r>
    <x v="29"/>
    <x v="10"/>
    <n v="0"/>
    <n v="1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n v="1"/>
    <x v="2"/>
    <s v="Østdanmark"/>
    <n v="407929.68166494544"/>
    <n v="0"/>
    <n v="0"/>
    <n v="0"/>
    <n v="0"/>
    <n v="0"/>
    <n v="0"/>
    <n v="0"/>
    <n v="407929.68166494544"/>
    <n v="0"/>
    <n v="0"/>
    <n v="0"/>
    <n v="0"/>
    <n v="0"/>
    <n v="0"/>
    <n v="0"/>
    <n v="0"/>
    <n v="0"/>
    <n v="0"/>
  </r>
  <r>
    <x v="31"/>
    <x v="7"/>
    <n v="1"/>
    <n v="0"/>
    <x v="2"/>
    <s v="Østdanmark"/>
    <n v="36959.622363047813"/>
    <n v="0"/>
    <n v="0"/>
    <n v="0"/>
    <n v="0"/>
    <n v="0"/>
    <n v="36959.622363047813"/>
    <n v="0"/>
    <n v="0"/>
    <n v="0"/>
    <n v="36959.622363047813"/>
    <n v="0"/>
    <n v="0.68005705148007967"/>
    <n v="0"/>
    <n v="0.68005705148007967"/>
    <n v="0"/>
    <n v="15338.243280664843"/>
    <n v="0"/>
    <n v="15338.243280664843"/>
  </r>
  <r>
    <x v="32"/>
    <x v="8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n v="0"/>
    <x v="2"/>
    <s v="Østdanmark"/>
    <n v="200042.64483548011"/>
    <n v="0"/>
    <n v="0"/>
    <n v="0"/>
    <n v="0"/>
    <n v="0"/>
    <n v="0"/>
    <n v="200042.64483548011"/>
    <n v="0"/>
    <n v="0"/>
    <n v="0"/>
    <n v="0"/>
    <n v="0"/>
    <n v="0"/>
    <n v="0"/>
    <n v="0"/>
    <n v="0"/>
    <n v="0"/>
    <n v="0"/>
  </r>
  <r>
    <x v="36"/>
    <x v="10"/>
    <n v="0"/>
    <n v="0"/>
    <x v="2"/>
    <s v="Østdanmark"/>
    <n v="100021.32241774006"/>
    <n v="24123.640819434757"/>
    <n v="0"/>
    <n v="0"/>
    <n v="0"/>
    <n v="0"/>
    <n v="0"/>
    <n v="0"/>
    <n v="75897.681598305295"/>
    <n v="0"/>
    <n v="0"/>
    <n v="0"/>
    <n v="0"/>
    <n v="0"/>
    <n v="0"/>
    <n v="0"/>
    <n v="0"/>
    <n v="0"/>
    <n v="0"/>
  </r>
  <r>
    <x v="37"/>
    <x v="9"/>
    <n v="1"/>
    <n v="1"/>
    <x v="2"/>
    <s v="Østdanmark"/>
    <n v="64013.646347353635"/>
    <n v="0"/>
    <n v="0"/>
    <n v="0"/>
    <n v="0"/>
    <n v="0"/>
    <n v="64013.646347353635"/>
    <n v="0"/>
    <n v="0"/>
    <n v="0"/>
    <n v="64013.646347353635"/>
    <n v="0"/>
    <n v="2.240477622157377"/>
    <n v="0"/>
    <n v="2.240477622157377"/>
    <n v="0"/>
    <n v="0"/>
    <n v="0"/>
    <n v="0"/>
  </r>
  <r>
    <x v="38"/>
    <x v="4"/>
    <n v="1"/>
    <n v="1"/>
    <x v="2"/>
    <s v="Østdanmark"/>
    <n v="2337477.1247217245"/>
    <n v="94778.655771754129"/>
    <n v="0"/>
    <n v="0"/>
    <n v="0"/>
    <n v="0"/>
    <n v="0"/>
    <n v="0"/>
    <n v="2242698.4689499703"/>
    <n v="1830597.0172306281"/>
    <n v="0"/>
    <n v="4.9683135286446136"/>
    <n v="4.9683135286446136"/>
    <n v="0"/>
    <n v="4.9683135286446136"/>
    <n v="366119.40344612562"/>
    <n v="366119.40344612562"/>
    <n v="0"/>
    <n v="366119.40344612562"/>
  </r>
  <r>
    <x v="39"/>
    <x v="10"/>
    <n v="0"/>
    <n v="0"/>
    <x v="2"/>
    <s v="Østdanmark"/>
    <n v="20186.20419193256"/>
    <n v="0"/>
    <n v="0"/>
    <n v="0"/>
    <n v="0"/>
    <n v="0"/>
    <n v="0"/>
    <n v="0"/>
    <n v="20186.20419193256"/>
    <n v="0"/>
    <n v="0"/>
    <n v="0"/>
    <n v="0"/>
    <n v="0"/>
    <n v="0"/>
    <n v="0"/>
    <n v="0"/>
    <n v="0"/>
    <n v="0"/>
  </r>
  <r>
    <x v="40"/>
    <x v="10"/>
    <n v="0"/>
    <n v="0"/>
    <x v="2"/>
    <s v="Østdanmark"/>
    <n v="16053.966219959522"/>
    <n v="4441.1723684315039"/>
    <n v="0"/>
    <n v="0"/>
    <n v="0"/>
    <n v="0"/>
    <n v="0"/>
    <n v="0"/>
    <n v="11612.793851528018"/>
    <n v="0"/>
    <n v="0"/>
    <n v="0"/>
    <n v="0"/>
    <n v="0"/>
    <n v="0"/>
    <n v="0"/>
    <n v="0"/>
    <n v="0"/>
    <n v="0"/>
  </r>
  <r>
    <x v="41"/>
    <x v="1"/>
    <n v="1"/>
    <n v="0"/>
    <x v="2"/>
    <s v="Østdanmark"/>
    <n v="3500281.4918378997"/>
    <n v="0"/>
    <n v="0"/>
    <n v="0"/>
    <n v="3150253.3426541099"/>
    <n v="0"/>
    <n v="0"/>
    <n v="0"/>
    <n v="350028.14918378973"/>
    <n v="350028.14918378973"/>
    <n v="3150253.3426541099"/>
    <n v="0.17466754672420293"/>
    <n v="1.7466754672420306"/>
    <n v="1.5720079205178277"/>
    <n v="0.17466754672420293"/>
    <n v="21001.688951027383"/>
    <n v="210016.88951027396"/>
    <n v="189015.20055924659"/>
    <n v="21001.688951027376"/>
  </r>
  <r>
    <x v="42"/>
    <x v="2"/>
    <n v="1"/>
    <n v="0"/>
    <x v="2"/>
    <s v="Østdanmark"/>
    <n v="1882077.697473543"/>
    <n v="0"/>
    <n v="0"/>
    <n v="0"/>
    <n v="1693869.9277261887"/>
    <n v="188207.76974735426"/>
    <n v="0"/>
    <n v="0"/>
    <n v="0"/>
    <n v="0"/>
    <n v="1693869.9277261887"/>
    <n v="0"/>
    <n v="0.72971916486444222"/>
    <n v="0.72971916486444222"/>
    <n v="0"/>
    <n v="0"/>
    <n v="84693.496386309445"/>
    <n v="84693.496386309445"/>
    <n v="0"/>
  </r>
  <r>
    <x v="43"/>
    <x v="10"/>
    <n v="0"/>
    <n v="1"/>
    <x v="2"/>
    <s v="Østdanmark"/>
    <n v="174765.59603194657"/>
    <n v="0"/>
    <n v="0"/>
    <n v="110474.29755686472"/>
    <n v="0"/>
    <n v="0"/>
    <n v="0"/>
    <n v="0"/>
    <n v="64291.298475081843"/>
    <n v="0"/>
    <n v="0"/>
    <n v="0"/>
    <n v="0"/>
    <n v="0"/>
    <n v="0"/>
    <n v="0"/>
    <n v="0"/>
    <n v="0"/>
    <n v="0"/>
  </r>
  <r>
    <x v="44"/>
    <x v="6"/>
    <n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10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2"/>
    <s v="Østdanmark"/>
    <n v="637918.49942824384"/>
    <n v="0"/>
    <n v="0"/>
    <n v="0"/>
    <n v="0"/>
    <n v="0"/>
    <n v="637918.49942824384"/>
    <n v="0"/>
    <n v="0"/>
    <n v="0"/>
    <n v="637918.49942824384"/>
    <n v="0"/>
    <n v="9.2457157245424533"/>
    <n v="0"/>
    <n v="9.2457157245424533"/>
    <n v="0"/>
    <n v="315503.85784221895"/>
    <n v="0"/>
    <n v="315503.85784221895"/>
  </r>
  <r>
    <x v="47"/>
    <x v="10"/>
    <n v="0"/>
    <n v="0"/>
    <x v="2"/>
    <s v="Østdanmark"/>
    <n v="181156.38422629872"/>
    <n v="0"/>
    <n v="0"/>
    <n v="0"/>
    <n v="0"/>
    <n v="0"/>
    <n v="0"/>
    <n v="181156.38422629872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20">
      <pivotArea outline="0" collapsedLevelsAreSubtotals="1" fieldPosition="0"/>
    </format>
    <format dxfId="19">
      <pivotArea outline="0" fieldPosition="0">
        <references count="1">
          <reference field="4294967294" count="1">
            <x v="0"/>
          </reference>
        </references>
      </pivotArea>
    </format>
  </formats>
  <chartFormats count="9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0" format="1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0" format="1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2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7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5" item="1" hier="-1"/>
  </pageFields>
  <dataFields count="1">
    <dataField name="Sum of Import" fld="26" baseField="0" baseItem="0" numFmtId="3"/>
  </dataFields>
  <formats count="1">
    <format dxfId="18">
      <pivotArea outline="0" collapsedLevelsAreSubtotals="1" fieldPosition="0"/>
    </format>
  </formats>
  <chartFormats count="117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6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6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6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4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6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3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7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6" item="1" hier="-1"/>
  </pageFields>
  <dataFields count="1">
    <dataField name="Sum of Produktion minus forbrug [ton]" fld="14" baseField="3" baseItem="0" numFmtId="3"/>
  </dataFields>
  <formats count="2">
    <format dxfId="17">
      <pivotArea outline="0" collapsedLevelsAreSubtotals="1" fieldPosition="0"/>
    </format>
    <format dxfId="16">
      <pivotArea outline="0" fieldPosition="0">
        <references count="1">
          <reference field="4294967294" count="1">
            <x v="0"/>
          </reference>
        </references>
      </pivotArea>
    </format>
  </formats>
  <chartFormats count="2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5" dataOnRows="1" dataPosition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3:K14" firstHeaderRow="1" firstDataRow="2" firstDataCol="1"/>
  <pivotFields count="25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4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20" baseField="0" baseItem="0"/>
    <dataField name="Sum of Biogasproduktion [PJ]" fld="19" baseField="0" baseItem="0"/>
  </dataFields>
  <formats count="1">
    <format dxfId="15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3">
  <location ref="A1:I6" firstHeaderRow="1" firstDataRow="2" firstDataCol="1"/>
  <pivotFields count="25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2" baseField="0" baseItem="0" numFmtId="171"/>
  </dataFields>
  <formats count="1">
    <format dxfId="14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4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13">
      <pivotArea outline="0" collapsedLevelsAreSubtotals="1" fieldPosition="0"/>
    </format>
    <format dxfId="12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4:D9" firstHeaderRow="1" firstDataRow="2" firstDataCol="1"/>
  <pivotFields count="25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6" baseField="0" baseItem="0" numFmtId="171"/>
  </dataFields>
  <formats count="1">
    <format dxfId="11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6">
  <location ref="A4:D9" firstHeaderRow="1" firstDataRow="2" firstDataCol="1"/>
  <pivotFields count="25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6" baseField="0" baseItem="0" numFmtId="171"/>
  </dataFields>
  <formats count="1">
    <format dxfId="10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9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8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hyperlink" Target="https://static-curis.ku.dk/portal/files/209323723/IFRO_Udredning_2016_30.pdf" TargetMode="Externa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4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E25"/>
  <sheetViews>
    <sheetView zoomScale="80" zoomScaleNormal="80" workbookViewId="0">
      <selection activeCell="D13" sqref="D1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5" ht="21" x14ac:dyDescent="0.35">
      <c r="A1" s="408" t="s">
        <v>269</v>
      </c>
      <c r="B1" s="408"/>
      <c r="D1" s="73" t="s">
        <v>282</v>
      </c>
    </row>
    <row r="2" spans="1:5" x14ac:dyDescent="0.25">
      <c r="A2" s="6" t="s">
        <v>0</v>
      </c>
      <c r="B2" s="199" t="s">
        <v>336</v>
      </c>
    </row>
    <row r="4" spans="1:5" ht="30" customHeight="1" thickBot="1" x14ac:dyDescent="0.3">
      <c r="A4" s="407" t="s">
        <v>268</v>
      </c>
      <c r="B4" s="407"/>
      <c r="D4" s="73"/>
    </row>
    <row r="5" spans="1:5" ht="15.75" thickTop="1" x14ac:dyDescent="0.25">
      <c r="A5" s="231" t="s">
        <v>85</v>
      </c>
      <c r="B5" s="230" t="s">
        <v>302</v>
      </c>
      <c r="D5" s="189" t="s">
        <v>43</v>
      </c>
      <c r="E5" s="190"/>
    </row>
    <row r="6" spans="1:5" x14ac:dyDescent="0.25">
      <c r="A6" s="184" t="s">
        <v>83</v>
      </c>
      <c r="B6" s="185" t="s">
        <v>256</v>
      </c>
      <c r="D6" s="191" t="s">
        <v>267</v>
      </c>
      <c r="E6" s="192" t="s">
        <v>44</v>
      </c>
    </row>
    <row r="7" spans="1:5" x14ac:dyDescent="0.25">
      <c r="A7" s="184"/>
      <c r="B7" s="185" t="s">
        <v>2</v>
      </c>
      <c r="D7" s="191" t="s">
        <v>41</v>
      </c>
      <c r="E7" s="192" t="s">
        <v>45</v>
      </c>
    </row>
    <row r="8" spans="1:5" x14ac:dyDescent="0.25">
      <c r="A8" s="197" t="s">
        <v>91</v>
      </c>
      <c r="B8" s="185" t="s">
        <v>257</v>
      </c>
      <c r="D8" s="191" t="s">
        <v>40</v>
      </c>
      <c r="E8" s="192" t="s">
        <v>46</v>
      </c>
    </row>
    <row r="9" spans="1:5" x14ac:dyDescent="0.25">
      <c r="A9" s="184" t="s">
        <v>92</v>
      </c>
      <c r="B9" s="185" t="s">
        <v>258</v>
      </c>
      <c r="D9" s="191"/>
      <c r="E9" s="192"/>
    </row>
    <row r="10" spans="1:5" x14ac:dyDescent="0.25">
      <c r="A10" s="184"/>
      <c r="B10" s="185"/>
      <c r="D10" s="193" t="s">
        <v>47</v>
      </c>
      <c r="E10" s="192"/>
    </row>
    <row r="11" spans="1:5" x14ac:dyDescent="0.25">
      <c r="A11" s="197" t="s">
        <v>68</v>
      </c>
      <c r="B11" s="198" t="s">
        <v>259</v>
      </c>
      <c r="D11" s="191" t="s">
        <v>32</v>
      </c>
      <c r="E11" s="192"/>
    </row>
    <row r="12" spans="1:5" x14ac:dyDescent="0.25">
      <c r="A12" s="184" t="s">
        <v>253</v>
      </c>
      <c r="B12" s="185" t="s">
        <v>260</v>
      </c>
      <c r="D12" s="191" t="s">
        <v>9</v>
      </c>
      <c r="E12" s="192"/>
    </row>
    <row r="13" spans="1:5" x14ac:dyDescent="0.25">
      <c r="A13" s="184"/>
      <c r="B13" s="185"/>
      <c r="D13" s="191" t="s">
        <v>10</v>
      </c>
      <c r="E13" s="192"/>
    </row>
    <row r="14" spans="1:5" x14ac:dyDescent="0.25">
      <c r="A14" s="197" t="s">
        <v>69</v>
      </c>
      <c r="B14" s="198" t="s">
        <v>261</v>
      </c>
      <c r="D14" s="191" t="s">
        <v>33</v>
      </c>
      <c r="E14" s="192"/>
    </row>
    <row r="15" spans="1:5" x14ac:dyDescent="0.25">
      <c r="A15" s="184" t="s">
        <v>70</v>
      </c>
      <c r="B15" s="185" t="s">
        <v>262</v>
      </c>
      <c r="D15" s="191" t="s">
        <v>11</v>
      </c>
      <c r="E15" s="192"/>
    </row>
    <row r="16" spans="1:5" x14ac:dyDescent="0.25">
      <c r="A16" s="184" t="s">
        <v>71</v>
      </c>
      <c r="B16" s="185"/>
      <c r="D16" s="191"/>
      <c r="E16" s="192"/>
    </row>
    <row r="17" spans="1:5" x14ac:dyDescent="0.25">
      <c r="A17" s="184" t="s">
        <v>72</v>
      </c>
      <c r="B17" s="198" t="s">
        <v>266</v>
      </c>
      <c r="D17" s="193" t="s">
        <v>384</v>
      </c>
      <c r="E17" s="192"/>
    </row>
    <row r="18" spans="1:5" x14ac:dyDescent="0.25">
      <c r="A18" s="184" t="s">
        <v>73</v>
      </c>
      <c r="B18" s="409" t="s">
        <v>270</v>
      </c>
      <c r="D18" s="191">
        <v>2019</v>
      </c>
      <c r="E18" s="192"/>
    </row>
    <row r="19" spans="1:5" x14ac:dyDescent="0.25">
      <c r="A19" s="184" t="s">
        <v>254</v>
      </c>
      <c r="B19" s="409"/>
      <c r="D19" s="191">
        <v>2030</v>
      </c>
      <c r="E19" s="192"/>
    </row>
    <row r="20" spans="1:5" ht="15.75" thickBot="1" x14ac:dyDescent="0.3">
      <c r="A20" s="184" t="s">
        <v>255</v>
      </c>
      <c r="B20" s="185"/>
      <c r="D20" s="194">
        <v>2050</v>
      </c>
      <c r="E20" s="195"/>
    </row>
    <row r="21" spans="1:5" ht="15.75" thickTop="1" x14ac:dyDescent="0.25">
      <c r="A21" s="184" t="s">
        <v>74</v>
      </c>
      <c r="B21" s="185"/>
    </row>
    <row r="22" spans="1:5" x14ac:dyDescent="0.25">
      <c r="A22" s="184"/>
      <c r="B22" s="185"/>
    </row>
    <row r="23" spans="1:5" x14ac:dyDescent="0.25">
      <c r="A23" s="232" t="s">
        <v>303</v>
      </c>
      <c r="B23" s="185"/>
    </row>
    <row r="24" spans="1:5" ht="15.75" thickBot="1" x14ac:dyDescent="0.3">
      <c r="A24" s="186" t="s">
        <v>1</v>
      </c>
      <c r="B24" s="187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T123"/>
  <sheetViews>
    <sheetView topLeftCell="A94" zoomScale="55" zoomScaleNormal="55" workbookViewId="0">
      <selection activeCell="B12" sqref="B12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8" style="1" bestFit="1" customWidth="1"/>
    <col min="18" max="18" width="27.28515625" style="1" bestFit="1" customWidth="1"/>
    <col min="19" max="19" width="9.140625" style="1"/>
    <col min="20" max="20" width="16.5703125" style="1" bestFit="1" customWidth="1"/>
    <col min="21" max="16384" width="9.140625" style="1"/>
  </cols>
  <sheetData>
    <row r="1" spans="1:18" ht="15" customHeight="1" x14ac:dyDescent="0.25">
      <c r="A1" s="229" t="s">
        <v>296</v>
      </c>
      <c r="B1" s="228"/>
      <c r="C1" s="410" t="s">
        <v>295</v>
      </c>
      <c r="D1" s="410"/>
      <c r="E1" s="410"/>
      <c r="F1" s="410"/>
      <c r="G1" s="410"/>
      <c r="H1" s="410"/>
      <c r="I1" s="410"/>
      <c r="J1" s="410"/>
      <c r="K1" s="410"/>
      <c r="L1" s="410"/>
      <c r="M1" s="410"/>
      <c r="N1" s="410"/>
      <c r="O1" s="410"/>
      <c r="P1" s="410"/>
      <c r="Q1" s="410"/>
      <c r="R1" s="410"/>
    </row>
    <row r="2" spans="1:18" ht="15" customHeight="1" x14ac:dyDescent="0.25">
      <c r="A2" s="228"/>
      <c r="B2" s="228"/>
      <c r="C2" s="410"/>
      <c r="D2" s="410"/>
      <c r="E2" s="410"/>
      <c r="F2" s="410"/>
      <c r="G2" s="410"/>
      <c r="H2" s="410"/>
      <c r="I2" s="410"/>
      <c r="J2" s="410"/>
      <c r="K2" s="410"/>
      <c r="L2" s="410"/>
      <c r="M2" s="410"/>
      <c r="N2" s="410"/>
      <c r="O2" s="410"/>
      <c r="P2" s="410"/>
      <c r="Q2" s="410"/>
      <c r="R2" s="410"/>
    </row>
    <row r="3" spans="1:18" x14ac:dyDescent="0.25">
      <c r="A3" s="73"/>
    </row>
    <row r="34" spans="16:20" ht="15.75" x14ac:dyDescent="0.25">
      <c r="P34" s="316" t="s">
        <v>93</v>
      </c>
      <c r="Q34" s="316" t="s">
        <v>333</v>
      </c>
      <c r="R34" s="316" t="s">
        <v>334</v>
      </c>
    </row>
    <row r="35" spans="16:20" ht="15.75" x14ac:dyDescent="0.25">
      <c r="P35" s="316">
        <v>1990</v>
      </c>
      <c r="Q35" s="387">
        <v>20000000</v>
      </c>
      <c r="R35" s="317"/>
    </row>
    <row r="36" spans="16:20" ht="15.75" x14ac:dyDescent="0.25">
      <c r="P36" s="316">
        <f>År1</f>
        <v>2019</v>
      </c>
      <c r="Q36" s="388">
        <f>GETPIVOTDATA("Total",'CO2-pivot'!$A$1,"År",P36,"Sted2","CO2 - atmosfære")</f>
        <v>13910380.018766819</v>
      </c>
      <c r="R36" s="317">
        <f>1-Q36/$Q$35</f>
        <v>0.30448099906165904</v>
      </c>
    </row>
    <row r="37" spans="16:20" ht="15.75" x14ac:dyDescent="0.25">
      <c r="P37" s="316">
        <f>År2</f>
        <v>2030</v>
      </c>
      <c r="Q37" s="388">
        <f>GETPIVOTDATA("Total",'CO2-pivot'!$A$1,"År",P37,"Sted2","CO2 - atmosfære")</f>
        <v>11635959.929105373</v>
      </c>
      <c r="R37" s="317">
        <f t="shared" ref="R37:R38" si="0">1-Q37/$Q$35</f>
        <v>0.41820200354473136</v>
      </c>
      <c r="T37" s="385"/>
    </row>
    <row r="38" spans="16:20" ht="15.75" x14ac:dyDescent="0.25">
      <c r="P38" s="316">
        <f>År3</f>
        <v>2050</v>
      </c>
      <c r="Q38" s="388">
        <f>GETPIVOTDATA("Total",'CO2-pivot'!$A$1,"År",P38,"Sted2","CO2 - atmosfære")</f>
        <v>5982305.027657412</v>
      </c>
      <c r="R38" s="317">
        <f t="shared" si="0"/>
        <v>0.70088474861712946</v>
      </c>
    </row>
    <row r="123" spans="3:3" x14ac:dyDescent="0.25">
      <c r="C123" s="163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x14ac:dyDescent="0.25">
      <c r="A1" t="s">
        <v>335</v>
      </c>
    </row>
    <row r="2" spans="1:1" x14ac:dyDescent="0.25">
      <c r="A2" s="101">
        <v>2019</v>
      </c>
    </row>
    <row r="3" spans="1:1" x14ac:dyDescent="0.25">
      <c r="A3" s="346">
        <v>2030</v>
      </c>
    </row>
    <row r="4" spans="1:1" x14ac:dyDescent="0.25">
      <c r="A4" s="339">
        <v>2050</v>
      </c>
    </row>
    <row r="5" spans="1:1" x14ac:dyDescent="0.25">
      <c r="A5" s="329" t="s">
        <v>15</v>
      </c>
    </row>
    <row r="6" spans="1:1" x14ac:dyDescent="0.25">
      <c r="A6" s="347" t="s">
        <v>49</v>
      </c>
    </row>
    <row r="7" spans="1:1" x14ac:dyDescent="0.25">
      <c r="A7" s="345" t="s">
        <v>182</v>
      </c>
    </row>
    <row r="8" spans="1:1" x14ac:dyDescent="0.25">
      <c r="A8" s="340" t="s">
        <v>32</v>
      </c>
    </row>
    <row r="9" spans="1:1" x14ac:dyDescent="0.25">
      <c r="A9" s="327" t="s">
        <v>102</v>
      </c>
    </row>
    <row r="10" spans="1:1" x14ac:dyDescent="0.25">
      <c r="A10" s="348" t="s">
        <v>109</v>
      </c>
    </row>
    <row r="11" spans="1:1" x14ac:dyDescent="0.25">
      <c r="A11" s="341" t="s">
        <v>261</v>
      </c>
    </row>
    <row r="12" spans="1:1" x14ac:dyDescent="0.25">
      <c r="A12" s="349" t="s">
        <v>110</v>
      </c>
    </row>
    <row r="13" spans="1:1" x14ac:dyDescent="0.25">
      <c r="A13" s="327" t="s">
        <v>230</v>
      </c>
    </row>
    <row r="14" spans="1:1" x14ac:dyDescent="0.25">
      <c r="A14" s="350" t="s">
        <v>208</v>
      </c>
    </row>
    <row r="15" spans="1:1" x14ac:dyDescent="0.25">
      <c r="A15" s="332" t="s">
        <v>111</v>
      </c>
    </row>
    <row r="16" spans="1:1" x14ac:dyDescent="0.25">
      <c r="A16" s="351" t="s">
        <v>101</v>
      </c>
    </row>
    <row r="17" spans="1:1" x14ac:dyDescent="0.25">
      <c r="A17" s="352" t="s">
        <v>204</v>
      </c>
    </row>
    <row r="18" spans="1:1" x14ac:dyDescent="0.25">
      <c r="A18" s="353" t="s">
        <v>19</v>
      </c>
    </row>
    <row r="19" spans="1:1" x14ac:dyDescent="0.25">
      <c r="A19" s="97" t="s">
        <v>137</v>
      </c>
    </row>
    <row r="20" spans="1:1" x14ac:dyDescent="0.25">
      <c r="A20" s="369" t="s">
        <v>96</v>
      </c>
    </row>
    <row r="21" spans="1:1" x14ac:dyDescent="0.25">
      <c r="A21" s="383" t="s">
        <v>113</v>
      </c>
    </row>
    <row r="22" spans="1:1" x14ac:dyDescent="0.25">
      <c r="A22" s="384" t="s">
        <v>54</v>
      </c>
    </row>
    <row r="23" spans="1:1" x14ac:dyDescent="0.25">
      <c r="A23" s="326" t="s">
        <v>158</v>
      </c>
    </row>
    <row r="24" spans="1:1" x14ac:dyDescent="0.25">
      <c r="A24" s="342" t="s">
        <v>51</v>
      </c>
    </row>
    <row r="25" spans="1:1" x14ac:dyDescent="0.25">
      <c r="A25" s="342" t="s">
        <v>224</v>
      </c>
    </row>
    <row r="26" spans="1:1" x14ac:dyDescent="0.25">
      <c r="A26" s="330" t="s">
        <v>203</v>
      </c>
    </row>
    <row r="27" spans="1:1" x14ac:dyDescent="0.25">
      <c r="A27" s="381" t="s">
        <v>6</v>
      </c>
    </row>
    <row r="28" spans="1:1" x14ac:dyDescent="0.25">
      <c r="A28" s="325" t="s">
        <v>67</v>
      </c>
    </row>
    <row r="29" spans="1:1" x14ac:dyDescent="0.25">
      <c r="A29" s="325" t="s">
        <v>227</v>
      </c>
    </row>
    <row r="30" spans="1:1" x14ac:dyDescent="0.25">
      <c r="A30" s="331" t="s">
        <v>200</v>
      </c>
    </row>
    <row r="31" spans="1:1" x14ac:dyDescent="0.25">
      <c r="A31" s="324" t="s">
        <v>226</v>
      </c>
    </row>
    <row r="32" spans="1:1" x14ac:dyDescent="0.25">
      <c r="A32" s="382" t="s">
        <v>162</v>
      </c>
    </row>
    <row r="33" spans="1:1" x14ac:dyDescent="0.25">
      <c r="A33" s="333" t="s">
        <v>193</v>
      </c>
    </row>
    <row r="34" spans="1:1" x14ac:dyDescent="0.25">
      <c r="A34" s="328" t="s">
        <v>222</v>
      </c>
    </row>
    <row r="35" spans="1:1" x14ac:dyDescent="0.25">
      <c r="A35" s="337" t="s">
        <v>11</v>
      </c>
    </row>
    <row r="36" spans="1:1" x14ac:dyDescent="0.25">
      <c r="A36" s="368" t="s">
        <v>159</v>
      </c>
    </row>
    <row r="37" spans="1:1" x14ac:dyDescent="0.25">
      <c r="A37" s="322" t="s">
        <v>103</v>
      </c>
    </row>
    <row r="38" spans="1:1" x14ac:dyDescent="0.25">
      <c r="A38" s="377" t="s">
        <v>56</v>
      </c>
    </row>
    <row r="39" spans="1:1" x14ac:dyDescent="0.25">
      <c r="A39" s="378" t="s">
        <v>12</v>
      </c>
    </row>
    <row r="40" spans="1:1" x14ac:dyDescent="0.25">
      <c r="A40" s="379" t="s">
        <v>48</v>
      </c>
    </row>
    <row r="41" spans="1:1" x14ac:dyDescent="0.25">
      <c r="A41" s="356" t="s">
        <v>115</v>
      </c>
    </row>
    <row r="42" spans="1:1" x14ac:dyDescent="0.25">
      <c r="A42" s="354" t="s">
        <v>136</v>
      </c>
    </row>
    <row r="43" spans="1:1" x14ac:dyDescent="0.25">
      <c r="A43" s="339" t="s">
        <v>9</v>
      </c>
    </row>
    <row r="44" spans="1:1" x14ac:dyDescent="0.25">
      <c r="A44" s="380" t="s">
        <v>108</v>
      </c>
    </row>
    <row r="45" spans="1:1" x14ac:dyDescent="0.25">
      <c r="A45" s="376" t="s">
        <v>53</v>
      </c>
    </row>
    <row r="46" spans="1:1" x14ac:dyDescent="0.25">
      <c r="A46" s="339" t="s">
        <v>194</v>
      </c>
    </row>
    <row r="47" spans="1:1" x14ac:dyDescent="0.25">
      <c r="A47" s="375" t="s">
        <v>116</v>
      </c>
    </row>
    <row r="48" spans="1:1" x14ac:dyDescent="0.25">
      <c r="A48" s="374" t="s">
        <v>106</v>
      </c>
    </row>
    <row r="49" spans="1:1" x14ac:dyDescent="0.25">
      <c r="A49" s="338" t="s">
        <v>33</v>
      </c>
    </row>
    <row r="50" spans="1:1" x14ac:dyDescent="0.25">
      <c r="A50" s="370" t="s">
        <v>14</v>
      </c>
    </row>
    <row r="51" spans="1:1" x14ac:dyDescent="0.25">
      <c r="A51" s="371" t="s">
        <v>55</v>
      </c>
    </row>
    <row r="52" spans="1:1" x14ac:dyDescent="0.25">
      <c r="A52" s="372" t="s">
        <v>38</v>
      </c>
    </row>
    <row r="53" spans="1:1" x14ac:dyDescent="0.25">
      <c r="A53" s="373" t="s">
        <v>95</v>
      </c>
    </row>
    <row r="54" spans="1:1" x14ac:dyDescent="0.25">
      <c r="A54" s="321" t="s">
        <v>306</v>
      </c>
    </row>
    <row r="55" spans="1:1" x14ac:dyDescent="0.25">
      <c r="A55" s="356" t="s">
        <v>307</v>
      </c>
    </row>
    <row r="56" spans="1:1" x14ac:dyDescent="0.25">
      <c r="A56" s="336" t="s">
        <v>310</v>
      </c>
    </row>
    <row r="57" spans="1:1" x14ac:dyDescent="0.25">
      <c r="A57" s="321" t="s">
        <v>312</v>
      </c>
    </row>
    <row r="58" spans="1:1" x14ac:dyDescent="0.25">
      <c r="A58" s="357" t="s">
        <v>117</v>
      </c>
    </row>
    <row r="59" spans="1:1" x14ac:dyDescent="0.25">
      <c r="A59" s="359" t="s">
        <v>50</v>
      </c>
    </row>
    <row r="60" spans="1:1" x14ac:dyDescent="0.25">
      <c r="A60" s="360" t="s">
        <v>238</v>
      </c>
    </row>
    <row r="61" spans="1:1" x14ac:dyDescent="0.25">
      <c r="A61" s="361" t="s">
        <v>231</v>
      </c>
    </row>
    <row r="62" spans="1:1" x14ac:dyDescent="0.25">
      <c r="A62" s="362" t="s">
        <v>52</v>
      </c>
    </row>
    <row r="63" spans="1:1" x14ac:dyDescent="0.25">
      <c r="A63" s="334" t="s">
        <v>10</v>
      </c>
    </row>
    <row r="64" spans="1:1" x14ac:dyDescent="0.25">
      <c r="A64" s="100" t="s">
        <v>176</v>
      </c>
    </row>
    <row r="65" spans="1:8" x14ac:dyDescent="0.25">
      <c r="A65" s="344" t="s">
        <v>177</v>
      </c>
    </row>
    <row r="66" spans="1:8" x14ac:dyDescent="0.25">
      <c r="A66" s="339" t="s">
        <v>178</v>
      </c>
    </row>
    <row r="67" spans="1:8" x14ac:dyDescent="0.25">
      <c r="A67" s="334" t="s">
        <v>179</v>
      </c>
    </row>
    <row r="68" spans="1:8" x14ac:dyDescent="0.25">
      <c r="A68" s="338" t="s">
        <v>180</v>
      </c>
    </row>
    <row r="69" spans="1:8" x14ac:dyDescent="0.25">
      <c r="A69" s="363" t="s">
        <v>121</v>
      </c>
    </row>
    <row r="70" spans="1:8" x14ac:dyDescent="0.25">
      <c r="A70" s="364" t="s">
        <v>107</v>
      </c>
    </row>
    <row r="71" spans="1:8" x14ac:dyDescent="0.25">
      <c r="A71" s="365" t="s">
        <v>140</v>
      </c>
    </row>
    <row r="72" spans="1:8" x14ac:dyDescent="0.25">
      <c r="A72" s="355" t="s">
        <v>135</v>
      </c>
    </row>
    <row r="73" spans="1:8" x14ac:dyDescent="0.25">
      <c r="A73" s="366" t="s">
        <v>13</v>
      </c>
    </row>
    <row r="74" spans="1:8" x14ac:dyDescent="0.25">
      <c r="A74" s="358" t="s">
        <v>99</v>
      </c>
      <c r="H74" s="343" t="s">
        <v>104</v>
      </c>
    </row>
    <row r="75" spans="1:8" x14ac:dyDescent="0.25">
      <c r="A75" s="367" t="s">
        <v>119</v>
      </c>
    </row>
    <row r="76" spans="1:8" x14ac:dyDescent="0.25">
      <c r="A76" s="323" t="s">
        <v>118</v>
      </c>
    </row>
    <row r="77" spans="1:8" x14ac:dyDescent="0.25">
      <c r="A77" s="335" t="s">
        <v>332</v>
      </c>
    </row>
    <row r="78" spans="1:8" x14ac:dyDescent="0.25">
      <c r="A78" s="323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V41"/>
  <sheetViews>
    <sheetView zoomScale="70" zoomScaleNormal="70" workbookViewId="0">
      <selection activeCell="C6" sqref="C6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11.42578125" style="1" customWidth="1"/>
    <col min="4" max="4" width="11" style="1" bestFit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9" width="9.140625" style="1"/>
    <col min="20" max="20" width="15" style="1" bestFit="1" customWidth="1"/>
    <col min="21" max="16384" width="9.140625" style="1"/>
  </cols>
  <sheetData>
    <row r="1" spans="1:22" x14ac:dyDescent="0.25">
      <c r="A1" s="205" t="s">
        <v>271</v>
      </c>
      <c r="B1" s="73" t="s">
        <v>297</v>
      </c>
    </row>
    <row r="2" spans="1:22" ht="42.95" customHeight="1" x14ac:dyDescent="0.25">
      <c r="A2" s="200" t="s">
        <v>281</v>
      </c>
      <c r="B2" s="24" t="s">
        <v>65</v>
      </c>
      <c r="C2" s="24">
        <f>År2</f>
        <v>2030</v>
      </c>
      <c r="D2" s="24">
        <f>År3</f>
        <v>2050</v>
      </c>
      <c r="E2" s="24" t="s">
        <v>39</v>
      </c>
      <c r="F2" s="24" t="s">
        <v>34</v>
      </c>
      <c r="G2" s="24" t="s">
        <v>35</v>
      </c>
      <c r="J2" s="6" t="s">
        <v>304</v>
      </c>
      <c r="K2" s="6"/>
      <c r="L2" s="6"/>
      <c r="M2" s="6"/>
      <c r="N2" s="6"/>
      <c r="O2" s="6"/>
      <c r="P2" s="6"/>
    </row>
    <row r="3" spans="1:22" x14ac:dyDescent="0.25">
      <c r="A3" s="2" t="s">
        <v>264</v>
      </c>
      <c r="B3" s="2"/>
      <c r="C3" s="9">
        <f>D3/($D$2-2023)*($C$2-2023)</f>
        <v>20282.370370370369</v>
      </c>
      <c r="D3" s="9">
        <f>L6</f>
        <v>78232</v>
      </c>
      <c r="E3" s="9" t="s">
        <v>40</v>
      </c>
      <c r="F3" s="104" t="s">
        <v>9</v>
      </c>
      <c r="G3" s="104" t="s">
        <v>33</v>
      </c>
      <c r="I3" s="2" t="s">
        <v>175</v>
      </c>
      <c r="J3" s="24">
        <f>År1</f>
        <v>2019</v>
      </c>
      <c r="K3" s="24">
        <f>År1</f>
        <v>2019</v>
      </c>
      <c r="L3" s="24">
        <f>År1</f>
        <v>2019</v>
      </c>
      <c r="M3" s="24">
        <f>År2</f>
        <v>2030</v>
      </c>
      <c r="N3" s="24">
        <f>År2</f>
        <v>2030</v>
      </c>
      <c r="O3" s="24">
        <f>År2</f>
        <v>2030</v>
      </c>
      <c r="P3" s="24">
        <f>År3</f>
        <v>2050</v>
      </c>
      <c r="Q3" s="24">
        <f>År3</f>
        <v>2050</v>
      </c>
      <c r="R3" s="24">
        <f>År3</f>
        <v>2050</v>
      </c>
      <c r="T3" s="1">
        <v>2019</v>
      </c>
      <c r="U3" s="1">
        <v>2030</v>
      </c>
      <c r="V3" s="1">
        <v>2050</v>
      </c>
    </row>
    <row r="4" spans="1:22" x14ac:dyDescent="0.25">
      <c r="A4" s="2" t="s">
        <v>265</v>
      </c>
      <c r="B4" s="2"/>
      <c r="C4" s="9">
        <f t="shared" ref="C4" si="0">D4/($D$2-2023)*($C$2-2023)</f>
        <v>5643.5555555555547</v>
      </c>
      <c r="D4" s="21">
        <f>100000-D3</f>
        <v>21768</v>
      </c>
      <c r="E4" s="9" t="s">
        <v>41</v>
      </c>
      <c r="F4" s="104" t="s">
        <v>9</v>
      </c>
      <c r="G4" s="104" t="s">
        <v>33</v>
      </c>
      <c r="I4" s="2"/>
      <c r="J4" s="24" t="str">
        <f>Jordbund1</f>
        <v>JB1-10</v>
      </c>
      <c r="K4" s="24" t="str">
        <f>Organ6</f>
        <v>OC6</v>
      </c>
      <c r="L4" s="24" t="str">
        <f>Organ12</f>
        <v>OC12</v>
      </c>
      <c r="M4" s="24" t="str">
        <f>Jordbund1</f>
        <v>JB1-10</v>
      </c>
      <c r="N4" s="24" t="str">
        <f>Organ6</f>
        <v>OC6</v>
      </c>
      <c r="O4" s="24" t="str">
        <f>Organ12</f>
        <v>OC12</v>
      </c>
      <c r="P4" s="24" t="str">
        <f>Jordbund1</f>
        <v>JB1-10</v>
      </c>
      <c r="Q4" s="24" t="str">
        <f>Organ6</f>
        <v>OC6</v>
      </c>
      <c r="R4" s="24" t="str">
        <f>Organ12</f>
        <v>OC12</v>
      </c>
    </row>
    <row r="5" spans="1:22" x14ac:dyDescent="0.25">
      <c r="A5" s="2" t="s">
        <v>36</v>
      </c>
      <c r="B5" s="196"/>
      <c r="C5" s="9">
        <v>125000</v>
      </c>
      <c r="D5" s="9">
        <v>250000</v>
      </c>
      <c r="E5" s="9" t="s">
        <v>267</v>
      </c>
      <c r="F5" s="104" t="s">
        <v>9</v>
      </c>
      <c r="G5" s="104" t="s">
        <v>10</v>
      </c>
      <c r="I5" s="25" t="str">
        <f>Bebyg</f>
        <v>Bebyggelse &amp; infrastruktur</v>
      </c>
      <c r="J5" s="16">
        <f t="shared" ref="J5:R5" si="1">SUM(J25,J35)</f>
        <v>592120</v>
      </c>
      <c r="K5" s="16">
        <f t="shared" si="1"/>
        <v>0</v>
      </c>
      <c r="L5" s="16">
        <f t="shared" si="1"/>
        <v>0</v>
      </c>
      <c r="M5" s="17">
        <f t="shared" si="1"/>
        <v>592120</v>
      </c>
      <c r="N5" s="17">
        <f t="shared" si="1"/>
        <v>0</v>
      </c>
      <c r="O5" s="17">
        <f t="shared" si="1"/>
        <v>0</v>
      </c>
      <c r="P5" s="17">
        <f t="shared" si="1"/>
        <v>592120</v>
      </c>
      <c r="Q5" s="17">
        <f t="shared" si="1"/>
        <v>0</v>
      </c>
      <c r="R5" s="17">
        <f t="shared" si="1"/>
        <v>0</v>
      </c>
      <c r="T5" s="14">
        <f>SUMIFS($J5:$R5,$J$3:$R$3,T$3)/4293300</f>
        <v>0.13791721985419142</v>
      </c>
      <c r="U5" s="14">
        <f t="shared" ref="U5:V9" si="2">SUMIFS($J5:$R5,$J$3:$R$3,U$3)/4293300</f>
        <v>0.13791721985419142</v>
      </c>
      <c r="V5" s="14">
        <f t="shared" si="2"/>
        <v>0.13791721985419142</v>
      </c>
    </row>
    <row r="6" spans="1:22" x14ac:dyDescent="0.25">
      <c r="A6" s="2"/>
      <c r="B6" s="2"/>
      <c r="C6" s="9"/>
      <c r="D6" s="9"/>
      <c r="E6" s="9"/>
      <c r="F6" s="104"/>
      <c r="G6" s="104"/>
      <c r="I6" s="25" t="str">
        <f>Afgrøder</f>
        <v>Landbrugsafgrøder</v>
      </c>
      <c r="J6" s="16">
        <f t="shared" ref="J6:R6" si="3">SUM(J26,J36)</f>
        <v>2399936</v>
      </c>
      <c r="K6" s="16">
        <f t="shared" si="3"/>
        <v>100502</v>
      </c>
      <c r="L6" s="16">
        <f t="shared" si="3"/>
        <v>78232</v>
      </c>
      <c r="M6" s="17">
        <f t="shared" si="3"/>
        <v>2274936</v>
      </c>
      <c r="N6" s="17">
        <f t="shared" si="3"/>
        <v>94858.444444444453</v>
      </c>
      <c r="O6" s="17">
        <f t="shared" si="3"/>
        <v>57949.62962962962</v>
      </c>
      <c r="P6" s="17">
        <f t="shared" si="3"/>
        <v>2149935.9999999995</v>
      </c>
      <c r="Q6" s="17">
        <f t="shared" si="3"/>
        <v>78734</v>
      </c>
      <c r="R6" s="17">
        <f t="shared" si="3"/>
        <v>0</v>
      </c>
      <c r="T6" s="14">
        <f t="shared" ref="T6:T9" si="4">SUMIFS($J6:$R6,$J$3:$R$3,T$3)/4293300</f>
        <v>0.60062655765960915</v>
      </c>
      <c r="U6" s="14">
        <f t="shared" si="2"/>
        <v>0.56547273055087555</v>
      </c>
      <c r="V6" s="14">
        <f t="shared" si="2"/>
        <v>0.51910418559150295</v>
      </c>
    </row>
    <row r="7" spans="1:22" x14ac:dyDescent="0.25">
      <c r="A7" s="2"/>
      <c r="B7" s="2"/>
      <c r="C7" s="9"/>
      <c r="D7" s="9"/>
      <c r="E7" s="9"/>
      <c r="F7" s="104"/>
      <c r="G7" s="104"/>
      <c r="I7" s="25" t="str">
        <f>SkovAreal</f>
        <v>Skov</v>
      </c>
      <c r="J7" s="16">
        <f t="shared" ref="J7:R7" si="5">SUM(J27,J37)</f>
        <v>562410</v>
      </c>
      <c r="K7" s="16">
        <f t="shared" si="5"/>
        <v>0</v>
      </c>
      <c r="L7" s="16">
        <f t="shared" si="5"/>
        <v>0</v>
      </c>
      <c r="M7" s="17">
        <f t="shared" si="5"/>
        <v>687410</v>
      </c>
      <c r="N7" s="17">
        <f t="shared" si="5"/>
        <v>0</v>
      </c>
      <c r="O7" s="17">
        <f t="shared" si="5"/>
        <v>0</v>
      </c>
      <c r="P7" s="17">
        <f t="shared" si="5"/>
        <v>812410</v>
      </c>
      <c r="Q7" s="17">
        <f t="shared" si="5"/>
        <v>0</v>
      </c>
      <c r="R7" s="17">
        <f t="shared" si="5"/>
        <v>0</v>
      </c>
      <c r="T7" s="14">
        <f t="shared" si="4"/>
        <v>0.13099713507092448</v>
      </c>
      <c r="U7" s="14">
        <f t="shared" si="2"/>
        <v>0.16011226795239095</v>
      </c>
      <c r="V7" s="14">
        <f t="shared" si="2"/>
        <v>0.18922740083385742</v>
      </c>
    </row>
    <row r="8" spans="1:22" x14ac:dyDescent="0.25">
      <c r="A8" s="2"/>
      <c r="B8" s="2"/>
      <c r="C8" s="9"/>
      <c r="D8" s="9"/>
      <c r="E8" s="9"/>
      <c r="F8" s="104"/>
      <c r="G8" s="104"/>
      <c r="I8" s="25" t="str">
        <f>NaturAreal</f>
        <v>Natur</v>
      </c>
      <c r="J8" s="16">
        <f t="shared" ref="J8:R8" si="6">SUM(J28,J38)</f>
        <v>393324.00000000006</v>
      </c>
      <c r="K8" s="16">
        <f t="shared" si="6"/>
        <v>61498</v>
      </c>
      <c r="L8" s="16">
        <f t="shared" si="6"/>
        <v>50768</v>
      </c>
      <c r="M8" s="17">
        <f t="shared" si="6"/>
        <v>393324.00000000006</v>
      </c>
      <c r="N8" s="17">
        <f t="shared" si="6"/>
        <v>67141.555555555562</v>
      </c>
      <c r="O8" s="17">
        <f t="shared" si="6"/>
        <v>71050.370370370365</v>
      </c>
      <c r="P8" s="17">
        <f t="shared" si="6"/>
        <v>393324.00000000006</v>
      </c>
      <c r="Q8" s="17">
        <f t="shared" si="6"/>
        <v>83266</v>
      </c>
      <c r="R8" s="17">
        <f t="shared" si="6"/>
        <v>128999.99999999999</v>
      </c>
      <c r="T8" s="14">
        <f t="shared" si="4"/>
        <v>0.11776256026832507</v>
      </c>
      <c r="U8" s="14">
        <f t="shared" si="2"/>
        <v>0.12380125449559219</v>
      </c>
      <c r="V8" s="14">
        <f t="shared" si="2"/>
        <v>0.14105466657349824</v>
      </c>
    </row>
    <row r="9" spans="1:22" ht="15.75" thickBot="1" x14ac:dyDescent="0.3">
      <c r="A9" s="2"/>
      <c r="B9" s="2"/>
      <c r="C9" s="9"/>
      <c r="D9" s="9"/>
      <c r="E9" s="9"/>
      <c r="F9" s="104"/>
      <c r="G9" s="104"/>
      <c r="I9" s="26" t="str">
        <f>IKareal</f>
        <v>Ikke klassificeret</v>
      </c>
      <c r="J9" s="18">
        <f t="shared" ref="J9:R9" si="7">SUM(J29,J39)</f>
        <v>66640</v>
      </c>
      <c r="K9" s="18">
        <f t="shared" si="7"/>
        <v>0</v>
      </c>
      <c r="L9" s="18">
        <f t="shared" si="7"/>
        <v>0</v>
      </c>
      <c r="M9" s="88">
        <f t="shared" si="7"/>
        <v>66640</v>
      </c>
      <c r="N9" s="88">
        <f t="shared" si="7"/>
        <v>0</v>
      </c>
      <c r="O9" s="88">
        <f t="shared" si="7"/>
        <v>0</v>
      </c>
      <c r="P9" s="88">
        <f t="shared" si="7"/>
        <v>66640</v>
      </c>
      <c r="Q9" s="88">
        <f t="shared" si="7"/>
        <v>0</v>
      </c>
      <c r="R9" s="88">
        <f t="shared" si="7"/>
        <v>0</v>
      </c>
      <c r="T9" s="14">
        <f t="shared" si="4"/>
        <v>1.5521859641767406E-2</v>
      </c>
      <c r="U9" s="14">
        <f t="shared" si="2"/>
        <v>1.5521859641767406E-2</v>
      </c>
      <c r="V9" s="14">
        <f t="shared" si="2"/>
        <v>1.5521859641767406E-2</v>
      </c>
    </row>
    <row r="10" spans="1:22" x14ac:dyDescent="0.25">
      <c r="A10" s="2"/>
      <c r="B10" s="2"/>
      <c r="C10" s="9"/>
      <c r="D10" s="9"/>
      <c r="E10" s="9"/>
      <c r="F10" s="104"/>
      <c r="G10" s="104"/>
      <c r="I10" s="27" t="s">
        <v>30</v>
      </c>
      <c r="J10" s="19">
        <f t="shared" ref="J10:R10" si="8">SUM(J5:J9)</f>
        <v>4014430</v>
      </c>
      <c r="K10" s="19">
        <f t="shared" si="8"/>
        <v>162000</v>
      </c>
      <c r="L10" s="19">
        <f t="shared" si="8"/>
        <v>129000</v>
      </c>
      <c r="M10" s="20">
        <f t="shared" si="8"/>
        <v>4014430</v>
      </c>
      <c r="N10" s="20">
        <f t="shared" si="8"/>
        <v>162000</v>
      </c>
      <c r="O10" s="20">
        <f t="shared" si="8"/>
        <v>128999.99999999999</v>
      </c>
      <c r="P10" s="20">
        <f t="shared" si="8"/>
        <v>4014429.9999999995</v>
      </c>
      <c r="Q10" s="20">
        <f t="shared" si="8"/>
        <v>162000</v>
      </c>
      <c r="R10" s="20">
        <f t="shared" si="8"/>
        <v>128999.99999999999</v>
      </c>
    </row>
    <row r="11" spans="1:22" x14ac:dyDescent="0.25">
      <c r="A11" s="2"/>
      <c r="B11" s="2"/>
      <c r="C11" s="9"/>
      <c r="D11" s="9"/>
      <c r="E11" s="9"/>
      <c r="F11" s="104"/>
      <c r="G11" s="104"/>
    </row>
    <row r="12" spans="1:22" x14ac:dyDescent="0.25">
      <c r="A12" s="2"/>
      <c r="B12" s="2"/>
      <c r="C12" s="9"/>
      <c r="D12" s="9"/>
      <c r="E12" s="9"/>
      <c r="F12" s="104"/>
      <c r="G12" s="104"/>
    </row>
    <row r="13" spans="1:22" x14ac:dyDescent="0.25">
      <c r="A13" s="2"/>
      <c r="B13" s="2"/>
      <c r="C13" s="9"/>
      <c r="D13" s="9"/>
      <c r="E13" s="9"/>
      <c r="F13" s="104"/>
      <c r="G13" s="104"/>
    </row>
    <row r="14" spans="1:22" x14ac:dyDescent="0.25">
      <c r="A14" s="2"/>
      <c r="B14" s="2"/>
      <c r="C14" s="9"/>
      <c r="D14" s="9"/>
      <c r="E14" s="9"/>
      <c r="F14" s="104"/>
      <c r="G14" s="104"/>
      <c r="T14" s="389">
        <f>4293300*0.25</f>
        <v>1073325</v>
      </c>
    </row>
    <row r="15" spans="1:22" x14ac:dyDescent="0.25">
      <c r="A15" s="2"/>
      <c r="B15" s="2"/>
      <c r="C15" s="9"/>
      <c r="D15" s="9"/>
      <c r="E15" s="9"/>
      <c r="F15" s="104"/>
      <c r="G15" s="104"/>
    </row>
    <row r="16" spans="1:22" x14ac:dyDescent="0.25">
      <c r="A16" s="2"/>
      <c r="B16" s="2"/>
      <c r="C16" s="9"/>
      <c r="D16" s="9"/>
      <c r="E16" s="9"/>
      <c r="F16" s="104"/>
      <c r="G16" s="104"/>
    </row>
    <row r="17" spans="1:18" x14ac:dyDescent="0.25">
      <c r="A17" s="2"/>
      <c r="B17" s="2"/>
      <c r="C17" s="9"/>
      <c r="D17" s="9"/>
      <c r="E17" s="9"/>
      <c r="F17" s="104"/>
      <c r="G17" s="104"/>
    </row>
    <row r="18" spans="1:18" x14ac:dyDescent="0.25">
      <c r="D18" s="14"/>
      <c r="E18" s="14"/>
      <c r="F18" s="14"/>
      <c r="G18" s="14"/>
    </row>
    <row r="19" spans="1:18" x14ac:dyDescent="0.25">
      <c r="D19" s="14"/>
      <c r="E19" s="14"/>
      <c r="F19" s="14"/>
      <c r="G19" s="14"/>
    </row>
    <row r="20" spans="1:18" x14ac:dyDescent="0.25">
      <c r="D20" s="14"/>
      <c r="E20" s="14"/>
      <c r="F20" s="14"/>
      <c r="G20" s="14"/>
    </row>
    <row r="21" spans="1:18" hidden="1" x14ac:dyDescent="0.25">
      <c r="D21" s="14"/>
      <c r="E21" s="14"/>
      <c r="F21" s="14"/>
      <c r="G21" s="14"/>
    </row>
    <row r="22" spans="1:18" hidden="1" x14ac:dyDescent="0.25">
      <c r="D22" s="14"/>
      <c r="E22" s="14"/>
      <c r="F22" s="14"/>
      <c r="G22" s="14"/>
      <c r="I22" s="233"/>
      <c r="J22" s="234" t="s">
        <v>298</v>
      </c>
      <c r="K22" s="234"/>
      <c r="L22" s="234"/>
      <c r="M22" s="234"/>
      <c r="N22" s="234"/>
      <c r="O22" s="234"/>
      <c r="P22" s="234"/>
      <c r="Q22" s="233"/>
      <c r="R22" s="233"/>
    </row>
    <row r="23" spans="1:18" hidden="1" x14ac:dyDescent="0.25">
      <c r="D23" s="14"/>
      <c r="E23" s="14"/>
      <c r="F23" s="14"/>
      <c r="G23" s="14"/>
      <c r="I23" s="235" t="s">
        <v>175</v>
      </c>
      <c r="J23" s="236">
        <f>År1</f>
        <v>2019</v>
      </c>
      <c r="K23" s="236">
        <f>År1</f>
        <v>2019</v>
      </c>
      <c r="L23" s="236">
        <f>År1</f>
        <v>2019</v>
      </c>
      <c r="M23" s="236">
        <f>År2</f>
        <v>2030</v>
      </c>
      <c r="N23" s="236">
        <f>År2</f>
        <v>2030</v>
      </c>
      <c r="O23" s="236">
        <f>År2</f>
        <v>2030</v>
      </c>
      <c r="P23" s="236">
        <f>År3</f>
        <v>2050</v>
      </c>
      <c r="Q23" s="236">
        <f>År3</f>
        <v>2050</v>
      </c>
      <c r="R23" s="236">
        <f>År3</f>
        <v>2050</v>
      </c>
    </row>
    <row r="24" spans="1:18" hidden="1" x14ac:dyDescent="0.25">
      <c r="D24" s="14"/>
      <c r="E24" s="14"/>
      <c r="F24" s="14"/>
      <c r="G24" s="14"/>
      <c r="I24" s="235"/>
      <c r="J24" s="236" t="str">
        <f>Jordbund1</f>
        <v>JB1-10</v>
      </c>
      <c r="K24" s="236" t="str">
        <f>Organ6</f>
        <v>OC6</v>
      </c>
      <c r="L24" s="236" t="str">
        <f>Organ12</f>
        <v>OC12</v>
      </c>
      <c r="M24" s="236" t="str">
        <f>Jordbund1</f>
        <v>JB1-10</v>
      </c>
      <c r="N24" s="236" t="str">
        <f>Organ6</f>
        <v>OC6</v>
      </c>
      <c r="O24" s="236" t="str">
        <f>Organ12</f>
        <v>OC12</v>
      </c>
      <c r="P24" s="236" t="str">
        <f>Jordbund1</f>
        <v>JB1-10</v>
      </c>
      <c r="Q24" s="236" t="str">
        <f>Organ6</f>
        <v>OC6</v>
      </c>
      <c r="R24" s="236" t="str">
        <f>Organ12</f>
        <v>OC12</v>
      </c>
    </row>
    <row r="25" spans="1:18" hidden="1" x14ac:dyDescent="0.25">
      <c r="D25" s="14"/>
      <c r="E25" s="14"/>
      <c r="F25" s="14"/>
      <c r="G25" s="14"/>
      <c r="I25" s="237" t="str">
        <f>Bebyg</f>
        <v>Bebyggelse &amp; infrastruktur</v>
      </c>
      <c r="J25" s="243">
        <f>SUMIF([1]Arealanvendelse!$B$15:$B$22,I25,[1]Arealanvendelse!$D$15:$D$22)-SUM(K25:L25)</f>
        <v>413346.96815611009</v>
      </c>
      <c r="K25" s="243"/>
      <c r="L25" s="243"/>
      <c r="M25" s="246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46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46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46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46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46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4"/>
      <c r="E26" s="14"/>
      <c r="F26" s="14"/>
      <c r="G26" s="14"/>
      <c r="I26" s="237" t="str">
        <f>Afgrøder</f>
        <v>Landbrugsafgrøder</v>
      </c>
      <c r="J26" s="243">
        <f>SUMIF([1]Arealanvendelse!$B$15:$B$22,I26,[1]Arealanvendelse!$D$15:$D$22)-SUM(K26:L26)</f>
        <v>1853876.1391137983</v>
      </c>
      <c r="K26" s="243">
        <f>[1]Jordbundstypefordeling!$D$16*[1]Jordbundstypefordeling!$F$4</f>
        <v>87250.625185185185</v>
      </c>
      <c r="L26" s="243">
        <f>[1]Jordbundstypefordeling!$D$15*[1]Jordbundstypefordeling!$F$4</f>
        <v>67916.965925925921</v>
      </c>
      <c r="M26" s="246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1745357.6205952798</v>
      </c>
      <c r="N26" s="246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82351.182880658438</v>
      </c>
      <c r="O26" s="246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50308.863648834013</v>
      </c>
      <c r="P26" s="246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1636839.1020767612</v>
      </c>
      <c r="Q26" s="246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68352.776296296302</v>
      </c>
      <c r="R26" s="246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0</v>
      </c>
    </row>
    <row r="27" spans="1:18" hidden="1" x14ac:dyDescent="0.25">
      <c r="D27" s="14"/>
      <c r="E27" s="14"/>
      <c r="F27" s="14"/>
      <c r="G27" s="14"/>
      <c r="I27" s="237" t="str">
        <f>SkovAreal</f>
        <v>Skov</v>
      </c>
      <c r="J27" s="243">
        <f>SUMIF([1]Arealanvendelse!$B$15:$B$22,I27,[1]Arealanvendelse!$D$15:$D$22)-SUM(K27:L27)</f>
        <v>435064.52162306459</v>
      </c>
      <c r="K27" s="243"/>
      <c r="L27" s="243"/>
      <c r="M27" s="246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543583.04014158307</v>
      </c>
      <c r="N27" s="246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46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46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652101.55866010161</v>
      </c>
      <c r="Q27" s="246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46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4"/>
      <c r="E28" s="14"/>
      <c r="F28" s="14"/>
      <c r="G28" s="14"/>
      <c r="I28" s="237" t="str">
        <f>NaturAreal</f>
        <v>Natur</v>
      </c>
      <c r="J28" s="243">
        <f>SUMIF([1]Arealanvendelse!$B$15:$B$22,I28,[1]Arealanvendelse!$D$15:$D$22)-SUM(K28:L28)</f>
        <v>317835.5825103767</v>
      </c>
      <c r="K28" s="243">
        <f>([1]Jordbundstypefordeling!$E$16-[1]Jordbundstypefordeling!$D$16)*SUM([1]Jordbundstypefordeling!$D$3:$D$5)</f>
        <v>53389.374814814815</v>
      </c>
      <c r="L28" s="243">
        <f>([1]Jordbundstypefordeling!$E$15-[1]Jordbundstypefordeling!$D$15)*SUM([1]Jordbundstypefordeling!D3:D5)</f>
        <v>44074.145185185182</v>
      </c>
      <c r="M28" s="246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46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58288.817119341562</v>
      </c>
      <c r="O28" s="246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61682.247462277082</v>
      </c>
      <c r="P28" s="246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46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72287.223703703698</v>
      </c>
      <c r="R28" s="246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111991.11111111109</v>
      </c>
    </row>
    <row r="29" spans="1:18" ht="15.75" hidden="1" thickBot="1" x14ac:dyDescent="0.3">
      <c r="D29" s="14"/>
      <c r="E29" s="14"/>
      <c r="F29" s="14"/>
      <c r="G29" s="14"/>
      <c r="I29" s="238" t="str">
        <f>IKareal</f>
        <v>Ikke klassificeret</v>
      </c>
      <c r="J29" s="244">
        <f>SUMIF([1]Arealanvendelse!$B$15:$B$22,I29,[1]Arealanvendelse!$D$15:$D$22)-SUM(K29:L29)</f>
        <v>47192.371697540235</v>
      </c>
      <c r="K29" s="244"/>
      <c r="L29" s="244"/>
      <c r="M29" s="247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47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47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47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47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47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39" t="s">
        <v>30</v>
      </c>
      <c r="J30" s="245">
        <f t="shared" ref="J30:R30" si="9">SUM(J25:J29)</f>
        <v>3067315.5831008903</v>
      </c>
      <c r="K30" s="245">
        <f t="shared" si="9"/>
        <v>140640</v>
      </c>
      <c r="L30" s="245">
        <f t="shared" si="9"/>
        <v>111991.11111111109</v>
      </c>
      <c r="M30" s="248">
        <f t="shared" si="9"/>
        <v>3067315.5831008903</v>
      </c>
      <c r="N30" s="248">
        <f t="shared" si="9"/>
        <v>140640</v>
      </c>
      <c r="O30" s="248">
        <f t="shared" si="9"/>
        <v>111991.11111111109</v>
      </c>
      <c r="P30" s="248">
        <f t="shared" si="9"/>
        <v>3067315.5831008903</v>
      </c>
      <c r="Q30" s="248">
        <f t="shared" si="9"/>
        <v>140640</v>
      </c>
      <c r="R30" s="248">
        <f t="shared" si="9"/>
        <v>111991.11111111109</v>
      </c>
    </row>
    <row r="31" spans="1:18" hidden="1" x14ac:dyDescent="0.25">
      <c r="I31" s="240"/>
      <c r="J31" s="241"/>
      <c r="K31" s="241"/>
      <c r="L31" s="241"/>
      <c r="M31" s="242"/>
      <c r="N31" s="241"/>
      <c r="O31" s="241"/>
      <c r="P31" s="241"/>
      <c r="Q31" s="241"/>
      <c r="R31" s="241"/>
    </row>
    <row r="32" spans="1:18" hidden="1" x14ac:dyDescent="0.25">
      <c r="I32" s="240"/>
      <c r="J32" s="234" t="s">
        <v>299</v>
      </c>
      <c r="K32" s="234"/>
      <c r="L32" s="234"/>
      <c r="M32" s="234"/>
      <c r="N32" s="234"/>
      <c r="O32" s="234"/>
      <c r="P32" s="234"/>
      <c r="Q32" s="234"/>
      <c r="R32" s="234"/>
    </row>
    <row r="33" spans="9:18" hidden="1" x14ac:dyDescent="0.25">
      <c r="I33" s="235" t="s">
        <v>175</v>
      </c>
      <c r="J33" s="236">
        <f>År1</f>
        <v>2019</v>
      </c>
      <c r="K33" s="236">
        <f>År1</f>
        <v>2019</v>
      </c>
      <c r="L33" s="236">
        <f>År1</f>
        <v>2019</v>
      </c>
      <c r="M33" s="236">
        <v>2030</v>
      </c>
      <c r="N33" s="236">
        <v>2030</v>
      </c>
      <c r="O33" s="236">
        <v>2030</v>
      </c>
      <c r="P33" s="236">
        <f>År3</f>
        <v>2050</v>
      </c>
      <c r="Q33" s="236">
        <f>År3</f>
        <v>2050</v>
      </c>
      <c r="R33" s="236">
        <f>År3</f>
        <v>2050</v>
      </c>
    </row>
    <row r="34" spans="9:18" hidden="1" x14ac:dyDescent="0.25">
      <c r="I34" s="235"/>
      <c r="J34" s="236" t="str">
        <f>Jordbund1</f>
        <v>JB1-10</v>
      </c>
      <c r="K34" s="236" t="str">
        <f>Organ6</f>
        <v>OC6</v>
      </c>
      <c r="L34" s="236" t="str">
        <f>Organ12</f>
        <v>OC12</v>
      </c>
      <c r="M34" s="236" t="str">
        <f>Jordbund1</f>
        <v>JB1-10</v>
      </c>
      <c r="N34" s="236" t="str">
        <f>Organ6</f>
        <v>OC6</v>
      </c>
      <c r="O34" s="236" t="str">
        <f>Organ12</f>
        <v>OC12</v>
      </c>
      <c r="P34" s="236" t="str">
        <f>Jordbund1</f>
        <v>JB1-10</v>
      </c>
      <c r="Q34" s="236" t="str">
        <f>Organ6</f>
        <v>OC6</v>
      </c>
      <c r="R34" s="236" t="str">
        <f>Organ12</f>
        <v>OC12</v>
      </c>
    </row>
    <row r="35" spans="9:18" hidden="1" x14ac:dyDescent="0.25">
      <c r="I35" s="237" t="str">
        <f>Bebyg</f>
        <v>Bebyggelse &amp; infrastruktur</v>
      </c>
      <c r="J35" s="243">
        <f>SUMIF([1]Arealanvendelse!$B$15:$B$22,I35,[1]Arealanvendelse!$E$15:$E$22)-SUM(K35:L35)</f>
        <v>178773.03184388991</v>
      </c>
      <c r="K35" s="243"/>
      <c r="L35" s="243"/>
      <c r="M35" s="246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46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46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46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46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46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37" t="str">
        <f>Afgrøder</f>
        <v>Landbrugsafgrøder</v>
      </c>
      <c r="J36" s="243">
        <f>SUMIF([1]Arealanvendelse!$B$15:$B$22,I36,[1]Arealanvendelse!$E$15:$E$22)-SUM(K36:L36)</f>
        <v>546059.8608862015</v>
      </c>
      <c r="K36" s="243">
        <f>[1]Jordbundstypefordeling!$D$16*[1]Jordbundstypefordeling!$G$4</f>
        <v>13251.374814814815</v>
      </c>
      <c r="L36" s="243">
        <f>[1]Jordbundstypefordeling!$D$15*[1]Jordbundstypefordeling!$G$4</f>
        <v>10315.034074074074</v>
      </c>
      <c r="M36" s="246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529578.37940472004</v>
      </c>
      <c r="N36" s="246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12507.261563786009</v>
      </c>
      <c r="O36" s="246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7640.7659807956097</v>
      </c>
      <c r="P36" s="246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513096.89792323852</v>
      </c>
      <c r="Q36" s="246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10381.223703703705</v>
      </c>
      <c r="R36" s="246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0</v>
      </c>
    </row>
    <row r="37" spans="9:18" hidden="1" x14ac:dyDescent="0.25">
      <c r="I37" s="237" t="str">
        <f>SkovAreal</f>
        <v>Skov</v>
      </c>
      <c r="J37" s="243">
        <f>SUMIF([1]Arealanvendelse!$B$15:$B$22,I37,[1]Arealanvendelse!$E$15:$E$22)-SUM(K37:L37)</f>
        <v>127345.4783769354</v>
      </c>
      <c r="K37" s="243"/>
      <c r="L37" s="243"/>
      <c r="M37" s="246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143826.95985841687</v>
      </c>
      <c r="N37" s="246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46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46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160308.44133989836</v>
      </c>
      <c r="Q37" s="246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46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37" t="str">
        <f>NaturAreal</f>
        <v>Natur</v>
      </c>
      <c r="J38" s="243">
        <f>SUMIF([1]Arealanvendelse!$B$15:$B$22,I38,[1]Arealanvendelse!$E$15:$E$22)-SUM(K38:L38)</f>
        <v>75488.417489623345</v>
      </c>
      <c r="K38" s="243">
        <f>([1]Jordbundstypefordeling!$E$16-[1]Jordbundstypefordeling!$D$16)*[1]Jordbundstypefordeling!$G$4</f>
        <v>8108.6251851851857</v>
      </c>
      <c r="L38" s="243">
        <f>([1]Jordbundstypefordeling!$E$15-[1]Jordbundstypefordeling!$D$15)*[1]Jordbundstypefordeling!$G$4</f>
        <v>6693.8548148148147</v>
      </c>
      <c r="M38" s="246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46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8852.7384362139928</v>
      </c>
      <c r="O38" s="246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9368.122908093279</v>
      </c>
      <c r="P38" s="246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46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10978.776296296297</v>
      </c>
      <c r="R38" s="246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17008.888888888891</v>
      </c>
    </row>
    <row r="39" spans="9:18" ht="15.75" hidden="1" thickBot="1" x14ac:dyDescent="0.3">
      <c r="I39" s="238" t="str">
        <f>IKareal</f>
        <v>Ikke klassificeret</v>
      </c>
      <c r="J39" s="244">
        <f>SUMIF([1]Arealanvendelse!$B$15:$B$22,I39,[1]Arealanvendelse!$E$15:$E$22)-SUM(K39:L39)</f>
        <v>19447.628302459765</v>
      </c>
      <c r="K39" s="244"/>
      <c r="L39" s="244"/>
      <c r="M39" s="247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47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47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47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47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47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39" t="s">
        <v>30</v>
      </c>
      <c r="J40" s="245">
        <f t="shared" ref="J40:R40" si="10">SUM(J35:J39)</f>
        <v>947114.41689910984</v>
      </c>
      <c r="K40" s="245">
        <f t="shared" si="10"/>
        <v>21360</v>
      </c>
      <c r="L40" s="245">
        <f t="shared" si="10"/>
        <v>17008.888888888891</v>
      </c>
      <c r="M40" s="248">
        <f t="shared" si="10"/>
        <v>947114.41689910972</v>
      </c>
      <c r="N40" s="248">
        <f t="shared" si="10"/>
        <v>21360</v>
      </c>
      <c r="O40" s="248">
        <f t="shared" si="10"/>
        <v>17008.888888888891</v>
      </c>
      <c r="P40" s="248">
        <f t="shared" si="10"/>
        <v>947114.41689910984</v>
      </c>
      <c r="Q40" s="248">
        <f t="shared" si="10"/>
        <v>21360</v>
      </c>
      <c r="R40" s="248">
        <f t="shared" si="10"/>
        <v>17008.888888888891</v>
      </c>
    </row>
    <row r="41" spans="9:18" hidden="1" x14ac:dyDescent="0.25"/>
  </sheetData>
  <conditionalFormatting sqref="J5:R9">
    <cfRule type="cellIs" dxfId="7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I56"/>
  <sheetViews>
    <sheetView topLeftCell="A23" zoomScale="90" zoomScaleNormal="90" workbookViewId="0">
      <selection activeCell="B35" sqref="B35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04" t="s">
        <v>271</v>
      </c>
    </row>
    <row r="2" spans="1:9" ht="15.75" x14ac:dyDescent="0.25">
      <c r="A2" s="201" t="s">
        <v>66</v>
      </c>
    </row>
    <row r="3" spans="1:9" x14ac:dyDescent="0.25">
      <c r="B3" s="80"/>
      <c r="C3" s="81"/>
      <c r="D3" s="81"/>
      <c r="E3" s="81"/>
      <c r="G3" s="6"/>
    </row>
    <row r="4" spans="1:9" x14ac:dyDescent="0.25">
      <c r="B4" s="85" t="s">
        <v>37</v>
      </c>
      <c r="C4" s="82">
        <f>År1</f>
        <v>2019</v>
      </c>
      <c r="D4" s="82">
        <f>År2</f>
        <v>2030</v>
      </c>
      <c r="E4" s="82">
        <f>År3</f>
        <v>2050</v>
      </c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I7" s="13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</row>
    <row r="9" spans="1:9" x14ac:dyDescent="0.25">
      <c r="B9" s="79"/>
      <c r="C9" s="12"/>
      <c r="D9" s="12"/>
      <c r="E9" s="78"/>
    </row>
    <row r="10" spans="1:9" x14ac:dyDescent="0.25">
      <c r="B10" s="85" t="s">
        <v>31</v>
      </c>
      <c r="C10" s="82">
        <f>År1</f>
        <v>2019</v>
      </c>
      <c r="D10" s="82">
        <f>År2</f>
        <v>2030</v>
      </c>
      <c r="E10" s="82">
        <f>År3</f>
        <v>2050</v>
      </c>
    </row>
    <row r="11" spans="1:9" x14ac:dyDescent="0.25">
      <c r="B11" s="2" t="s">
        <v>22</v>
      </c>
      <c r="C11" s="7">
        <v>1</v>
      </c>
      <c r="D11" s="3">
        <f>C11-(C11-E11)/($E$10-$C$10)*($D$10-$C$10)</f>
        <v>0.96451612903225803</v>
      </c>
      <c r="E11" s="3">
        <v>0.9</v>
      </c>
    </row>
    <row r="12" spans="1:9" x14ac:dyDescent="0.25">
      <c r="B12" s="2" t="s">
        <v>3</v>
      </c>
      <c r="C12" s="7">
        <v>1</v>
      </c>
      <c r="D12" s="3">
        <f t="shared" ref="D12:D13" si="1">C12-(C12-E12)/($E$10-$C$10)*($D$10-$C$10)</f>
        <v>1</v>
      </c>
      <c r="E12" s="3">
        <v>1</v>
      </c>
    </row>
    <row r="13" spans="1:9" x14ac:dyDescent="0.25">
      <c r="B13" s="2" t="s">
        <v>4</v>
      </c>
      <c r="C13" s="7">
        <v>1</v>
      </c>
      <c r="D13" s="3">
        <f t="shared" si="1"/>
        <v>1</v>
      </c>
      <c r="E13" s="3">
        <v>1</v>
      </c>
      <c r="H13" s="13"/>
    </row>
    <row r="14" spans="1:9" x14ac:dyDescent="0.25">
      <c r="C14" s="287"/>
      <c r="D14" s="12"/>
      <c r="E14" s="12"/>
      <c r="H14" s="13"/>
      <c r="I14" s="13"/>
    </row>
    <row r="15" spans="1:9" x14ac:dyDescent="0.25">
      <c r="B15" s="85" t="s">
        <v>134</v>
      </c>
      <c r="C15" s="82">
        <f>År1</f>
        <v>2019</v>
      </c>
      <c r="D15" s="82">
        <f>År2</f>
        <v>2030</v>
      </c>
      <c r="E15" s="82">
        <f>År3</f>
        <v>2050</v>
      </c>
      <c r="F15" s="6"/>
    </row>
    <row r="16" spans="1:9" x14ac:dyDescent="0.25">
      <c r="B16" s="2" t="s">
        <v>90</v>
      </c>
      <c r="C16" s="84">
        <v>1</v>
      </c>
      <c r="D16" s="3">
        <v>1.07</v>
      </c>
      <c r="E16" s="3">
        <v>1.1499999999999999</v>
      </c>
    </row>
    <row r="17" spans="2:8" x14ac:dyDescent="0.25">
      <c r="B17" s="2" t="s">
        <v>84</v>
      </c>
      <c r="C17" s="84">
        <v>0.59345000000000003</v>
      </c>
      <c r="D17" s="3">
        <v>0.8</v>
      </c>
      <c r="E17" s="3">
        <v>0.9</v>
      </c>
    </row>
    <row r="18" spans="2:8" x14ac:dyDescent="0.25">
      <c r="B18" s="2" t="s">
        <v>141</v>
      </c>
      <c r="C18" s="84">
        <v>1</v>
      </c>
      <c r="D18" s="3">
        <v>1.07</v>
      </c>
      <c r="E18" s="3">
        <v>1.1499999999999999</v>
      </c>
      <c r="G18" s="163"/>
    </row>
    <row r="20" spans="2:8" x14ac:dyDescent="0.25">
      <c r="B20" s="413" t="s">
        <v>323</v>
      </c>
      <c r="C20" s="24"/>
      <c r="D20" s="24"/>
      <c r="E20" s="24"/>
    </row>
    <row r="21" spans="2:8" ht="29.45" customHeight="1" x14ac:dyDescent="0.25">
      <c r="B21" s="413"/>
      <c r="C21" s="82">
        <f>År1</f>
        <v>2019</v>
      </c>
      <c r="D21" s="82">
        <f>År2</f>
        <v>2030</v>
      </c>
      <c r="E21" s="82">
        <f>År3</f>
        <v>2050</v>
      </c>
    </row>
    <row r="22" spans="2:8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</row>
    <row r="23" spans="2:8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</row>
    <row r="24" spans="2:8" x14ac:dyDescent="0.25">
      <c r="B24" s="303" t="str">
        <f>CONCATENATE("Omlægning til permanent græs, ", Organ6,", hektar")</f>
        <v>Omlægning til permanent græs, OC6, hektar</v>
      </c>
      <c r="C24" s="304"/>
      <c r="D24" s="10">
        <f>D22*Arealanvendelse!N6-C22*Arealanvendelse!N6</f>
        <v>0</v>
      </c>
      <c r="E24" s="10">
        <f>E22*Arealanvendelse!Q6-C22*Arealanvendelse!Q6</f>
        <v>0</v>
      </c>
    </row>
    <row r="25" spans="2:8" x14ac:dyDescent="0.25">
      <c r="B25" s="303" t="str">
        <f>CONCATENATE("Omlægning til permanent græs, ", Organ12, ", hektar")</f>
        <v>Omlægning til permanent græs, OC12, hektar</v>
      </c>
      <c r="C25" s="304"/>
      <c r="D25" s="10">
        <f>D23*Arealanvendelse!O6-C23*Arealanvendelse!O6</f>
        <v>0</v>
      </c>
      <c r="E25" s="10">
        <f>E23*Arealanvendelse!R6-C23*Arealanvendelse!R6</f>
        <v>0</v>
      </c>
      <c r="G25" s="98"/>
    </row>
    <row r="26" spans="2:8" x14ac:dyDescent="0.25">
      <c r="B26" s="303" t="str">
        <f>CONCATENATE("Antal hektar som 1% svarer til, ", Organ6)</f>
        <v>Antal hektar som 1% svarer til, OC6</v>
      </c>
      <c r="C26" s="304"/>
      <c r="D26" s="10">
        <f>1%*Arealanvendelse!N6</f>
        <v>948.58444444444456</v>
      </c>
      <c r="E26" s="10">
        <f>1%*Arealanvendelse!Q6</f>
        <v>787.34</v>
      </c>
    </row>
    <row r="27" spans="2:8" ht="15.75" thickBot="1" x14ac:dyDescent="0.3">
      <c r="B27" s="305" t="str">
        <f>CONCATENATE("Antal hektar som 1% svarer til, ", Organ12)</f>
        <v>Antal hektar som 1% svarer til, OC12</v>
      </c>
      <c r="C27" s="306"/>
      <c r="D27" s="109">
        <f>1%*Arealanvendelse!O6</f>
        <v>579.49629629629624</v>
      </c>
      <c r="E27" s="109">
        <f>1%*Arealanvendelse!R6</f>
        <v>0</v>
      </c>
      <c r="F27" s="4"/>
    </row>
    <row r="28" spans="2:8" ht="15.75" thickBot="1" x14ac:dyDescent="0.3">
      <c r="B28" s="209" t="s">
        <v>263</v>
      </c>
      <c r="C28" s="210"/>
      <c r="D28" s="208">
        <f>SUM(D24:D25)</f>
        <v>0</v>
      </c>
      <c r="E28" s="208">
        <f>SUM(E24:E25)</f>
        <v>0</v>
      </c>
      <c r="F28" s="302"/>
      <c r="G28" s="98"/>
      <c r="H28" s="98"/>
    </row>
    <row r="29" spans="2:8" x14ac:dyDescent="0.25">
      <c r="C29" s="98"/>
      <c r="D29" s="98"/>
      <c r="E29" s="98"/>
      <c r="F29" s="98"/>
      <c r="G29" s="98"/>
      <c r="H29" s="98"/>
    </row>
    <row r="30" spans="2:8" x14ac:dyDescent="0.25">
      <c r="B30" s="411" t="s">
        <v>322</v>
      </c>
      <c r="C30" s="24"/>
      <c r="D30" s="24"/>
      <c r="E30" s="24"/>
    </row>
    <row r="31" spans="2:8" x14ac:dyDescent="0.25">
      <c r="B31" s="412"/>
      <c r="C31" s="82">
        <f>År1</f>
        <v>2019</v>
      </c>
      <c r="D31" s="82">
        <f>År2</f>
        <v>2030</v>
      </c>
      <c r="E31" s="82">
        <f>År3</f>
        <v>2050</v>
      </c>
    </row>
    <row r="32" spans="2:8" x14ac:dyDescent="0.25">
      <c r="B32" s="2" t="str">
        <f>[1]Afgrødefordeling!$C2</f>
        <v>Korn</v>
      </c>
      <c r="C32" s="299">
        <f>'[1]Afgrødefordeling - jordtype'!$Y4</f>
        <v>0.53753334285647836</v>
      </c>
      <c r="D32" s="87">
        <f>C32</f>
        <v>0.53753334285647836</v>
      </c>
      <c r="E32" s="87">
        <f>D32</f>
        <v>0.53753334285647836</v>
      </c>
    </row>
    <row r="33" spans="2:5" x14ac:dyDescent="0.25">
      <c r="B33" s="2" t="str">
        <f>[1]Afgrødefordeling!$C3</f>
        <v>Bælgsæd</v>
      </c>
      <c r="C33" s="299">
        <f>'[1]Afgrødefordeling - jordtype'!$Y5</f>
        <v>3.0976273829928767E-2</v>
      </c>
      <c r="D33" s="87">
        <f t="shared" ref="D33:E33" si="2">C33</f>
        <v>3.0976273829928767E-2</v>
      </c>
      <c r="E33" s="87">
        <f t="shared" si="2"/>
        <v>3.0976273829928767E-2</v>
      </c>
    </row>
    <row r="34" spans="2:5" x14ac:dyDescent="0.25">
      <c r="B34" s="2" t="str">
        <f>[1]Afgrødefordeling!$C4</f>
        <v>Raps</v>
      </c>
      <c r="C34" s="299">
        <f>'[1]Afgrødefordeling - jordtype'!$Y6</f>
        <v>6.5329688585482673E-2</v>
      </c>
      <c r="D34" s="87">
        <f t="shared" ref="D34:E34" si="3">C34</f>
        <v>6.5329688585482673E-2</v>
      </c>
      <c r="E34" s="87">
        <f t="shared" si="3"/>
        <v>6.5329688585482673E-2</v>
      </c>
    </row>
    <row r="35" spans="2:5" x14ac:dyDescent="0.25">
      <c r="B35" s="2" t="str">
        <f>[1]Afgrødefordeling!$C5</f>
        <v>Græs</v>
      </c>
      <c r="C35" s="299">
        <f>'[1]Afgrødefordeling - jordtype'!$Y7</f>
        <v>0.10115967422642448</v>
      </c>
      <c r="D35" s="87">
        <f t="shared" ref="D35:E35" si="4">C35</f>
        <v>0.10115967422642448</v>
      </c>
      <c r="E35" s="87">
        <f t="shared" si="4"/>
        <v>0.10115967422642448</v>
      </c>
    </row>
    <row r="36" spans="2:5" x14ac:dyDescent="0.25">
      <c r="B36" s="2" t="str">
        <f>[1]Afgrødefordeling!$C6</f>
        <v>Grøntsager</v>
      </c>
      <c r="C36" s="299">
        <f>'[1]Afgrødefordeling - jordtype'!$Y8</f>
        <v>5.2060865589185204E-3</v>
      </c>
      <c r="D36" s="87">
        <f t="shared" ref="D36:E36" si="5">C36</f>
        <v>5.2060865589185204E-3</v>
      </c>
      <c r="E36" s="87">
        <f t="shared" si="5"/>
        <v>5.2060865589185204E-3</v>
      </c>
    </row>
    <row r="37" spans="2:5" x14ac:dyDescent="0.25">
      <c r="B37" s="2" t="str">
        <f>[1]Afgrødefordeling!$C7</f>
        <v>Kartofler</v>
      </c>
      <c r="C37" s="299">
        <f>'[1]Afgrødefordeling - jordtype'!$Y9</f>
        <v>2.189728375215861E-2</v>
      </c>
      <c r="D37" s="87">
        <f t="shared" ref="D37:E37" si="6">C37</f>
        <v>2.189728375215861E-2</v>
      </c>
      <c r="E37" s="87">
        <f t="shared" si="6"/>
        <v>2.189728375215861E-2</v>
      </c>
    </row>
    <row r="38" spans="2:5" x14ac:dyDescent="0.25">
      <c r="B38" s="2" t="str">
        <f>[1]Afgrødefordeling!$C8</f>
        <v>Roer</v>
      </c>
      <c r="C38" s="299">
        <f>'[1]Afgrødefordeling - jordtype'!$Y10</f>
        <v>1.3466912404096722E-2</v>
      </c>
      <c r="D38" s="87">
        <f t="shared" ref="D38:E38" si="7">C38</f>
        <v>1.3466912404096722E-2</v>
      </c>
      <c r="E38" s="87">
        <f t="shared" si="7"/>
        <v>1.3466912404096722E-2</v>
      </c>
    </row>
    <row r="39" spans="2:5" x14ac:dyDescent="0.25">
      <c r="B39" s="2" t="str">
        <f>[1]Afgrødefordeling!$C9</f>
        <v>Majs</v>
      </c>
      <c r="C39" s="299">
        <f>'[1]Afgrødefordeling - jordtype'!$Y11</f>
        <v>7.2759287296729286E-2</v>
      </c>
      <c r="D39" s="87">
        <f t="shared" ref="D39:E39" si="8">C39</f>
        <v>7.2759287296729286E-2</v>
      </c>
      <c r="E39" s="87">
        <f t="shared" si="8"/>
        <v>7.2759287296729286E-2</v>
      </c>
    </row>
    <row r="40" spans="2:5" x14ac:dyDescent="0.25">
      <c r="B40" s="2" t="str">
        <f>[1]Afgrødefordeling!$C10</f>
        <v>Frugt</v>
      </c>
      <c r="C40" s="299">
        <f>'[1]Afgrødefordeling - jordtype'!$Y12</f>
        <v>2.0301913757470973E-3</v>
      </c>
      <c r="D40" s="87">
        <f t="shared" ref="D40:E40" si="9">C40</f>
        <v>2.0301913757470973E-3</v>
      </c>
      <c r="E40" s="87">
        <f t="shared" si="9"/>
        <v>2.0301913757470973E-3</v>
      </c>
    </row>
    <row r="41" spans="2:5" x14ac:dyDescent="0.25">
      <c r="B41" s="2" t="str">
        <f>[1]Afgrødefordeling!$C11</f>
        <v>Øvrige</v>
      </c>
      <c r="C41" s="299">
        <f>'[1]Afgrødefordeling - jordtype'!$Y13</f>
        <v>2.7968670218625629E-2</v>
      </c>
      <c r="D41" s="87">
        <f t="shared" ref="D41:E41" si="10">C41</f>
        <v>2.7968670218625629E-2</v>
      </c>
      <c r="E41" s="87">
        <f t="shared" si="10"/>
        <v>2.7968670218625629E-2</v>
      </c>
    </row>
    <row r="42" spans="2:5" x14ac:dyDescent="0.25">
      <c r="B42" s="2" t="str">
        <f>[1]Afgrødefordeling!$C12</f>
        <v>Frø</v>
      </c>
      <c r="C42" s="299">
        <f>'[1]Afgrødefordeling - jordtype'!$Y14</f>
        <v>4.0395307311065158E-2</v>
      </c>
      <c r="D42" s="87">
        <f t="shared" ref="D42:E42" si="11">C42</f>
        <v>4.0395307311065158E-2</v>
      </c>
      <c r="E42" s="87">
        <f t="shared" si="11"/>
        <v>4.0395307311065158E-2</v>
      </c>
    </row>
    <row r="43" spans="2:5" x14ac:dyDescent="0.25">
      <c r="B43" s="2" t="str">
        <f>[1]Afgrødefordeling!$C13</f>
        <v>Juletræer</v>
      </c>
      <c r="C43" s="299">
        <f>'[1]Afgrødefordeling - jordtype'!$Y15</f>
        <v>7.5869349743828522E-3</v>
      </c>
      <c r="D43" s="87">
        <f t="shared" ref="D43:E43" si="12">C43</f>
        <v>7.5869349743828522E-3</v>
      </c>
      <c r="E43" s="87">
        <f t="shared" si="12"/>
        <v>7.5869349743828522E-3</v>
      </c>
    </row>
    <row r="44" spans="2:5" x14ac:dyDescent="0.25">
      <c r="B44" s="2" t="str">
        <f>[1]Afgrødefordeling!$C14</f>
        <v>Pil &amp; poppel</v>
      </c>
      <c r="C44" s="299">
        <f>'[1]Afgrødefordeling - jordtype'!$Y16</f>
        <v>2.9175094799916215E-3</v>
      </c>
      <c r="D44" s="87">
        <f t="shared" ref="D44:E44" si="13">C44</f>
        <v>2.9175094799916215E-3</v>
      </c>
      <c r="E44" s="87">
        <f t="shared" si="13"/>
        <v>2.9175094799916215E-3</v>
      </c>
    </row>
    <row r="45" spans="2:5" x14ac:dyDescent="0.25">
      <c r="B45" s="2" t="str">
        <f>[1]Afgrødefordeling!$C15</f>
        <v>Permanent græs</v>
      </c>
      <c r="C45" s="299">
        <f>'[1]Afgrødefordeling - jordtype'!$Y17</f>
        <v>7.0772837129970206E-2</v>
      </c>
      <c r="D45" s="87">
        <f t="shared" ref="D45:E45" si="14">C45</f>
        <v>7.0772837129970206E-2</v>
      </c>
      <c r="E45" s="87">
        <f t="shared" si="14"/>
        <v>7.0772837129970206E-2</v>
      </c>
    </row>
    <row r="46" spans="2:5" x14ac:dyDescent="0.25">
      <c r="B46" s="24" t="s">
        <v>288</v>
      </c>
      <c r="C46" s="84"/>
      <c r="D46" s="86">
        <f>SUM(D32:D45)</f>
        <v>0.99999999999999989</v>
      </c>
      <c r="E46" s="86">
        <f>SUM(E32:E45)</f>
        <v>0.99999999999999989</v>
      </c>
    </row>
    <row r="47" spans="2:5" x14ac:dyDescent="0.25">
      <c r="B47" s="24" t="s">
        <v>242</v>
      </c>
      <c r="C47" s="84"/>
      <c r="D47" s="108" cm="1">
        <f t="array" ref="D47">SUMPRODUCT((D32:D45&gt;$C$32:$C$45)*(D32:D45-$C$32:$C$45))*Arealanvendelse!M6</f>
        <v>0</v>
      </c>
      <c r="E47" s="108" cm="1">
        <f t="array" ref="E47">SUMPRODUCT((E32:E45&gt;$C$32:$C$45)*(E32:E45-$C$32:$C$45))*Arealanvendelse!P6</f>
        <v>0</v>
      </c>
    </row>
    <row r="48" spans="2:5" x14ac:dyDescent="0.25">
      <c r="B48" s="24" t="s">
        <v>241</v>
      </c>
      <c r="C48" s="103"/>
      <c r="D48" s="108">
        <f>1%*Arealanvendelse!M6</f>
        <v>22749.360000000001</v>
      </c>
      <c r="E48" s="108">
        <f>1%*Arealanvendelse!P6</f>
        <v>21499.359999999997</v>
      </c>
    </row>
    <row r="49" spans="2:8" x14ac:dyDescent="0.25">
      <c r="D49" s="98"/>
      <c r="E49" s="98"/>
      <c r="H49" s="98"/>
    </row>
    <row r="50" spans="2:8" ht="15" customHeight="1" x14ac:dyDescent="0.25">
      <c r="B50" s="2"/>
      <c r="C50" s="82">
        <f>År1</f>
        <v>2019</v>
      </c>
      <c r="D50" s="82">
        <f>År2</f>
        <v>2030</v>
      </c>
      <c r="E50" s="82">
        <f>År3</f>
        <v>2050</v>
      </c>
    </row>
    <row r="51" spans="2:8" ht="27.75" customHeight="1" x14ac:dyDescent="0.25">
      <c r="B51" s="106" t="s">
        <v>151</v>
      </c>
      <c r="C51" s="107">
        <f>786/121381</f>
        <v>6.475478040220463E-3</v>
      </c>
      <c r="D51" s="188">
        <v>7.0000000000000001E-3</v>
      </c>
      <c r="E51" s="188">
        <v>8.0000000000000002E-3</v>
      </c>
    </row>
    <row r="56" spans="2:8" x14ac:dyDescent="0.25">
      <c r="C56" s="392">
        <f>SUM(C32,C35,C38:C39,C45)</f>
        <v>0.79569205391369902</v>
      </c>
      <c r="D56" s="392">
        <f>SUM(D32,D35,D38:D39,D45)</f>
        <v>0.79569205391369902</v>
      </c>
      <c r="E56" s="392">
        <f>SUM(E32,E35,E38:E39,E45)</f>
        <v>0.79569205391369902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7EA54-1AA3-4A70-B5E5-DD164DD7D43D}">
  <sheetPr>
    <tabColor theme="9" tint="0.39997558519241921"/>
  </sheetPr>
  <dimension ref="B2:E6"/>
  <sheetViews>
    <sheetView workbookViewId="0">
      <selection activeCell="E5" sqref="E5"/>
    </sheetView>
  </sheetViews>
  <sheetFormatPr defaultRowHeight="15" x14ac:dyDescent="0.25"/>
  <cols>
    <col min="2" max="2" width="26.42578125" bestFit="1" customWidth="1"/>
  </cols>
  <sheetData>
    <row r="2" spans="2:5" x14ac:dyDescent="0.25">
      <c r="B2" s="85" t="s">
        <v>378</v>
      </c>
      <c r="C2" s="82">
        <f>År1</f>
        <v>2019</v>
      </c>
      <c r="D2" s="82">
        <f>År2</f>
        <v>2030</v>
      </c>
      <c r="E2" s="82">
        <f>År3</f>
        <v>2050</v>
      </c>
    </row>
    <row r="3" spans="2:5" x14ac:dyDescent="0.25">
      <c r="B3" s="2" t="s">
        <v>379</v>
      </c>
      <c r="C3" s="7">
        <v>1</v>
      </c>
      <c r="D3" s="3">
        <f>C3-(C3-E3)/($E$2-$C$2)*($D$2-$C$2)</f>
        <v>1.0354838709677421</v>
      </c>
      <c r="E3" s="3">
        <v>1.1000000000000001</v>
      </c>
    </row>
    <row r="4" spans="2:5" x14ac:dyDescent="0.25">
      <c r="B4" s="2" t="s">
        <v>381</v>
      </c>
      <c r="C4" s="7">
        <v>1</v>
      </c>
      <c r="D4" s="3">
        <f t="shared" ref="D4:D6" si="0">C4-(C4-E4)/($E$2-$C$2)*($D$2-$C$2)</f>
        <v>0.64516129032258063</v>
      </c>
      <c r="E4" s="3">
        <v>0</v>
      </c>
    </row>
    <row r="5" spans="2:5" x14ac:dyDescent="0.25">
      <c r="B5" s="2" t="s">
        <v>117</v>
      </c>
      <c r="C5" s="7">
        <v>1</v>
      </c>
      <c r="D5" s="3">
        <f t="shared" si="0"/>
        <v>1.1774193548387097</v>
      </c>
      <c r="E5" s="3">
        <v>1.5</v>
      </c>
    </row>
    <row r="6" spans="2:5" x14ac:dyDescent="0.25">
      <c r="B6" s="2" t="s">
        <v>380</v>
      </c>
      <c r="C6" s="7">
        <v>1</v>
      </c>
      <c r="D6" s="3">
        <f t="shared" si="0"/>
        <v>1.0709677419354839</v>
      </c>
      <c r="E6" s="3">
        <v>1.2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24"/>
  <sheetViews>
    <sheetView zoomScale="85" zoomScaleNormal="85" workbookViewId="0">
      <selection activeCell="D15" sqref="D15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04" t="s">
        <v>271</v>
      </c>
    </row>
    <row r="2" spans="1:9" ht="15.75" thickBot="1" x14ac:dyDescent="0.3">
      <c r="A2" s="289"/>
      <c r="B2" s="289"/>
      <c r="C2" s="289">
        <f>År1</f>
        <v>2019</v>
      </c>
      <c r="D2" s="289">
        <f>År2</f>
        <v>2030</v>
      </c>
      <c r="E2" s="289">
        <f>År3</f>
        <v>2050</v>
      </c>
      <c r="F2" s="289" t="s">
        <v>314</v>
      </c>
    </row>
    <row r="3" spans="1:9" x14ac:dyDescent="0.25">
      <c r="A3" s="290" t="str">
        <f>'[1]Processer - data'!$D440</f>
        <v>Korn</v>
      </c>
      <c r="B3" s="1" t="s">
        <v>133</v>
      </c>
      <c r="C3" s="111">
        <f>VLOOKUP(A3,[1]Foder!$A$2:$E$16,5,FALSE)</f>
        <v>0.39994582515067378</v>
      </c>
      <c r="D3" s="288">
        <f>C3</f>
        <v>0.39994582515067378</v>
      </c>
      <c r="E3" s="288">
        <f>D3</f>
        <v>0.39994582515067378</v>
      </c>
      <c r="I3" s="218"/>
    </row>
    <row r="4" spans="1:9" x14ac:dyDescent="0.25">
      <c r="A4" s="2" t="str">
        <f>'[1]Processer - data'!$D441</f>
        <v>Halm</v>
      </c>
      <c r="B4" s="1" t="s">
        <v>133</v>
      </c>
      <c r="C4" s="111">
        <f>VLOOKUP(A4,[1]Foder!$A$2:$E$16,5,FALSE)</f>
        <v>1.1105844111871065E-2</v>
      </c>
      <c r="D4" s="288">
        <f t="shared" ref="D4:E4" si="0">C4</f>
        <v>1.1105844111871065E-2</v>
      </c>
      <c r="E4" s="288">
        <f t="shared" si="0"/>
        <v>1.1105844111871065E-2</v>
      </c>
      <c r="I4" s="218"/>
    </row>
    <row r="5" spans="1:9" x14ac:dyDescent="0.25">
      <c r="A5" s="2" t="str">
        <f>'[1]Processer - data'!$D442</f>
        <v>Kartofler</v>
      </c>
      <c r="B5" s="1" t="s">
        <v>133</v>
      </c>
      <c r="C5" s="111">
        <f>VLOOKUP(A5,[1]Foder!$A$2:$E$16,5,FALSE)</f>
        <v>0</v>
      </c>
      <c r="D5" s="288">
        <f t="shared" ref="D5:E5" si="1">C5</f>
        <v>0</v>
      </c>
      <c r="E5" s="288">
        <f t="shared" si="1"/>
        <v>0</v>
      </c>
      <c r="I5" s="218"/>
    </row>
    <row r="6" spans="1:9" x14ac:dyDescent="0.25">
      <c r="A6" s="2" t="str">
        <f>'[1]Processer - data'!$D443</f>
        <v>Bælgsæd</v>
      </c>
      <c r="B6" s="1" t="s">
        <v>133</v>
      </c>
      <c r="C6" s="111">
        <f>VLOOKUP(A6,[1]Foder!$A$2:$E$16,5,FALSE)</f>
        <v>5.2820478093045303E-3</v>
      </c>
      <c r="D6" s="288">
        <f t="shared" ref="D6:E6" si="2">C6</f>
        <v>5.2820478093045303E-3</v>
      </c>
      <c r="E6" s="288">
        <f t="shared" si="2"/>
        <v>5.2820478093045303E-3</v>
      </c>
      <c r="I6" s="218"/>
    </row>
    <row r="7" spans="1:9" x14ac:dyDescent="0.25">
      <c r="A7" s="2" t="str">
        <f>'[1]Processer - data'!$D444</f>
        <v>Roer</v>
      </c>
      <c r="B7" s="1" t="s">
        <v>133</v>
      </c>
      <c r="C7" s="111">
        <f>VLOOKUP(A7,[1]Foder!$A$2:$E$16,5,FALSE)</f>
        <v>9.683754317058306E-3</v>
      </c>
      <c r="D7" s="288">
        <f t="shared" ref="D7:E7" si="3">C7</f>
        <v>9.683754317058306E-3</v>
      </c>
      <c r="E7" s="288">
        <f t="shared" si="3"/>
        <v>9.683754317058306E-3</v>
      </c>
      <c r="I7" s="218"/>
    </row>
    <row r="8" spans="1:9" x14ac:dyDescent="0.25">
      <c r="A8" s="2" t="str">
        <f>'[1]Processer - data'!$D445</f>
        <v>Majs</v>
      </c>
      <c r="B8" s="1" t="s">
        <v>133</v>
      </c>
      <c r="C8" s="111">
        <f>VLOOKUP(A8,[1]Foder!$A$2:$E$16,5,FALSE)</f>
        <v>0.1132931536534164</v>
      </c>
      <c r="D8" s="288">
        <f t="shared" ref="D8:E8" si="4">C8</f>
        <v>0.1132931536534164</v>
      </c>
      <c r="E8" s="288">
        <f t="shared" si="4"/>
        <v>0.1132931536534164</v>
      </c>
      <c r="I8" s="218"/>
    </row>
    <row r="9" spans="1:9" x14ac:dyDescent="0.25">
      <c r="A9" s="2" t="str">
        <f>'[1]Processer - data'!$D446</f>
        <v>Rapskage</v>
      </c>
      <c r="B9" s="1" t="s">
        <v>133</v>
      </c>
      <c r="C9" s="111">
        <f>VLOOKUP(A9,[1]Foder!$A$2:$E$16,5,FALSE)</f>
        <v>1.6320173359517843E-2</v>
      </c>
      <c r="D9" s="288">
        <f t="shared" ref="D9:E9" si="5">C9</f>
        <v>1.6320173359517843E-2</v>
      </c>
      <c r="E9" s="288">
        <f t="shared" si="5"/>
        <v>1.6320173359517843E-2</v>
      </c>
      <c r="I9" s="218"/>
    </row>
    <row r="10" spans="1:9" x14ac:dyDescent="0.25">
      <c r="A10" s="2" t="str">
        <f>'[1]Processer - data'!$D447</f>
        <v>Tang</v>
      </c>
      <c r="B10" s="1" t="s">
        <v>133</v>
      </c>
      <c r="C10" s="111">
        <f>VLOOKUP(A10,[1]Foder!$A$2:$E$16,5,FALSE)</f>
        <v>0</v>
      </c>
      <c r="D10" s="288">
        <f t="shared" ref="D10:E10" si="6">C10</f>
        <v>0</v>
      </c>
      <c r="E10" s="288">
        <f t="shared" si="6"/>
        <v>0</v>
      </c>
      <c r="I10" s="218"/>
    </row>
    <row r="11" spans="1:9" x14ac:dyDescent="0.25">
      <c r="A11" s="2" t="str">
        <f>'[1]Processer - data'!$D448</f>
        <v>Muslinger</v>
      </c>
      <c r="B11" s="1" t="s">
        <v>133</v>
      </c>
      <c r="C11" s="111">
        <f>VLOOKUP(A11,[1]Foder!$A$2:$E$16,5,FALSE)</f>
        <v>0</v>
      </c>
      <c r="D11" s="288">
        <f t="shared" ref="D11:E11" si="7">C11</f>
        <v>0</v>
      </c>
      <c r="E11" s="288">
        <f t="shared" si="7"/>
        <v>0</v>
      </c>
      <c r="I11" s="218"/>
    </row>
    <row r="12" spans="1:9" x14ac:dyDescent="0.25">
      <c r="A12" s="2" t="str">
        <f>'[1]Processer - data'!$D449</f>
        <v>Græs</v>
      </c>
      <c r="B12" s="1" t="s">
        <v>133</v>
      </c>
      <c r="C12" s="111">
        <f>VLOOKUP(A12,[1]Foder!$A$2:$E$16,5,FALSE)</f>
        <v>0.15385657208640888</v>
      </c>
      <c r="D12" s="288">
        <f t="shared" ref="D12:E12" si="8">C12</f>
        <v>0.15385657208640888</v>
      </c>
      <c r="E12" s="288">
        <f t="shared" si="8"/>
        <v>0.15385657208640888</v>
      </c>
    </row>
    <row r="13" spans="1:9" x14ac:dyDescent="0.25">
      <c r="A13" s="2" t="str">
        <f>'[1]Processer - data'!$D450</f>
        <v>Mælk til foder</v>
      </c>
      <c r="B13" s="1" t="s">
        <v>133</v>
      </c>
      <c r="C13" s="111">
        <f>VLOOKUP(A13,[1]Foder!$A$2:$E$16,5,FALSE)</f>
        <v>1.1038125550213313E-2</v>
      </c>
      <c r="D13" s="288">
        <f t="shared" ref="D13:E13" si="9">C13</f>
        <v>1.1038125550213313E-2</v>
      </c>
      <c r="E13" s="288">
        <f t="shared" si="9"/>
        <v>1.1038125550213313E-2</v>
      </c>
    </row>
    <row r="14" spans="1:9" x14ac:dyDescent="0.25">
      <c r="A14" s="2" t="str">
        <f>'[1]Processer - data'!$D451</f>
        <v>Fiberfraktion</v>
      </c>
      <c r="B14" s="1" t="s">
        <v>133</v>
      </c>
      <c r="C14" s="111">
        <f>VLOOKUP(A14,[1]Foder!$A$2:$E$16,5,FALSE)</f>
        <v>0</v>
      </c>
      <c r="D14" s="111">
        <f>ROUND('[1]Processer - data'!I$491/'[1]Processer - data'!I$490*D15*'[1]Processer - data'!$H$451/'[1]Processer - data'!$H$452,3)</f>
        <v>0</v>
      </c>
      <c r="E14" s="111">
        <f>ROUND('[1]Processer - data'!J$491/'[1]Processer - data'!J$490*E15*'[1]Processer - data'!$H$451/'[1]Processer - data'!$H$452,3)</f>
        <v>0</v>
      </c>
      <c r="F14" s="1" t="s">
        <v>315</v>
      </c>
    </row>
    <row r="15" spans="1:9" x14ac:dyDescent="0.25">
      <c r="A15" s="2" t="str">
        <f>'[1]Processer - data'!$D452</f>
        <v>Græsprotein</v>
      </c>
      <c r="B15" s="1" t="s">
        <v>133</v>
      </c>
      <c r="C15" s="111">
        <f>VLOOKUP(A15,[1]Foder!$A$2:$E$16,5,FALSE)</f>
        <v>0</v>
      </c>
      <c r="D15" s="288">
        <f>C15</f>
        <v>0</v>
      </c>
      <c r="E15" s="288">
        <f>D15</f>
        <v>0</v>
      </c>
    </row>
    <row r="16" spans="1:9" x14ac:dyDescent="0.25">
      <c r="A16" s="2" t="str">
        <f>'[1]Processer - data'!$D453</f>
        <v>Slagteriaffald til foder</v>
      </c>
      <c r="B16" s="1" t="s">
        <v>133</v>
      </c>
      <c r="C16" s="111">
        <f>VLOOKUP(A16,[1]Foder!$A$2:$E$16,5,FALSE)</f>
        <v>8.1939459605877979E-3</v>
      </c>
      <c r="D16" s="288">
        <f t="shared" ref="D16:E16" si="10">C16</f>
        <v>8.1939459605877979E-3</v>
      </c>
      <c r="E16" s="288">
        <f t="shared" si="10"/>
        <v>8.1939459605877979E-3</v>
      </c>
    </row>
    <row r="17" spans="1:6" ht="15.75" thickBot="1" x14ac:dyDescent="0.3">
      <c r="A17" s="2" t="str">
        <f>'[1]Processer - data'!$D454</f>
        <v>Import af foder</v>
      </c>
      <c r="B17" s="1" t="s">
        <v>133</v>
      </c>
      <c r="C17" s="111">
        <f>VLOOKUP(A17,[1]Foder!$A$2:$E$16,5,FALSE)</f>
        <v>0.27128055800094808</v>
      </c>
      <c r="D17" s="288">
        <f t="shared" ref="D17:E17" si="11">C17</f>
        <v>0.27128055800094808</v>
      </c>
      <c r="E17" s="288">
        <f t="shared" si="11"/>
        <v>0.27128055800094808</v>
      </c>
      <c r="F17" s="289"/>
    </row>
    <row r="18" spans="1:6" ht="15.75" thickBot="1" x14ac:dyDescent="0.3">
      <c r="A18" s="219" t="s">
        <v>30</v>
      </c>
      <c r="B18" s="219" t="s">
        <v>133</v>
      </c>
      <c r="C18" s="112">
        <f>SUM(C3:C17)</f>
        <v>1</v>
      </c>
      <c r="D18" s="112">
        <f>ROUND(SUM(D3:D17),3)</f>
        <v>1</v>
      </c>
      <c r="E18" s="112">
        <f>ROUND(SUM(E3:E17),3)</f>
        <v>1</v>
      </c>
      <c r="F18" s="292" t="s">
        <v>316</v>
      </c>
    </row>
    <row r="20" spans="1:6" x14ac:dyDescent="0.25">
      <c r="D20" s="392"/>
    </row>
    <row r="21" spans="1:6" x14ac:dyDescent="0.25">
      <c r="D21" s="392"/>
      <c r="E21" s="392"/>
    </row>
    <row r="22" spans="1:6" x14ac:dyDescent="0.25">
      <c r="D22" s="392"/>
      <c r="E22" s="392"/>
    </row>
    <row r="23" spans="1:6" x14ac:dyDescent="0.25">
      <c r="D23" s="392"/>
      <c r="E23" s="392"/>
    </row>
    <row r="24" spans="1:6" x14ac:dyDescent="0.25">
      <c r="D24" s="392"/>
      <c r="E24" s="392"/>
    </row>
  </sheetData>
  <conditionalFormatting sqref="C18">
    <cfRule type="cellIs" dxfId="6" priority="2" operator="notBetween">
      <formula>1</formula>
      <formula>1</formula>
    </cfRule>
  </conditionalFormatting>
  <conditionalFormatting sqref="D18:E18">
    <cfRule type="cellIs" dxfId="5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70" zoomScaleNormal="70" workbookViewId="0">
      <selection activeCell="D60" sqref="D60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03" t="s">
        <v>271</v>
      </c>
    </row>
    <row r="2" spans="1:4" x14ac:dyDescent="0.25">
      <c r="A2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280</v>
      </c>
      <c r="B9" s="2"/>
      <c r="C9" s="188">
        <v>5.0000000000000001E-3</v>
      </c>
      <c r="D9" s="4"/>
    </row>
    <row r="10" spans="1:4" x14ac:dyDescent="0.25">
      <c r="A10" s="79"/>
      <c r="B10" s="79"/>
      <c r="C10" s="79"/>
      <c r="D10" s="81"/>
    </row>
    <row r="11" spans="1:4" x14ac:dyDescent="0.25">
      <c r="A11" s="2" t="s">
        <v>279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0.05</v>
      </c>
      <c r="D13" s="8">
        <v>0.05</v>
      </c>
    </row>
    <row r="14" spans="1:4" x14ac:dyDescent="0.25">
      <c r="A14" s="2" t="s">
        <v>177</v>
      </c>
      <c r="B14" s="7">
        <v>0</v>
      </c>
      <c r="C14" s="8">
        <v>0.45</v>
      </c>
      <c r="D14" s="8">
        <v>0.45</v>
      </c>
    </row>
    <row r="15" spans="1:4" x14ac:dyDescent="0.25">
      <c r="A15" s="2" t="s">
        <v>178</v>
      </c>
      <c r="B15" s="7">
        <v>0</v>
      </c>
      <c r="C15" s="8">
        <v>0.05</v>
      </c>
      <c r="D15" s="8">
        <v>0.05</v>
      </c>
    </row>
    <row r="16" spans="1:4" x14ac:dyDescent="0.25">
      <c r="A16" s="2" t="s">
        <v>179</v>
      </c>
      <c r="B16" s="7">
        <v>0</v>
      </c>
      <c r="C16" s="8">
        <v>0.45</v>
      </c>
      <c r="D16" s="8">
        <v>0.45</v>
      </c>
    </row>
    <row r="17" spans="1:8" ht="15.75" thickBot="1" x14ac:dyDescent="0.3">
      <c r="A17" s="307" t="s">
        <v>180</v>
      </c>
      <c r="B17" s="308">
        <v>0</v>
      </c>
      <c r="C17" s="311">
        <v>0</v>
      </c>
      <c r="D17" s="311">
        <v>0</v>
      </c>
    </row>
    <row r="18" spans="1:8" ht="15.75" thickBot="1" x14ac:dyDescent="0.3">
      <c r="A18" s="309" t="s">
        <v>30</v>
      </c>
      <c r="B18" s="310"/>
      <c r="C18" s="310">
        <f>SUM(C13:C17)</f>
        <v>1</v>
      </c>
      <c r="D18" s="310">
        <f>SUM(D13:D17)</f>
        <v>1</v>
      </c>
    </row>
    <row r="19" spans="1:8" x14ac:dyDescent="0.25">
      <c r="B19" s="12"/>
      <c r="C19" s="12"/>
      <c r="D19" s="12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4" t="s">
        <v>184</v>
      </c>
      <c r="B21" s="165" t="s">
        <v>185</v>
      </c>
      <c r="C21" s="165">
        <f>År1</f>
        <v>2019</v>
      </c>
      <c r="D21" s="165">
        <f>År2</f>
        <v>2030</v>
      </c>
      <c r="E21" s="165">
        <f>År3</f>
        <v>2050</v>
      </c>
      <c r="F21" s="165">
        <f>År1</f>
        <v>2019</v>
      </c>
      <c r="G21" s="165">
        <f>År2</f>
        <v>2030</v>
      </c>
      <c r="H21" s="165">
        <f>År3</f>
        <v>2050</v>
      </c>
    </row>
    <row r="22" spans="1:8" hidden="1" x14ac:dyDescent="0.25">
      <c r="A22" s="2" t="s">
        <v>182</v>
      </c>
      <c r="B22" s="166" t="s">
        <v>181</v>
      </c>
      <c r="C22" s="103">
        <f>Arealanvendelse!J27</f>
        <v>435064.52162306459</v>
      </c>
      <c r="D22" s="103">
        <f>C22*(1-$C$9)^(D21-C21)</f>
        <v>411725.30255233188</v>
      </c>
      <c r="E22" s="103">
        <f>D22*(1-$C$9)^(E21-D21)</f>
        <v>372451.02368307725</v>
      </c>
      <c r="F22" s="103">
        <f>Arealanvendelse!J37</f>
        <v>127345.4783769354</v>
      </c>
      <c r="G22" s="103">
        <f>F22*(1-$C$9)^(G21-F21)</f>
        <v>120513.97668054659</v>
      </c>
      <c r="H22" s="103">
        <f>G22*(1-$C$9)^(H21-G21)</f>
        <v>109018.20632479334</v>
      </c>
    </row>
    <row r="23" spans="1:8" hidden="1" x14ac:dyDescent="0.25">
      <c r="A23" s="2" t="s">
        <v>176</v>
      </c>
      <c r="B23" s="167">
        <v>10</v>
      </c>
      <c r="C23" s="103">
        <v>0</v>
      </c>
      <c r="D23" s="103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5990.8547557908014</v>
      </c>
      <c r="E23" s="103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3672.2025152281963</v>
      </c>
      <c r="F23" s="103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3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1058.8969643834553</v>
      </c>
      <c r="H23" s="103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692.58198008610782</v>
      </c>
    </row>
    <row r="24" spans="1:8" hidden="1" x14ac:dyDescent="0.25">
      <c r="A24" s="2" t="s">
        <v>176</v>
      </c>
      <c r="B24" s="167">
        <v>20</v>
      </c>
      <c r="C24" s="103">
        <v>0</v>
      </c>
      <c r="D24" s="103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602.03212367175934</v>
      </c>
      <c r="E24" s="103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3719.4227792491643</v>
      </c>
      <c r="F24" s="103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3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106.75219451005873</v>
      </c>
      <c r="H24" s="103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706.63266688518274</v>
      </c>
    </row>
    <row r="25" spans="1:8" hidden="1" x14ac:dyDescent="0.25">
      <c r="A25" s="2" t="s">
        <v>176</v>
      </c>
      <c r="B25" s="167">
        <v>30</v>
      </c>
      <c r="C25" s="103">
        <v>0</v>
      </c>
      <c r="D25" s="103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3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5990.8547557908014</v>
      </c>
      <c r="F25" s="103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3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3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1058.8969643834553</v>
      </c>
    </row>
    <row r="26" spans="1:8" hidden="1" x14ac:dyDescent="0.25">
      <c r="A26" s="2" t="s">
        <v>176</v>
      </c>
      <c r="B26" s="168">
        <v>40</v>
      </c>
      <c r="C26" s="103">
        <v>0</v>
      </c>
      <c r="D26" s="103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3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600.04669858305454</v>
      </c>
      <c r="F26" s="103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3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3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106.40013940050427</v>
      </c>
    </row>
    <row r="27" spans="1:8" hidden="1" x14ac:dyDescent="0.25">
      <c r="A27" s="2" t="s">
        <v>177</v>
      </c>
      <c r="B27" s="167">
        <v>10</v>
      </c>
      <c r="C27" s="103">
        <v>0</v>
      </c>
      <c r="D27" s="103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53925.95798889982</v>
      </c>
      <c r="E27" s="103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34274.402036728592</v>
      </c>
      <c r="F27" s="103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3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9531.5382604265742</v>
      </c>
      <c r="H27" s="103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6453.4988841159684</v>
      </c>
    </row>
    <row r="28" spans="1:8" hidden="1" x14ac:dyDescent="0.25">
      <c r="A28" s="2" t="s">
        <v>177</v>
      </c>
      <c r="B28" s="167">
        <v>20</v>
      </c>
      <c r="C28" s="103">
        <v>0</v>
      </c>
      <c r="D28" s="103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5410.0239262632222</v>
      </c>
      <c r="E28" s="103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33725.234224713757</v>
      </c>
      <c r="F28" s="103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3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959.30416961505148</v>
      </c>
      <c r="H28" s="103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6400.3081467191514</v>
      </c>
    </row>
    <row r="29" spans="1:8" hidden="1" x14ac:dyDescent="0.25">
      <c r="A29" s="2" t="s">
        <v>177</v>
      </c>
      <c r="B29" s="167">
        <v>30</v>
      </c>
      <c r="C29" s="103">
        <v>0</v>
      </c>
      <c r="D29" s="103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3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52603.55245068777</v>
      </c>
      <c r="F29" s="103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3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3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9297.7225933179252</v>
      </c>
    </row>
    <row r="30" spans="1:8" hidden="1" x14ac:dyDescent="0.25">
      <c r="A30" s="2" t="s">
        <v>177</v>
      </c>
      <c r="B30" s="168">
        <v>40</v>
      </c>
      <c r="C30" s="103">
        <v>0</v>
      </c>
      <c r="D30" s="103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3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5239.5520275308181</v>
      </c>
      <c r="F30" s="103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3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3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929.07613264421627</v>
      </c>
    </row>
    <row r="31" spans="1:8" hidden="1" x14ac:dyDescent="0.25">
      <c r="A31" s="2" t="s">
        <v>178</v>
      </c>
      <c r="B31" s="167">
        <v>10</v>
      </c>
      <c r="C31" s="103">
        <v>0</v>
      </c>
      <c r="D31" s="103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5990.8547557908014</v>
      </c>
      <c r="E31" s="103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3671.3116940007144</v>
      </c>
      <c r="F31" s="103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3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1058.8969643834553</v>
      </c>
      <c r="H31" s="103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692.42401987566257</v>
      </c>
    </row>
    <row r="32" spans="1:8" hidden="1" x14ac:dyDescent="0.25">
      <c r="A32" s="2" t="s">
        <v>178</v>
      </c>
      <c r="B32" s="167">
        <v>20</v>
      </c>
      <c r="C32" s="103">
        <v>0</v>
      </c>
      <c r="D32" s="103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602.03212367175934</v>
      </c>
      <c r="E32" s="103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3719.4227792491643</v>
      </c>
      <c r="F32" s="103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3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106.75219451005873</v>
      </c>
      <c r="H32" s="103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706.63266688518274</v>
      </c>
    </row>
    <row r="33" spans="1:10" hidden="1" x14ac:dyDescent="0.25">
      <c r="A33" s="2" t="s">
        <v>178</v>
      </c>
      <c r="B33" s="167">
        <v>30</v>
      </c>
      <c r="C33" s="103">
        <v>0</v>
      </c>
      <c r="D33" s="103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3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5990.8547557908014</v>
      </c>
      <c r="F33" s="103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3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3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1058.8969643834553</v>
      </c>
    </row>
    <row r="34" spans="1:10" hidden="1" x14ac:dyDescent="0.25">
      <c r="A34" s="2" t="s">
        <v>178</v>
      </c>
      <c r="B34" s="168">
        <v>40</v>
      </c>
      <c r="C34" s="103">
        <v>0</v>
      </c>
      <c r="D34" s="103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3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600.93751981053799</v>
      </c>
      <c r="F34" s="103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3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3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106.55809961094953</v>
      </c>
    </row>
    <row r="35" spans="1:10" hidden="1" x14ac:dyDescent="0.25">
      <c r="A35" s="2" t="s">
        <v>179</v>
      </c>
      <c r="B35" s="167">
        <v>10</v>
      </c>
      <c r="C35" s="103">
        <v>0</v>
      </c>
      <c r="D35" s="103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53929.586607487312</v>
      </c>
      <c r="E35" s="103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34380.26923722338</v>
      </c>
      <c r="F35" s="103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3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9532.181686220687</v>
      </c>
      <c r="H35" s="103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6473.7861562589387</v>
      </c>
    </row>
    <row r="36" spans="1:10" hidden="1" x14ac:dyDescent="0.25">
      <c r="A36" s="2" t="s">
        <v>179</v>
      </c>
      <c r="B36" s="167">
        <v>20</v>
      </c>
      <c r="C36" s="103">
        <v>0</v>
      </c>
      <c r="D36" s="103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5406.3953076757343</v>
      </c>
      <c r="E36" s="103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33825.331863169748</v>
      </c>
      <c r="F36" s="103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3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958.66074382093962</v>
      </c>
      <c r="H36" s="103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6416.4042061689133</v>
      </c>
    </row>
    <row r="37" spans="1:10" hidden="1" x14ac:dyDescent="0.25">
      <c r="A37" s="2" t="s">
        <v>179</v>
      </c>
      <c r="B37" s="167">
        <v>30</v>
      </c>
      <c r="C37" s="103">
        <v>0</v>
      </c>
      <c r="D37" s="103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3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52404.419555420332</v>
      </c>
      <c r="F37" s="103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3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3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9262.5507003715484</v>
      </c>
    </row>
    <row r="38" spans="1:10" hidden="1" x14ac:dyDescent="0.25">
      <c r="A38" s="2" t="s">
        <v>179</v>
      </c>
      <c r="B38" s="168">
        <v>40</v>
      </c>
      <c r="C38" s="103">
        <v>0</v>
      </c>
      <c r="D38" s="103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3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5232.7200838474982</v>
      </c>
      <c r="F38" s="103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3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3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927.86469399786017</v>
      </c>
    </row>
    <row r="39" spans="1:10" hidden="1" x14ac:dyDescent="0.25">
      <c r="A39" s="2" t="s">
        <v>180</v>
      </c>
      <c r="B39" s="167">
        <v>10</v>
      </c>
      <c r="C39" s="103">
        <v>0</v>
      </c>
      <c r="D39" s="103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3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3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3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3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67">
        <v>20</v>
      </c>
      <c r="C40" s="103">
        <v>0</v>
      </c>
      <c r="D40" s="103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3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3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3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3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67">
        <v>30</v>
      </c>
      <c r="C41" s="103">
        <v>0</v>
      </c>
      <c r="D41" s="103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3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3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3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3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3">
        <v>40</v>
      </c>
      <c r="C42" s="103">
        <v>0</v>
      </c>
      <c r="D42" s="103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3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3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3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3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37"/>
    </row>
    <row r="44" spans="1:10" hidden="1" x14ac:dyDescent="0.25">
      <c r="B44" s="137"/>
    </row>
    <row r="45" spans="1:10" hidden="1" x14ac:dyDescent="0.25">
      <c r="B45" s="137"/>
    </row>
    <row r="46" spans="1:10" hidden="1" x14ac:dyDescent="0.25"/>
    <row r="47" spans="1:10" hidden="1" x14ac:dyDescent="0.25">
      <c r="A47" s="414" t="s">
        <v>287</v>
      </c>
      <c r="B47" s="2" t="s">
        <v>23</v>
      </c>
      <c r="C47" s="2"/>
      <c r="D47" s="2"/>
      <c r="E47" s="2" t="s">
        <v>24</v>
      </c>
      <c r="F47" s="2"/>
      <c r="G47" s="2"/>
      <c r="H47" s="1" t="s">
        <v>326</v>
      </c>
    </row>
    <row r="48" spans="1:10" hidden="1" x14ac:dyDescent="0.25">
      <c r="A48" s="415"/>
      <c r="B48" s="165">
        <f>År1</f>
        <v>2019</v>
      </c>
      <c r="C48" s="165">
        <f>År2</f>
        <v>2030</v>
      </c>
      <c r="D48" s="165">
        <f>År3</f>
        <v>2050</v>
      </c>
      <c r="E48" s="165">
        <f>År1</f>
        <v>2019</v>
      </c>
      <c r="F48" s="165">
        <f>År2</f>
        <v>2030</v>
      </c>
      <c r="G48" s="165">
        <f>År3</f>
        <v>2050</v>
      </c>
      <c r="H48" s="165">
        <f>År1</f>
        <v>2019</v>
      </c>
      <c r="I48" s="165">
        <f>År2</f>
        <v>2030</v>
      </c>
      <c r="J48" s="165">
        <f>År3</f>
        <v>2050</v>
      </c>
    </row>
    <row r="49" spans="1:10" hidden="1" x14ac:dyDescent="0.25">
      <c r="A49" s="2" t="s">
        <v>182</v>
      </c>
      <c r="B49" s="103">
        <f t="shared" ref="B49:G54" si="0">SUMIF($A$22:$A$42,$A49,C$22:C$42)</f>
        <v>435064.52162306459</v>
      </c>
      <c r="C49" s="103">
        <f t="shared" si="0"/>
        <v>411725.30255233188</v>
      </c>
      <c r="D49" s="103">
        <f t="shared" si="0"/>
        <v>372451.02368307725</v>
      </c>
      <c r="E49" s="103">
        <f t="shared" si="0"/>
        <v>127345.4783769354</v>
      </c>
      <c r="F49" s="103">
        <f t="shared" si="0"/>
        <v>120513.97668054659</v>
      </c>
      <c r="G49" s="103">
        <f t="shared" si="0"/>
        <v>109018.20632479334</v>
      </c>
      <c r="H49" s="103">
        <f>SUM(B49,E49)</f>
        <v>562410</v>
      </c>
      <c r="I49" s="103">
        <f t="shared" ref="I49:J54" si="1">SUM(C49,F49)</f>
        <v>532239.27923287847</v>
      </c>
      <c r="J49" s="103">
        <f t="shared" si="1"/>
        <v>481469.23000787059</v>
      </c>
    </row>
    <row r="50" spans="1:10" hidden="1" x14ac:dyDescent="0.25">
      <c r="A50" s="2" t="s">
        <v>176</v>
      </c>
      <c r="B50" s="103">
        <f t="shared" si="0"/>
        <v>0</v>
      </c>
      <c r="C50" s="103">
        <f t="shared" ca="1" si="0"/>
        <v>6592.8868794625605</v>
      </c>
      <c r="D50" s="103">
        <f t="shared" ca="1" si="0"/>
        <v>13982.526748851216</v>
      </c>
      <c r="E50" s="103">
        <f t="shared" ca="1" si="0"/>
        <v>0</v>
      </c>
      <c r="F50" s="103">
        <f t="shared" ca="1" si="0"/>
        <v>1165.6491588935139</v>
      </c>
      <c r="G50" s="103">
        <f t="shared" ca="1" si="0"/>
        <v>2564.5117507552504</v>
      </c>
      <c r="H50" s="103">
        <f t="shared" ref="H50:H54" ca="1" si="2">SUM(B50,E50)</f>
        <v>0</v>
      </c>
      <c r="I50" s="103">
        <f t="shared" ca="1" si="1"/>
        <v>7758.5360383560746</v>
      </c>
      <c r="J50" s="103">
        <f t="shared" ca="1" si="1"/>
        <v>16547.038499606468</v>
      </c>
    </row>
    <row r="51" spans="1:10" hidden="1" x14ac:dyDescent="0.25">
      <c r="A51" s="2" t="s">
        <v>177</v>
      </c>
      <c r="B51" s="103">
        <f t="shared" si="0"/>
        <v>0</v>
      </c>
      <c r="C51" s="103">
        <f ca="1">SUMIF($A$22:$A$42,$A51,D$22:D$42)</f>
        <v>59335.981915163044</v>
      </c>
      <c r="D51" s="103">
        <f t="shared" ca="1" si="0"/>
        <v>125842.74073966095</v>
      </c>
      <c r="E51" s="103">
        <f t="shared" ca="1" si="0"/>
        <v>0</v>
      </c>
      <c r="F51" s="103">
        <f t="shared" ca="1" si="0"/>
        <v>10490.842430041626</v>
      </c>
      <c r="G51" s="103">
        <f t="shared" ca="1" si="0"/>
        <v>23080.60575679726</v>
      </c>
      <c r="H51" s="103">
        <f t="shared" ca="1" si="2"/>
        <v>0</v>
      </c>
      <c r="I51" s="103">
        <f t="shared" ca="1" si="1"/>
        <v>69826.824345204674</v>
      </c>
      <c r="J51" s="103">
        <f t="shared" ca="1" si="1"/>
        <v>148923.34649645822</v>
      </c>
    </row>
    <row r="52" spans="1:10" hidden="1" x14ac:dyDescent="0.25">
      <c r="A52" s="2" t="s">
        <v>178</v>
      </c>
      <c r="B52" s="103">
        <f t="shared" si="0"/>
        <v>0</v>
      </c>
      <c r="C52" s="103">
        <f t="shared" ca="1" si="0"/>
        <v>6592.8868794625605</v>
      </c>
      <c r="D52" s="103">
        <f t="shared" ca="1" si="0"/>
        <v>13982.526748851218</v>
      </c>
      <c r="E52" s="103">
        <f t="shared" ca="1" si="0"/>
        <v>0</v>
      </c>
      <c r="F52" s="103">
        <f t="shared" ca="1" si="0"/>
        <v>1165.6491588935139</v>
      </c>
      <c r="G52" s="103">
        <f t="shared" ca="1" si="0"/>
        <v>2564.5117507552504</v>
      </c>
      <c r="H52" s="103">
        <f t="shared" ca="1" si="2"/>
        <v>0</v>
      </c>
      <c r="I52" s="103">
        <f t="shared" ca="1" si="1"/>
        <v>7758.5360383560746</v>
      </c>
      <c r="J52" s="103">
        <f t="shared" ca="1" si="1"/>
        <v>16547.038499606468</v>
      </c>
    </row>
    <row r="53" spans="1:10" hidden="1" x14ac:dyDescent="0.25">
      <c r="A53" s="2" t="s">
        <v>179</v>
      </c>
      <c r="B53" s="103">
        <f t="shared" si="0"/>
        <v>0</v>
      </c>
      <c r="C53" s="103">
        <f t="shared" ca="1" si="0"/>
        <v>59335.981915163044</v>
      </c>
      <c r="D53" s="103">
        <f t="shared" ca="1" si="0"/>
        <v>125842.74073966096</v>
      </c>
      <c r="E53" s="103">
        <f t="shared" ca="1" si="0"/>
        <v>0</v>
      </c>
      <c r="F53" s="103">
        <f t="shared" ca="1" si="0"/>
        <v>10490.842430041626</v>
      </c>
      <c r="G53" s="103">
        <f t="shared" ca="1" si="0"/>
        <v>23080.605756797264</v>
      </c>
      <c r="H53" s="103">
        <f t="shared" ca="1" si="2"/>
        <v>0</v>
      </c>
      <c r="I53" s="103">
        <f t="shared" ca="1" si="1"/>
        <v>69826.824345204674</v>
      </c>
      <c r="J53" s="103">
        <f t="shared" ca="1" si="1"/>
        <v>148923.34649645822</v>
      </c>
    </row>
    <row r="54" spans="1:10" hidden="1" x14ac:dyDescent="0.25">
      <c r="A54" s="2" t="s">
        <v>180</v>
      </c>
      <c r="B54" s="103">
        <f t="shared" si="0"/>
        <v>0</v>
      </c>
      <c r="C54" s="103">
        <f t="shared" ca="1" si="0"/>
        <v>0</v>
      </c>
      <c r="D54" s="103">
        <f t="shared" ca="1" si="0"/>
        <v>0</v>
      </c>
      <c r="E54" s="103">
        <f t="shared" ca="1" si="0"/>
        <v>0</v>
      </c>
      <c r="F54" s="103">
        <f t="shared" ca="1" si="0"/>
        <v>0</v>
      </c>
      <c r="G54" s="103">
        <f t="shared" ca="1" si="0"/>
        <v>0</v>
      </c>
      <c r="H54" s="103">
        <f t="shared" ca="1" si="2"/>
        <v>0</v>
      </c>
      <c r="I54" s="103">
        <f t="shared" ca="1" si="1"/>
        <v>0</v>
      </c>
      <c r="J54" s="103">
        <f t="shared" ca="1" si="1"/>
        <v>0</v>
      </c>
    </row>
    <row r="55" spans="1:10" hidden="1" x14ac:dyDescent="0.25"/>
    <row r="57" spans="1:10" x14ac:dyDescent="0.25">
      <c r="A57" s="1" t="s">
        <v>327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2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12" t="s">
        <v>119</v>
      </c>
      <c r="B60" s="308">
        <f>'[1]Processer - data'!$H424</f>
        <v>0.52</v>
      </c>
      <c r="C60" s="311">
        <f>B60</f>
        <v>0.52</v>
      </c>
      <c r="D60" s="311">
        <f>C60</f>
        <v>0.52</v>
      </c>
    </row>
    <row r="61" spans="1:10" ht="15.75" thickBot="1" x14ac:dyDescent="0.3">
      <c r="A61" s="309" t="s">
        <v>30</v>
      </c>
      <c r="B61" s="310">
        <f>SUM(B59:B60)</f>
        <v>1</v>
      </c>
      <c r="C61" s="310">
        <f t="shared" ref="C61:D61" si="3">SUM(C59:C60)</f>
        <v>1</v>
      </c>
      <c r="D61" s="310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4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L311"/>
  <sheetViews>
    <sheetView zoomScaleNormal="100" workbookViewId="0">
      <selection activeCell="D2" sqref="D2"/>
    </sheetView>
  </sheetViews>
  <sheetFormatPr defaultRowHeight="15" x14ac:dyDescent="0.25"/>
  <cols>
    <col min="1" max="1" width="10.140625" bestFit="1" customWidth="1"/>
    <col min="2" max="2" width="12.7109375" bestFit="1" customWidth="1"/>
  </cols>
  <sheetData>
    <row r="1" spans="1:36" x14ac:dyDescent="0.25">
      <c r="D1" t="s">
        <v>329</v>
      </c>
      <c r="E1" t="s">
        <v>328</v>
      </c>
      <c r="F1">
        <v>1</v>
      </c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</row>
    <row r="2" spans="1:36" x14ac:dyDescent="0.25">
      <c r="A2" t="s">
        <v>176</v>
      </c>
      <c r="B2" t="s">
        <v>23</v>
      </c>
      <c r="C2">
        <v>2020</v>
      </c>
      <c r="D2" cm="1">
        <f t="array" ref="D2">(IF(B2="Vestdanmark",Skovbrug!$C$22-(Skovbrug!$C$22)*(1-Skovbrug!$C$9)^(C2-Skovbrug!$B$12),Skovbrug!$F$22-(Skovbrug!$F$22)*(1-Skovbrug!$C$9)^(C2-Skovbrug!$B$12)))*VLOOKUP(A2,Skovbrug!$A$13:$D$17,IF('Skovbrug-alder'!C2&lt;=År2,3,4),FALSE)
-IF(C2&gt;2020,SUM(INDEX($C$1:$D$311,MATCH(1,(2020=$C$1:$C$311)*(B2=$B$1:$B$311)*(A2=$A$1:$A$311),0),2):D1),0)</f>
        <v>108.76613040576632</v>
      </c>
      <c r="E2">
        <f t="shared" ref="E2:E63" si="0">IF(C2=2020,SUM(G2:AJ2),SUM(F1:AJ1)-SUM(G2:AJ2))</f>
        <v>0</v>
      </c>
      <c r="F2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602.03212367175934</v>
      </c>
      <c r="G2">
        <f>IF($C2-G$1&lt;År1,0,F1*(1-VLOOKUP($A2,[1]Hugst!$R$5:$W$9,MATCH(ROUNDUP((G$1)/10,0)*10,[1]Hugst!$R$4:$W$4,0))))</f>
        <v>0</v>
      </c>
      <c r="H2">
        <f>IF($C2-H$1&lt;År1,0,G1*(1-VLOOKUP($A2,[1]Hugst!$R$5:$W$9,MATCH(ROUNDUP((H$1)/10,0)*10,[1]Hugst!$R$4:$W$4,0))))</f>
        <v>0</v>
      </c>
      <c r="I2">
        <f>IF($C2-I$1&lt;År1,0,H1*(1-VLOOKUP($A2,[1]Hugst!$R$5:$W$9,MATCH(ROUNDUP((I$1)/10,0)*10,[1]Hugst!$R$4:$W$4,0))))</f>
        <v>0</v>
      </c>
      <c r="J2">
        <f>IF($C2-J$1&lt;År1,0,I1*(1-VLOOKUP($A2,[1]Hugst!$R$5:$W$9,MATCH(ROUNDUP((J$1)/10,0)*10,[1]Hugst!$R$4:$W$4,0))))</f>
        <v>0</v>
      </c>
      <c r="K2">
        <f>IF($C2-K$1&lt;År1,0,J1*(1-VLOOKUP($A2,[1]Hugst!$R$5:$W$9,MATCH(ROUNDUP((K$1)/10,0)*10,[1]Hugst!$R$4:$W$4,0))))</f>
        <v>0</v>
      </c>
      <c r="L2">
        <f>IF($C2-L$1&lt;År1,0,K1*(1-VLOOKUP($A2,[1]Hugst!$R$5:$W$9,MATCH(ROUNDUP((L$1)/10,0)*10,[1]Hugst!$R$4:$W$4,0))))</f>
        <v>0</v>
      </c>
      <c r="M2">
        <f>IF($C2-M$1&lt;År1,0,L1*(1-VLOOKUP($A2,[1]Hugst!$R$5:$W$9,MATCH(ROUNDUP((M$1)/10,0)*10,[1]Hugst!$R$4:$W$4,0))))</f>
        <v>0</v>
      </c>
      <c r="N2">
        <f>IF($C2-N$1&lt;År1,0,M1*(1-VLOOKUP($A2,[1]Hugst!$R$5:$W$9,MATCH(ROUNDUP((N$1)/10,0)*10,[1]Hugst!$R$4:$W$4,0))))</f>
        <v>0</v>
      </c>
      <c r="O2">
        <f>IF($C2-O$1&lt;År1,0,N1*(1-VLOOKUP($A2,[1]Hugst!$R$5:$W$9,MATCH(ROUNDUP((O$1)/10,0)*10,[1]Hugst!$R$4:$W$4,0))))</f>
        <v>0</v>
      </c>
      <c r="P2">
        <f>IF($C2-P$1&lt;År1,0,O1*(1-VLOOKUP($A2,[1]Hugst!$R$5:$W$9,MATCH(ROUNDUP((P$1)/10,0)*10,[1]Hugst!$R$4:$W$4,0))))</f>
        <v>0</v>
      </c>
      <c r="Q2">
        <f>IF($C2-Q$1&lt;År1,0,P1*(1-VLOOKUP($A2,[1]Hugst!$R$5:$W$9,MATCH(ROUNDUP((Q$1)/10,0)*10,[1]Hugst!$R$4:$W$4,0))))</f>
        <v>0</v>
      </c>
      <c r="R2">
        <f>IF($C2-R$1&lt;År1,0,Q1*(1-VLOOKUP($A2,[1]Hugst!$R$5:$W$9,MATCH(ROUNDUP((R$1)/10,0)*10,[1]Hugst!$R$4:$W$4,0))))</f>
        <v>0</v>
      </c>
      <c r="S2">
        <f>IF($C2-S$1&lt;År1,0,R1*(1-VLOOKUP($A2,[1]Hugst!$R$5:$W$9,MATCH(ROUNDUP((S$1)/10,0)*10,[1]Hugst!$R$4:$W$4,0))))</f>
        <v>0</v>
      </c>
      <c r="T2">
        <f>IF($C2-T$1&lt;År1,0,S1*(1-VLOOKUP($A2,[1]Hugst!$R$5:$W$9,MATCH(ROUNDUP((T$1)/10,0)*10,[1]Hugst!$R$4:$W$4,0))))</f>
        <v>0</v>
      </c>
      <c r="U2">
        <f>IF($C2-U$1&lt;År1,0,T1*(1-VLOOKUP($A2,[1]Hugst!$R$5:$W$9,MATCH(ROUNDUP((U$1)/10,0)*10,[1]Hugst!$R$4:$W$4,0))))</f>
        <v>0</v>
      </c>
      <c r="V2">
        <f>IF($C2-V$1&lt;År1,0,U1*(1-VLOOKUP($A2,[1]Hugst!$R$5:$W$9,MATCH(ROUNDUP((V$1)/10,0)*10,[1]Hugst!$R$4:$W$4,0))))</f>
        <v>0</v>
      </c>
      <c r="W2">
        <f>IF($C2-W$1&lt;År1,0,V1*(1-VLOOKUP($A2,[1]Hugst!$R$5:$W$9,MATCH(ROUNDUP((W$1)/10,0)*10,[1]Hugst!$R$4:$W$4,0))))</f>
        <v>0</v>
      </c>
      <c r="X2">
        <f>IF($C2-X$1&lt;År1,0,W1*(1-VLOOKUP($A2,[1]Hugst!$R$5:$W$9,MATCH(ROUNDUP((X$1)/10,0)*10,[1]Hugst!$R$4:$W$4,0))))</f>
        <v>0</v>
      </c>
      <c r="Y2">
        <f>IF($C2-Y$1&lt;År1,0,X1*(1-VLOOKUP($A2,[1]Hugst!$R$5:$W$9,MATCH(ROUNDUP((Y$1)/10,0)*10,[1]Hugst!$R$4:$W$4,0))))</f>
        <v>0</v>
      </c>
      <c r="Z2">
        <f>IF($C2-Z$1&lt;År1,0,Y1*(1-VLOOKUP($A2,[1]Hugst!$R$5:$W$9,MATCH(ROUNDUP((Z$1)/10,0)*10,[1]Hugst!$R$4:$W$4,0))))</f>
        <v>0</v>
      </c>
      <c r="AA2">
        <f>IF($C2-AA$1&lt;År1,0,Z1*(1-VLOOKUP($A2,[1]Hugst!$R$5:$W$9,MATCH(ROUNDUP((AA$1)/10,0)*10,[1]Hugst!$R$4:$W$4,0))))</f>
        <v>0</v>
      </c>
      <c r="AB2">
        <f>IF($C2-AB$1&lt;År1,0,AA1*(1-VLOOKUP($A2,[1]Hugst!$R$5:$W$9,MATCH(ROUNDUP((AB$1)/10,0)*10,[1]Hugst!$R$4:$W$4,0))))</f>
        <v>0</v>
      </c>
      <c r="AC2">
        <f>IF($C2-AC$1&lt;År1,0,AB1*(1-VLOOKUP($A2,[1]Hugst!$R$5:$W$9,MATCH(ROUNDUP((AC$1)/10,0)*10,[1]Hugst!$R$4:$W$4,0))))</f>
        <v>0</v>
      </c>
      <c r="AD2">
        <f>IF($C2-AD$1&lt;År1,0,AC1*(1-VLOOKUP($A2,[1]Hugst!$R$5:$W$9,MATCH(ROUNDUP((AD$1)/10,0)*10,[1]Hugst!$R$4:$W$4,0))))</f>
        <v>0</v>
      </c>
      <c r="AE2">
        <f>IF($C2-AE$1&lt;År1,0,AD1*(1-VLOOKUP($A2,[1]Hugst!$R$5:$W$9,MATCH(ROUNDUP((AE$1)/10,0)*10,[1]Hugst!$R$4:$W$4,0))))</f>
        <v>0</v>
      </c>
      <c r="AF2">
        <f>IF($C2-AF$1&lt;År1,0,AE1*(1-VLOOKUP($A2,[1]Hugst!$R$5:$W$9,MATCH(ROUNDUP((AF$1)/10,0)*10,[1]Hugst!$R$4:$W$4,0))))</f>
        <v>0</v>
      </c>
      <c r="AG2">
        <f>IF($C2-AG$1&lt;År1,0,AF1*(1-VLOOKUP($A2,[1]Hugst!$R$5:$W$9,MATCH(ROUNDUP((AG$1)/10,0)*10,[1]Hugst!$R$4:$W$4,0))))</f>
        <v>0</v>
      </c>
      <c r="AH2">
        <f>IF($C2-AH$1&lt;År1,0,AG1*(1-VLOOKUP($A2,[1]Hugst!$R$5:$W$9,MATCH(ROUNDUP((AH$1)/10,0)*10,[1]Hugst!$R$4:$W$4,0))))</f>
        <v>0</v>
      </c>
      <c r="AI2">
        <f>IF($C2-AI$1&lt;År1,0,AH1*(1-VLOOKUP($A2,[1]Hugst!$R$5:$W$9,MATCH(ROUNDUP((AI$1)/10,0)*10,[1]Hugst!$R$4:$W$4,0))))</f>
        <v>0</v>
      </c>
      <c r="AJ2">
        <f>IF($C2-AJ$1&lt;År1,0,AI1*(1-VLOOKUP($A2,[1]Hugst!$R$5:$W$9,MATCH(ROUNDUP((AJ$1)/10,0)*10,[1]Hugst!$R$4:$W$4,0))))</f>
        <v>0</v>
      </c>
    </row>
    <row r="3" spans="1:36" x14ac:dyDescent="0.25">
      <c r="A3" t="s">
        <v>176</v>
      </c>
      <c r="B3" t="s">
        <v>23</v>
      </c>
      <c r="C3">
        <v>2021</v>
      </c>
      <c r="D3" cm="1">
        <f t="array" ref="D3">(IF(B3="Vestdanmark",Skovbrug!$C$22-(Skovbrug!$C$22)*(1-Skovbrug!$C$9)^(C3-Skovbrug!$B$12),Skovbrug!$F$22-(Skovbrug!$F$22)*(1-Skovbrug!$C$9)^(C3-Skovbrug!$B$12)))*VLOOKUP(A3,Skovbrug!$A$13:$D$17,IF('Skovbrug-alder'!C3&lt;=År2,3,4),FALSE)
-IF(C3&gt;2020,SUM(INDEX($C$1:$D$311,MATCH(1,(2020=$C$1:$C$311)*(B3=$B$1:$B$311)*(A3=$A$1:$A$311),0),2):D2),0)</f>
        <v>108.22229975373483</v>
      </c>
      <c r="E3">
        <f t="shared" ca="1" si="0"/>
        <v>0</v>
      </c>
      <c r="F3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601.48829301972796</v>
      </c>
      <c r="G3">
        <f ca="1">IF($C3-G$1&lt;År1,0,F2*(1-VLOOKUP($A3,[1]Hugst!$R$5:$W$9,MATCH(ROUNDUP((G$1)/10,0)*10,[1]Hugst!$R$4:$W$4,0))))</f>
        <v>602.03212367175934</v>
      </c>
      <c r="H3">
        <f>IF($C3-H$1&lt;År1,0,G2*(1-VLOOKUP($A3,[1]Hugst!$R$5:$W$9,MATCH(ROUNDUP((H$1)/10,0)*10,[1]Hugst!$R$4:$W$4,0))))</f>
        <v>0</v>
      </c>
      <c r="I3">
        <f>IF($C3-I$1&lt;År1,0,H2*(1-VLOOKUP($A3,[1]Hugst!$R$5:$W$9,MATCH(ROUNDUP((I$1)/10,0)*10,[1]Hugst!$R$4:$W$4,0))))</f>
        <v>0</v>
      </c>
      <c r="J3">
        <f>IF($C3-J$1&lt;År1,0,I2*(1-VLOOKUP($A3,[1]Hugst!$R$5:$W$9,MATCH(ROUNDUP((J$1)/10,0)*10,[1]Hugst!$R$4:$W$4,0))))</f>
        <v>0</v>
      </c>
      <c r="K3">
        <f>IF($C3-K$1&lt;År1,0,J2*(1-VLOOKUP($A3,[1]Hugst!$R$5:$W$9,MATCH(ROUNDUP((K$1)/10,0)*10,[1]Hugst!$R$4:$W$4,0))))</f>
        <v>0</v>
      </c>
      <c r="L3">
        <f>IF($C3-L$1&lt;År1,0,K2*(1-VLOOKUP($A3,[1]Hugst!$R$5:$W$9,MATCH(ROUNDUP((L$1)/10,0)*10,[1]Hugst!$R$4:$W$4,0))))</f>
        <v>0</v>
      </c>
      <c r="M3">
        <f>IF($C3-M$1&lt;År1,0,L2*(1-VLOOKUP($A3,[1]Hugst!$R$5:$W$9,MATCH(ROUNDUP((M$1)/10,0)*10,[1]Hugst!$R$4:$W$4,0))))</f>
        <v>0</v>
      </c>
      <c r="N3">
        <f>IF($C3-N$1&lt;År1,0,M2*(1-VLOOKUP($A3,[1]Hugst!$R$5:$W$9,MATCH(ROUNDUP((N$1)/10,0)*10,[1]Hugst!$R$4:$W$4,0))))</f>
        <v>0</v>
      </c>
      <c r="O3">
        <f>IF($C3-O$1&lt;År1,0,N2*(1-VLOOKUP($A3,[1]Hugst!$R$5:$W$9,MATCH(ROUNDUP((O$1)/10,0)*10,[1]Hugst!$R$4:$W$4,0))))</f>
        <v>0</v>
      </c>
      <c r="P3">
        <f>IF($C3-P$1&lt;År1,0,O2*(1-VLOOKUP($A3,[1]Hugst!$R$5:$W$9,MATCH(ROUNDUP((P$1)/10,0)*10,[1]Hugst!$R$4:$W$4,0))))</f>
        <v>0</v>
      </c>
      <c r="Q3">
        <f>IF($C3-Q$1&lt;År1,0,P2*(1-VLOOKUP($A3,[1]Hugst!$R$5:$W$9,MATCH(ROUNDUP((Q$1)/10,0)*10,[1]Hugst!$R$4:$W$4,0))))</f>
        <v>0</v>
      </c>
      <c r="R3">
        <f>IF($C3-R$1&lt;År1,0,Q2*(1-VLOOKUP($A3,[1]Hugst!$R$5:$W$9,MATCH(ROUNDUP((R$1)/10,0)*10,[1]Hugst!$R$4:$W$4,0))))</f>
        <v>0</v>
      </c>
      <c r="S3">
        <f>IF($C3-S$1&lt;År1,0,R2*(1-VLOOKUP($A3,[1]Hugst!$R$5:$W$9,MATCH(ROUNDUP((S$1)/10,0)*10,[1]Hugst!$R$4:$W$4,0))))</f>
        <v>0</v>
      </c>
      <c r="T3">
        <f>IF($C3-T$1&lt;År1,0,S2*(1-VLOOKUP($A3,[1]Hugst!$R$5:$W$9,MATCH(ROUNDUP((T$1)/10,0)*10,[1]Hugst!$R$4:$W$4,0))))</f>
        <v>0</v>
      </c>
      <c r="U3">
        <f>IF($C3-U$1&lt;År1,0,T2*(1-VLOOKUP($A3,[1]Hugst!$R$5:$W$9,MATCH(ROUNDUP((U$1)/10,0)*10,[1]Hugst!$R$4:$W$4,0))))</f>
        <v>0</v>
      </c>
      <c r="V3">
        <f>IF($C3-V$1&lt;År1,0,U2*(1-VLOOKUP($A3,[1]Hugst!$R$5:$W$9,MATCH(ROUNDUP((V$1)/10,0)*10,[1]Hugst!$R$4:$W$4,0))))</f>
        <v>0</v>
      </c>
      <c r="W3">
        <f>IF($C3-W$1&lt;År1,0,V2*(1-VLOOKUP($A3,[1]Hugst!$R$5:$W$9,MATCH(ROUNDUP((W$1)/10,0)*10,[1]Hugst!$R$4:$W$4,0))))</f>
        <v>0</v>
      </c>
      <c r="X3">
        <f>IF($C3-X$1&lt;År1,0,W2*(1-VLOOKUP($A3,[1]Hugst!$R$5:$W$9,MATCH(ROUNDUP((X$1)/10,0)*10,[1]Hugst!$R$4:$W$4,0))))</f>
        <v>0</v>
      </c>
      <c r="Y3">
        <f>IF($C3-Y$1&lt;År1,0,X2*(1-VLOOKUP($A3,[1]Hugst!$R$5:$W$9,MATCH(ROUNDUP((Y$1)/10,0)*10,[1]Hugst!$R$4:$W$4,0))))</f>
        <v>0</v>
      </c>
      <c r="Z3">
        <f>IF($C3-Z$1&lt;År1,0,Y2*(1-VLOOKUP($A3,[1]Hugst!$R$5:$W$9,MATCH(ROUNDUP((Z$1)/10,0)*10,[1]Hugst!$R$4:$W$4,0))))</f>
        <v>0</v>
      </c>
      <c r="AA3">
        <f>IF($C3-AA$1&lt;År1,0,Z2*(1-VLOOKUP($A3,[1]Hugst!$R$5:$W$9,MATCH(ROUNDUP((AA$1)/10,0)*10,[1]Hugst!$R$4:$W$4,0))))</f>
        <v>0</v>
      </c>
      <c r="AB3">
        <f>IF($C3-AB$1&lt;År1,0,AA2*(1-VLOOKUP($A3,[1]Hugst!$R$5:$W$9,MATCH(ROUNDUP((AB$1)/10,0)*10,[1]Hugst!$R$4:$W$4,0))))</f>
        <v>0</v>
      </c>
      <c r="AC3">
        <f>IF($C3-AC$1&lt;År1,0,AB2*(1-VLOOKUP($A3,[1]Hugst!$R$5:$W$9,MATCH(ROUNDUP((AC$1)/10,0)*10,[1]Hugst!$R$4:$W$4,0))))</f>
        <v>0</v>
      </c>
      <c r="AD3">
        <f>IF($C3-AD$1&lt;År1,0,AC2*(1-VLOOKUP($A3,[1]Hugst!$R$5:$W$9,MATCH(ROUNDUP((AD$1)/10,0)*10,[1]Hugst!$R$4:$W$4,0))))</f>
        <v>0</v>
      </c>
      <c r="AE3">
        <f>IF($C3-AE$1&lt;År1,0,AD2*(1-VLOOKUP($A3,[1]Hugst!$R$5:$W$9,MATCH(ROUNDUP((AE$1)/10,0)*10,[1]Hugst!$R$4:$W$4,0))))</f>
        <v>0</v>
      </c>
      <c r="AF3">
        <f>IF($C3-AF$1&lt;År1,0,AE2*(1-VLOOKUP($A3,[1]Hugst!$R$5:$W$9,MATCH(ROUNDUP((AF$1)/10,0)*10,[1]Hugst!$R$4:$W$4,0))))</f>
        <v>0</v>
      </c>
      <c r="AG3">
        <f>IF($C3-AG$1&lt;År1,0,AF2*(1-VLOOKUP($A3,[1]Hugst!$R$5:$W$9,MATCH(ROUNDUP((AG$1)/10,0)*10,[1]Hugst!$R$4:$W$4,0))))</f>
        <v>0</v>
      </c>
      <c r="AH3">
        <f>IF($C3-AH$1&lt;År1,0,AG2*(1-VLOOKUP($A3,[1]Hugst!$R$5:$W$9,MATCH(ROUNDUP((AH$1)/10,0)*10,[1]Hugst!$R$4:$W$4,0))))</f>
        <v>0</v>
      </c>
      <c r="AI3">
        <f>IF($C3-AI$1&lt;År1,0,AH2*(1-VLOOKUP($A3,[1]Hugst!$R$5:$W$9,MATCH(ROUNDUP((AI$1)/10,0)*10,[1]Hugst!$R$4:$W$4,0))))</f>
        <v>0</v>
      </c>
      <c r="AJ3">
        <f>IF($C3-AJ$1&lt;År1,0,AI2*(1-VLOOKUP($A3,[1]Hugst!$R$5:$W$9,MATCH(ROUNDUP((AJ$1)/10,0)*10,[1]Hugst!$R$4:$W$4,0))))</f>
        <v>0</v>
      </c>
    </row>
    <row r="4" spans="1:36" x14ac:dyDescent="0.25">
      <c r="A4" t="s">
        <v>176</v>
      </c>
      <c r="B4" t="s">
        <v>23</v>
      </c>
      <c r="C4">
        <v>2022</v>
      </c>
      <c r="D4" cm="1">
        <f t="array" ref="D4">(IF(B4="Vestdanmark",Skovbrug!$C$22-(Skovbrug!$C$22)*(1-Skovbrug!$C$9)^(C4-Skovbrug!$B$12),Skovbrug!$F$22-(Skovbrug!$F$22)*(1-Skovbrug!$C$9)^(C4-Skovbrug!$B$12)))*VLOOKUP(A4,Skovbrug!$A$13:$D$17,IF('Skovbrug-alder'!C4&lt;=År2,3,4),FALSE)
-IF(C4&gt;2020,SUM(INDEX($C$1:$D$311,MATCH(1,(2020=$C$1:$C$311)*(B4=$B$1:$B$311)*(A4=$A$1:$A$311),0),2):D3),0)</f>
        <v>107.68118825496936</v>
      </c>
      <c r="E4">
        <f t="shared" ca="1" si="0"/>
        <v>0</v>
      </c>
      <c r="F4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600.94718152096243</v>
      </c>
      <c r="G4">
        <f ca="1">IF($C4-G$1&lt;År1,0,F3*(1-VLOOKUP($A4,[1]Hugst!$R$5:$W$9,MATCH(ROUNDUP((G$1)/10,0)*10,[1]Hugst!$R$4:$W$4,0))))</f>
        <v>601.48829301972796</v>
      </c>
      <c r="H4">
        <f ca="1">IF($C4-H$1&lt;År1,0,G3*(1-VLOOKUP($A4,[1]Hugst!$R$5:$W$9,MATCH(ROUNDUP((H$1)/10,0)*10,[1]Hugst!$R$4:$W$4,0))))</f>
        <v>602.03212367175934</v>
      </c>
      <c r="I4">
        <f>IF($C4-I$1&lt;År1,0,H3*(1-VLOOKUP($A4,[1]Hugst!$R$5:$W$9,MATCH(ROUNDUP((I$1)/10,0)*10,[1]Hugst!$R$4:$W$4,0))))</f>
        <v>0</v>
      </c>
      <c r="J4">
        <f>IF($C4-J$1&lt;År1,0,I3*(1-VLOOKUP($A4,[1]Hugst!$R$5:$W$9,MATCH(ROUNDUP((J$1)/10,0)*10,[1]Hugst!$R$4:$W$4,0))))</f>
        <v>0</v>
      </c>
      <c r="K4">
        <f>IF($C4-K$1&lt;År1,0,J3*(1-VLOOKUP($A4,[1]Hugst!$R$5:$W$9,MATCH(ROUNDUP((K$1)/10,0)*10,[1]Hugst!$R$4:$W$4,0))))</f>
        <v>0</v>
      </c>
      <c r="L4">
        <f>IF($C4-L$1&lt;År1,0,K3*(1-VLOOKUP($A4,[1]Hugst!$R$5:$W$9,MATCH(ROUNDUP((L$1)/10,0)*10,[1]Hugst!$R$4:$W$4,0))))</f>
        <v>0</v>
      </c>
      <c r="M4">
        <f>IF($C4-M$1&lt;År1,0,L3*(1-VLOOKUP($A4,[1]Hugst!$R$5:$W$9,MATCH(ROUNDUP((M$1)/10,0)*10,[1]Hugst!$R$4:$W$4,0))))</f>
        <v>0</v>
      </c>
      <c r="N4">
        <f>IF($C4-N$1&lt;År1,0,M3*(1-VLOOKUP($A4,[1]Hugst!$R$5:$W$9,MATCH(ROUNDUP((N$1)/10,0)*10,[1]Hugst!$R$4:$W$4,0))))</f>
        <v>0</v>
      </c>
      <c r="O4">
        <f>IF($C4-O$1&lt;År1,0,N3*(1-VLOOKUP($A4,[1]Hugst!$R$5:$W$9,MATCH(ROUNDUP((O$1)/10,0)*10,[1]Hugst!$R$4:$W$4,0))))</f>
        <v>0</v>
      </c>
      <c r="P4">
        <f>IF($C4-P$1&lt;År1,0,O3*(1-VLOOKUP($A4,[1]Hugst!$R$5:$W$9,MATCH(ROUNDUP((P$1)/10,0)*10,[1]Hugst!$R$4:$W$4,0))))</f>
        <v>0</v>
      </c>
      <c r="Q4">
        <f>IF($C4-Q$1&lt;År1,0,P3*(1-VLOOKUP($A4,[1]Hugst!$R$5:$W$9,MATCH(ROUNDUP((Q$1)/10,0)*10,[1]Hugst!$R$4:$W$4,0))))</f>
        <v>0</v>
      </c>
      <c r="R4">
        <f>IF($C4-R$1&lt;År1,0,Q3*(1-VLOOKUP($A4,[1]Hugst!$R$5:$W$9,MATCH(ROUNDUP((R$1)/10,0)*10,[1]Hugst!$R$4:$W$4,0))))</f>
        <v>0</v>
      </c>
      <c r="S4">
        <f>IF($C4-S$1&lt;År1,0,R3*(1-VLOOKUP($A4,[1]Hugst!$R$5:$W$9,MATCH(ROUNDUP((S$1)/10,0)*10,[1]Hugst!$R$4:$W$4,0))))</f>
        <v>0</v>
      </c>
      <c r="T4">
        <f>IF($C4-T$1&lt;År1,0,S3*(1-VLOOKUP($A4,[1]Hugst!$R$5:$W$9,MATCH(ROUNDUP((T$1)/10,0)*10,[1]Hugst!$R$4:$W$4,0))))</f>
        <v>0</v>
      </c>
      <c r="U4">
        <f>IF($C4-U$1&lt;År1,0,T3*(1-VLOOKUP($A4,[1]Hugst!$R$5:$W$9,MATCH(ROUNDUP((U$1)/10,0)*10,[1]Hugst!$R$4:$W$4,0))))</f>
        <v>0</v>
      </c>
      <c r="V4">
        <f>IF($C4-V$1&lt;År1,0,U3*(1-VLOOKUP($A4,[1]Hugst!$R$5:$W$9,MATCH(ROUNDUP((V$1)/10,0)*10,[1]Hugst!$R$4:$W$4,0))))</f>
        <v>0</v>
      </c>
      <c r="W4">
        <f>IF($C4-W$1&lt;År1,0,V3*(1-VLOOKUP($A4,[1]Hugst!$R$5:$W$9,MATCH(ROUNDUP((W$1)/10,0)*10,[1]Hugst!$R$4:$W$4,0))))</f>
        <v>0</v>
      </c>
      <c r="X4">
        <f>IF($C4-X$1&lt;År1,0,W3*(1-VLOOKUP($A4,[1]Hugst!$R$5:$W$9,MATCH(ROUNDUP((X$1)/10,0)*10,[1]Hugst!$R$4:$W$4,0))))</f>
        <v>0</v>
      </c>
      <c r="Y4">
        <f>IF($C4-Y$1&lt;År1,0,X3*(1-VLOOKUP($A4,[1]Hugst!$R$5:$W$9,MATCH(ROUNDUP((Y$1)/10,0)*10,[1]Hugst!$R$4:$W$4,0))))</f>
        <v>0</v>
      </c>
      <c r="Z4">
        <f>IF($C4-Z$1&lt;År1,0,Y3*(1-VLOOKUP($A4,[1]Hugst!$R$5:$W$9,MATCH(ROUNDUP((Z$1)/10,0)*10,[1]Hugst!$R$4:$W$4,0))))</f>
        <v>0</v>
      </c>
      <c r="AA4">
        <f>IF($C4-AA$1&lt;År1,0,Z3*(1-VLOOKUP($A4,[1]Hugst!$R$5:$W$9,MATCH(ROUNDUP((AA$1)/10,0)*10,[1]Hugst!$R$4:$W$4,0))))</f>
        <v>0</v>
      </c>
      <c r="AB4">
        <f>IF($C4-AB$1&lt;År1,0,AA3*(1-VLOOKUP($A4,[1]Hugst!$R$5:$W$9,MATCH(ROUNDUP((AB$1)/10,0)*10,[1]Hugst!$R$4:$W$4,0))))</f>
        <v>0</v>
      </c>
      <c r="AC4">
        <f>IF($C4-AC$1&lt;År1,0,AB3*(1-VLOOKUP($A4,[1]Hugst!$R$5:$W$9,MATCH(ROUNDUP((AC$1)/10,0)*10,[1]Hugst!$R$4:$W$4,0))))</f>
        <v>0</v>
      </c>
      <c r="AD4">
        <f>IF($C4-AD$1&lt;År1,0,AC3*(1-VLOOKUP($A4,[1]Hugst!$R$5:$W$9,MATCH(ROUNDUP((AD$1)/10,0)*10,[1]Hugst!$R$4:$W$4,0))))</f>
        <v>0</v>
      </c>
      <c r="AE4">
        <f>IF($C4-AE$1&lt;År1,0,AD3*(1-VLOOKUP($A4,[1]Hugst!$R$5:$W$9,MATCH(ROUNDUP((AE$1)/10,0)*10,[1]Hugst!$R$4:$W$4,0))))</f>
        <v>0</v>
      </c>
      <c r="AF4">
        <f>IF($C4-AF$1&lt;År1,0,AE3*(1-VLOOKUP($A4,[1]Hugst!$R$5:$W$9,MATCH(ROUNDUP((AF$1)/10,0)*10,[1]Hugst!$R$4:$W$4,0))))</f>
        <v>0</v>
      </c>
      <c r="AG4">
        <f>IF($C4-AG$1&lt;År1,0,AF3*(1-VLOOKUP($A4,[1]Hugst!$R$5:$W$9,MATCH(ROUNDUP((AG$1)/10,0)*10,[1]Hugst!$R$4:$W$4,0))))</f>
        <v>0</v>
      </c>
      <c r="AH4">
        <f>IF($C4-AH$1&lt;År1,0,AG3*(1-VLOOKUP($A4,[1]Hugst!$R$5:$W$9,MATCH(ROUNDUP((AH$1)/10,0)*10,[1]Hugst!$R$4:$W$4,0))))</f>
        <v>0</v>
      </c>
      <c r="AI4">
        <f>IF($C4-AI$1&lt;År1,0,AH3*(1-VLOOKUP($A4,[1]Hugst!$R$5:$W$9,MATCH(ROUNDUP((AI$1)/10,0)*10,[1]Hugst!$R$4:$W$4,0))))</f>
        <v>0</v>
      </c>
      <c r="AJ4">
        <f>IF($C4-AJ$1&lt;År1,0,AI3*(1-VLOOKUP($A4,[1]Hugst!$R$5:$W$9,MATCH(ROUNDUP((AJ$1)/10,0)*10,[1]Hugst!$R$4:$W$4,0))))</f>
        <v>0</v>
      </c>
    </row>
    <row r="5" spans="1:36" x14ac:dyDescent="0.25">
      <c r="A5" t="s">
        <v>176</v>
      </c>
      <c r="B5" t="s">
        <v>23</v>
      </c>
      <c r="C5">
        <v>2023</v>
      </c>
      <c r="D5" cm="1">
        <f t="array" ref="D5">(IF(B5="Vestdanmark",Skovbrug!$C$22-(Skovbrug!$C$22)*(1-Skovbrug!$C$9)^(C5-Skovbrug!$B$12),Skovbrug!$F$22-(Skovbrug!$F$22)*(1-Skovbrug!$C$9)^(C5-Skovbrug!$B$12)))*VLOOKUP(A5,Skovbrug!$A$13:$D$17,IF('Skovbrug-alder'!C5&lt;=År2,3,4),FALSE)
-IF(C5&gt;2020,SUM(INDEX($C$1:$D$311,MATCH(1,(2020=$C$1:$C$311)*(B5=$B$1:$B$311)*(A5=$A$1:$A$311),0),2):D4),0)</f>
        <v>107.14278231369389</v>
      </c>
      <c r="E5">
        <f t="shared" ca="1" si="0"/>
        <v>0</v>
      </c>
      <c r="F5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600.40877557968702</v>
      </c>
      <c r="G5">
        <f ca="1">IF($C5-G$1&lt;År1,0,F4*(1-VLOOKUP($A5,[1]Hugst!$R$5:$W$9,MATCH(ROUNDUP((G$1)/10,0)*10,[1]Hugst!$R$4:$W$4,0))))</f>
        <v>600.94718152096243</v>
      </c>
      <c r="H5">
        <f ca="1">IF($C5-H$1&lt;År1,0,G4*(1-VLOOKUP($A5,[1]Hugst!$R$5:$W$9,MATCH(ROUNDUP((H$1)/10,0)*10,[1]Hugst!$R$4:$W$4,0))))</f>
        <v>601.48829301972796</v>
      </c>
      <c r="I5">
        <f ca="1">IF($C5-I$1&lt;År1,0,H4*(1-VLOOKUP($A5,[1]Hugst!$R$5:$W$9,MATCH(ROUNDUP((I$1)/10,0)*10,[1]Hugst!$R$4:$W$4,0))))</f>
        <v>602.03212367175934</v>
      </c>
      <c r="J5">
        <f>IF($C5-J$1&lt;År1,0,I4*(1-VLOOKUP($A5,[1]Hugst!$R$5:$W$9,MATCH(ROUNDUP((J$1)/10,0)*10,[1]Hugst!$R$4:$W$4,0))))</f>
        <v>0</v>
      </c>
      <c r="K5">
        <f>IF($C5-K$1&lt;År1,0,J4*(1-VLOOKUP($A5,[1]Hugst!$R$5:$W$9,MATCH(ROUNDUP((K$1)/10,0)*10,[1]Hugst!$R$4:$W$4,0))))</f>
        <v>0</v>
      </c>
      <c r="L5">
        <f>IF($C5-L$1&lt;År1,0,K4*(1-VLOOKUP($A5,[1]Hugst!$R$5:$W$9,MATCH(ROUNDUP((L$1)/10,0)*10,[1]Hugst!$R$4:$W$4,0))))</f>
        <v>0</v>
      </c>
      <c r="M5">
        <f>IF($C5-M$1&lt;År1,0,L4*(1-VLOOKUP($A5,[1]Hugst!$R$5:$W$9,MATCH(ROUNDUP((M$1)/10,0)*10,[1]Hugst!$R$4:$W$4,0))))</f>
        <v>0</v>
      </c>
      <c r="N5">
        <f>IF($C5-N$1&lt;År1,0,M4*(1-VLOOKUP($A5,[1]Hugst!$R$5:$W$9,MATCH(ROUNDUP((N$1)/10,0)*10,[1]Hugst!$R$4:$W$4,0))))</f>
        <v>0</v>
      </c>
      <c r="O5">
        <f>IF($C5-O$1&lt;År1,0,N4*(1-VLOOKUP($A5,[1]Hugst!$R$5:$W$9,MATCH(ROUNDUP((O$1)/10,0)*10,[1]Hugst!$R$4:$W$4,0))))</f>
        <v>0</v>
      </c>
      <c r="P5">
        <f>IF($C5-P$1&lt;År1,0,O4*(1-VLOOKUP($A5,[1]Hugst!$R$5:$W$9,MATCH(ROUNDUP((P$1)/10,0)*10,[1]Hugst!$R$4:$W$4,0))))</f>
        <v>0</v>
      </c>
      <c r="Q5">
        <f>IF($C5-Q$1&lt;År1,0,P4*(1-VLOOKUP($A5,[1]Hugst!$R$5:$W$9,MATCH(ROUNDUP((Q$1)/10,0)*10,[1]Hugst!$R$4:$W$4,0))))</f>
        <v>0</v>
      </c>
      <c r="R5">
        <f>IF($C5-R$1&lt;År1,0,Q4*(1-VLOOKUP($A5,[1]Hugst!$R$5:$W$9,MATCH(ROUNDUP((R$1)/10,0)*10,[1]Hugst!$R$4:$W$4,0))))</f>
        <v>0</v>
      </c>
      <c r="S5">
        <f>IF($C5-S$1&lt;År1,0,R4*(1-VLOOKUP($A5,[1]Hugst!$R$5:$W$9,MATCH(ROUNDUP((S$1)/10,0)*10,[1]Hugst!$R$4:$W$4,0))))</f>
        <v>0</v>
      </c>
      <c r="T5">
        <f>IF($C5-T$1&lt;År1,0,S4*(1-VLOOKUP($A5,[1]Hugst!$R$5:$W$9,MATCH(ROUNDUP((T$1)/10,0)*10,[1]Hugst!$R$4:$W$4,0))))</f>
        <v>0</v>
      </c>
      <c r="U5">
        <f>IF($C5-U$1&lt;År1,0,T4*(1-VLOOKUP($A5,[1]Hugst!$R$5:$W$9,MATCH(ROUNDUP((U$1)/10,0)*10,[1]Hugst!$R$4:$W$4,0))))</f>
        <v>0</v>
      </c>
      <c r="V5">
        <f>IF($C5-V$1&lt;År1,0,U4*(1-VLOOKUP($A5,[1]Hugst!$R$5:$W$9,MATCH(ROUNDUP((V$1)/10,0)*10,[1]Hugst!$R$4:$W$4,0))))</f>
        <v>0</v>
      </c>
      <c r="W5">
        <f>IF($C5-W$1&lt;År1,0,V4*(1-VLOOKUP($A5,[1]Hugst!$R$5:$W$9,MATCH(ROUNDUP((W$1)/10,0)*10,[1]Hugst!$R$4:$W$4,0))))</f>
        <v>0</v>
      </c>
      <c r="X5">
        <f>IF($C5-X$1&lt;År1,0,W4*(1-VLOOKUP($A5,[1]Hugst!$R$5:$W$9,MATCH(ROUNDUP((X$1)/10,0)*10,[1]Hugst!$R$4:$W$4,0))))</f>
        <v>0</v>
      </c>
      <c r="Y5">
        <f>IF($C5-Y$1&lt;År1,0,X4*(1-VLOOKUP($A5,[1]Hugst!$R$5:$W$9,MATCH(ROUNDUP((Y$1)/10,0)*10,[1]Hugst!$R$4:$W$4,0))))</f>
        <v>0</v>
      </c>
      <c r="Z5">
        <f>IF($C5-Z$1&lt;År1,0,Y4*(1-VLOOKUP($A5,[1]Hugst!$R$5:$W$9,MATCH(ROUNDUP((Z$1)/10,0)*10,[1]Hugst!$R$4:$W$4,0))))</f>
        <v>0</v>
      </c>
      <c r="AA5">
        <f>IF($C5-AA$1&lt;År1,0,Z4*(1-VLOOKUP($A5,[1]Hugst!$R$5:$W$9,MATCH(ROUNDUP((AA$1)/10,0)*10,[1]Hugst!$R$4:$W$4,0))))</f>
        <v>0</v>
      </c>
      <c r="AB5">
        <f>IF($C5-AB$1&lt;År1,0,AA4*(1-VLOOKUP($A5,[1]Hugst!$R$5:$W$9,MATCH(ROUNDUP((AB$1)/10,0)*10,[1]Hugst!$R$4:$W$4,0))))</f>
        <v>0</v>
      </c>
      <c r="AC5">
        <f>IF($C5-AC$1&lt;År1,0,AB4*(1-VLOOKUP($A5,[1]Hugst!$R$5:$W$9,MATCH(ROUNDUP((AC$1)/10,0)*10,[1]Hugst!$R$4:$W$4,0))))</f>
        <v>0</v>
      </c>
      <c r="AD5">
        <f>IF($C5-AD$1&lt;År1,0,AC4*(1-VLOOKUP($A5,[1]Hugst!$R$5:$W$9,MATCH(ROUNDUP((AD$1)/10,0)*10,[1]Hugst!$R$4:$W$4,0))))</f>
        <v>0</v>
      </c>
      <c r="AE5">
        <f>IF($C5-AE$1&lt;År1,0,AD4*(1-VLOOKUP($A5,[1]Hugst!$R$5:$W$9,MATCH(ROUNDUP((AE$1)/10,0)*10,[1]Hugst!$R$4:$W$4,0))))</f>
        <v>0</v>
      </c>
      <c r="AF5">
        <f>IF($C5-AF$1&lt;År1,0,AE4*(1-VLOOKUP($A5,[1]Hugst!$R$5:$W$9,MATCH(ROUNDUP((AF$1)/10,0)*10,[1]Hugst!$R$4:$W$4,0))))</f>
        <v>0</v>
      </c>
      <c r="AG5">
        <f>IF($C5-AG$1&lt;År1,0,AF4*(1-VLOOKUP($A5,[1]Hugst!$R$5:$W$9,MATCH(ROUNDUP((AG$1)/10,0)*10,[1]Hugst!$R$4:$W$4,0))))</f>
        <v>0</v>
      </c>
      <c r="AH5">
        <f>IF($C5-AH$1&lt;År1,0,AG4*(1-VLOOKUP($A5,[1]Hugst!$R$5:$W$9,MATCH(ROUNDUP((AH$1)/10,0)*10,[1]Hugst!$R$4:$W$4,0))))</f>
        <v>0</v>
      </c>
      <c r="AI5">
        <f>IF($C5-AI$1&lt;År1,0,AH4*(1-VLOOKUP($A5,[1]Hugst!$R$5:$W$9,MATCH(ROUNDUP((AI$1)/10,0)*10,[1]Hugst!$R$4:$W$4,0))))</f>
        <v>0</v>
      </c>
      <c r="AJ5">
        <f>IF($C5-AJ$1&lt;År1,0,AI4*(1-VLOOKUP($A5,[1]Hugst!$R$5:$W$9,MATCH(ROUNDUP((AJ$1)/10,0)*10,[1]Hugst!$R$4:$W$4,0))))</f>
        <v>0</v>
      </c>
    </row>
    <row r="6" spans="1:36" x14ac:dyDescent="0.25">
      <c r="A6" t="s">
        <v>176</v>
      </c>
      <c r="B6" t="s">
        <v>23</v>
      </c>
      <c r="C6">
        <v>2024</v>
      </c>
      <c r="D6" cm="1">
        <f t="array" ref="D6">(IF(B6="Vestdanmark",Skovbrug!$C$22-(Skovbrug!$C$22)*(1-Skovbrug!$C$9)^(C6-Skovbrug!$B$12),Skovbrug!$F$22-(Skovbrug!$F$22)*(1-Skovbrug!$C$9)^(C6-Skovbrug!$B$12)))*VLOOKUP(A6,Skovbrug!$A$13:$D$17,IF('Skovbrug-alder'!C6&lt;=År2,3,4),FALSE)
-IF(C6&gt;2020,SUM(INDEX($C$1:$D$311,MATCH(1,(2020=$C$1:$C$311)*(B6=$B$1:$B$311)*(A6=$A$1:$A$311),0),2):D5),0)</f>
        <v>106.60706840212509</v>
      </c>
      <c r="E6">
        <f t="shared" ca="1" si="0"/>
        <v>0</v>
      </c>
      <c r="F6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599.87306166811823</v>
      </c>
      <c r="G6">
        <f ca="1">IF($C6-G$1&lt;År1,0,F5*(1-VLOOKUP($A6,[1]Hugst!$R$5:$W$9,MATCH(ROUNDUP((G$1)/10,0)*10,[1]Hugst!$R$4:$W$4,0))))</f>
        <v>600.40877557968702</v>
      </c>
      <c r="H6">
        <f ca="1">IF($C6-H$1&lt;År1,0,G5*(1-VLOOKUP($A6,[1]Hugst!$R$5:$W$9,MATCH(ROUNDUP((H$1)/10,0)*10,[1]Hugst!$R$4:$W$4,0))))</f>
        <v>600.94718152096243</v>
      </c>
      <c r="I6">
        <f ca="1">IF($C6-I$1&lt;År1,0,H5*(1-VLOOKUP($A6,[1]Hugst!$R$5:$W$9,MATCH(ROUNDUP((I$1)/10,0)*10,[1]Hugst!$R$4:$W$4,0))))</f>
        <v>601.48829301972796</v>
      </c>
      <c r="J6">
        <f ca="1">IF($C6-J$1&lt;År1,0,I5*(1-VLOOKUP($A6,[1]Hugst!$R$5:$W$9,MATCH(ROUNDUP((J$1)/10,0)*10,[1]Hugst!$R$4:$W$4,0))))</f>
        <v>602.03212367175934</v>
      </c>
      <c r="K6">
        <f>IF($C6-K$1&lt;År1,0,J5*(1-VLOOKUP($A6,[1]Hugst!$R$5:$W$9,MATCH(ROUNDUP((K$1)/10,0)*10,[1]Hugst!$R$4:$W$4,0))))</f>
        <v>0</v>
      </c>
      <c r="L6">
        <f>IF($C6-L$1&lt;År1,0,K5*(1-VLOOKUP($A6,[1]Hugst!$R$5:$W$9,MATCH(ROUNDUP((L$1)/10,0)*10,[1]Hugst!$R$4:$W$4,0))))</f>
        <v>0</v>
      </c>
      <c r="M6">
        <f>IF($C6-M$1&lt;År1,0,L5*(1-VLOOKUP($A6,[1]Hugst!$R$5:$W$9,MATCH(ROUNDUP((M$1)/10,0)*10,[1]Hugst!$R$4:$W$4,0))))</f>
        <v>0</v>
      </c>
      <c r="N6">
        <f>IF($C6-N$1&lt;År1,0,M5*(1-VLOOKUP($A6,[1]Hugst!$R$5:$W$9,MATCH(ROUNDUP((N$1)/10,0)*10,[1]Hugst!$R$4:$W$4,0))))</f>
        <v>0</v>
      </c>
      <c r="O6">
        <f>IF($C6-O$1&lt;År1,0,N5*(1-VLOOKUP($A6,[1]Hugst!$R$5:$W$9,MATCH(ROUNDUP((O$1)/10,0)*10,[1]Hugst!$R$4:$W$4,0))))</f>
        <v>0</v>
      </c>
      <c r="P6">
        <f>IF($C6-P$1&lt;År1,0,O5*(1-VLOOKUP($A6,[1]Hugst!$R$5:$W$9,MATCH(ROUNDUP((P$1)/10,0)*10,[1]Hugst!$R$4:$W$4,0))))</f>
        <v>0</v>
      </c>
      <c r="Q6">
        <f>IF($C6-Q$1&lt;År1,0,P5*(1-VLOOKUP($A6,[1]Hugst!$R$5:$W$9,MATCH(ROUNDUP((Q$1)/10,0)*10,[1]Hugst!$R$4:$W$4,0))))</f>
        <v>0</v>
      </c>
      <c r="R6">
        <f>IF($C6-R$1&lt;År1,0,Q5*(1-VLOOKUP($A6,[1]Hugst!$R$5:$W$9,MATCH(ROUNDUP((R$1)/10,0)*10,[1]Hugst!$R$4:$W$4,0))))</f>
        <v>0</v>
      </c>
      <c r="S6">
        <f>IF($C6-S$1&lt;År1,0,R5*(1-VLOOKUP($A6,[1]Hugst!$R$5:$W$9,MATCH(ROUNDUP((S$1)/10,0)*10,[1]Hugst!$R$4:$W$4,0))))</f>
        <v>0</v>
      </c>
      <c r="T6">
        <f>IF($C6-T$1&lt;År1,0,S5*(1-VLOOKUP($A6,[1]Hugst!$R$5:$W$9,MATCH(ROUNDUP((T$1)/10,0)*10,[1]Hugst!$R$4:$W$4,0))))</f>
        <v>0</v>
      </c>
      <c r="U6">
        <f>IF($C6-U$1&lt;År1,0,T5*(1-VLOOKUP($A6,[1]Hugst!$R$5:$W$9,MATCH(ROUNDUP((U$1)/10,0)*10,[1]Hugst!$R$4:$W$4,0))))</f>
        <v>0</v>
      </c>
      <c r="V6">
        <f>IF($C6-V$1&lt;År1,0,U5*(1-VLOOKUP($A6,[1]Hugst!$R$5:$W$9,MATCH(ROUNDUP((V$1)/10,0)*10,[1]Hugst!$R$4:$W$4,0))))</f>
        <v>0</v>
      </c>
      <c r="W6">
        <f>IF($C6-W$1&lt;År1,0,V5*(1-VLOOKUP($A6,[1]Hugst!$R$5:$W$9,MATCH(ROUNDUP((W$1)/10,0)*10,[1]Hugst!$R$4:$W$4,0))))</f>
        <v>0</v>
      </c>
      <c r="X6">
        <f>IF($C6-X$1&lt;År1,0,W5*(1-VLOOKUP($A6,[1]Hugst!$R$5:$W$9,MATCH(ROUNDUP((X$1)/10,0)*10,[1]Hugst!$R$4:$W$4,0))))</f>
        <v>0</v>
      </c>
      <c r="Y6">
        <f>IF($C6-Y$1&lt;År1,0,X5*(1-VLOOKUP($A6,[1]Hugst!$R$5:$W$9,MATCH(ROUNDUP((Y$1)/10,0)*10,[1]Hugst!$R$4:$W$4,0))))</f>
        <v>0</v>
      </c>
      <c r="Z6">
        <f>IF($C6-Z$1&lt;År1,0,Y5*(1-VLOOKUP($A6,[1]Hugst!$R$5:$W$9,MATCH(ROUNDUP((Z$1)/10,0)*10,[1]Hugst!$R$4:$W$4,0))))</f>
        <v>0</v>
      </c>
      <c r="AA6">
        <f>IF($C6-AA$1&lt;År1,0,Z5*(1-VLOOKUP($A6,[1]Hugst!$R$5:$W$9,MATCH(ROUNDUP((AA$1)/10,0)*10,[1]Hugst!$R$4:$W$4,0))))</f>
        <v>0</v>
      </c>
      <c r="AB6">
        <f>IF($C6-AB$1&lt;År1,0,AA5*(1-VLOOKUP($A6,[1]Hugst!$R$5:$W$9,MATCH(ROUNDUP((AB$1)/10,0)*10,[1]Hugst!$R$4:$W$4,0))))</f>
        <v>0</v>
      </c>
      <c r="AC6">
        <f>IF($C6-AC$1&lt;År1,0,AB5*(1-VLOOKUP($A6,[1]Hugst!$R$5:$W$9,MATCH(ROUNDUP((AC$1)/10,0)*10,[1]Hugst!$R$4:$W$4,0))))</f>
        <v>0</v>
      </c>
      <c r="AD6">
        <f>IF($C6-AD$1&lt;År1,0,AC5*(1-VLOOKUP($A6,[1]Hugst!$R$5:$W$9,MATCH(ROUNDUP((AD$1)/10,0)*10,[1]Hugst!$R$4:$W$4,0))))</f>
        <v>0</v>
      </c>
      <c r="AE6">
        <f>IF($C6-AE$1&lt;År1,0,AD5*(1-VLOOKUP($A6,[1]Hugst!$R$5:$W$9,MATCH(ROUNDUP((AE$1)/10,0)*10,[1]Hugst!$R$4:$W$4,0))))</f>
        <v>0</v>
      </c>
      <c r="AF6">
        <f>IF($C6-AF$1&lt;År1,0,AE5*(1-VLOOKUP($A6,[1]Hugst!$R$5:$W$9,MATCH(ROUNDUP((AF$1)/10,0)*10,[1]Hugst!$R$4:$W$4,0))))</f>
        <v>0</v>
      </c>
      <c r="AG6">
        <f>IF($C6-AG$1&lt;År1,0,AF5*(1-VLOOKUP($A6,[1]Hugst!$R$5:$W$9,MATCH(ROUNDUP((AG$1)/10,0)*10,[1]Hugst!$R$4:$W$4,0))))</f>
        <v>0</v>
      </c>
      <c r="AH6">
        <f>IF($C6-AH$1&lt;År1,0,AG5*(1-VLOOKUP($A6,[1]Hugst!$R$5:$W$9,MATCH(ROUNDUP((AH$1)/10,0)*10,[1]Hugst!$R$4:$W$4,0))))</f>
        <v>0</v>
      </c>
      <c r="AI6">
        <f>IF($C6-AI$1&lt;År1,0,AH5*(1-VLOOKUP($A6,[1]Hugst!$R$5:$W$9,MATCH(ROUNDUP((AI$1)/10,0)*10,[1]Hugst!$R$4:$W$4,0))))</f>
        <v>0</v>
      </c>
      <c r="AJ6">
        <f>IF($C6-AJ$1&lt;År1,0,AI5*(1-VLOOKUP($A6,[1]Hugst!$R$5:$W$9,MATCH(ROUNDUP((AJ$1)/10,0)*10,[1]Hugst!$R$4:$W$4,0))))</f>
        <v>0</v>
      </c>
    </row>
    <row r="7" spans="1:36" x14ac:dyDescent="0.25">
      <c r="A7" t="s">
        <v>176</v>
      </c>
      <c r="B7" t="s">
        <v>23</v>
      </c>
      <c r="C7">
        <v>2025</v>
      </c>
      <c r="D7" cm="1">
        <f t="array" ref="D7">(IF(B7="Vestdanmark",Skovbrug!$C$22-(Skovbrug!$C$22)*(1-Skovbrug!$C$9)^(C7-Skovbrug!$B$12),Skovbrug!$F$22-(Skovbrug!$F$22)*(1-Skovbrug!$C$9)^(C7-Skovbrug!$B$12)))*VLOOKUP(A7,Skovbrug!$A$13:$D$17,IF('Skovbrug-alder'!C7&lt;=År2,3,4),FALSE)
-IF(C7&gt;2020,SUM(INDEX($C$1:$D$311,MATCH(1,(2020=$C$1:$C$311)*(B7=$B$1:$B$311)*(A7=$A$1:$A$311),0),2):D6),0)</f>
        <v>106.07403306011406</v>
      </c>
      <c r="E7">
        <f t="shared" ca="1" si="0"/>
        <v>0</v>
      </c>
      <c r="F7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599.34002632610714</v>
      </c>
      <c r="G7">
        <f ca="1">IF($C7-G$1&lt;År1,0,F6*(1-VLOOKUP($A7,[1]Hugst!$R$5:$W$9,MATCH(ROUNDUP((G$1)/10,0)*10,[1]Hugst!$R$4:$W$4,0))))</f>
        <v>599.87306166811823</v>
      </c>
      <c r="H7">
        <f ca="1">IF($C7-H$1&lt;År1,0,G6*(1-VLOOKUP($A7,[1]Hugst!$R$5:$W$9,MATCH(ROUNDUP((H$1)/10,0)*10,[1]Hugst!$R$4:$W$4,0))))</f>
        <v>600.40877557968702</v>
      </c>
      <c r="I7">
        <f ca="1">IF($C7-I$1&lt;År1,0,H6*(1-VLOOKUP($A7,[1]Hugst!$R$5:$W$9,MATCH(ROUNDUP((I$1)/10,0)*10,[1]Hugst!$R$4:$W$4,0))))</f>
        <v>600.94718152096243</v>
      </c>
      <c r="J7">
        <f ca="1">IF($C7-J$1&lt;År1,0,I6*(1-VLOOKUP($A7,[1]Hugst!$R$5:$W$9,MATCH(ROUNDUP((J$1)/10,0)*10,[1]Hugst!$R$4:$W$4,0))))</f>
        <v>601.48829301972796</v>
      </c>
      <c r="K7">
        <f ca="1">IF($C7-K$1&lt;År1,0,J6*(1-VLOOKUP($A7,[1]Hugst!$R$5:$W$9,MATCH(ROUNDUP((K$1)/10,0)*10,[1]Hugst!$R$4:$W$4,0))))</f>
        <v>602.03212367175934</v>
      </c>
      <c r="L7">
        <f>IF($C7-L$1&lt;År1,0,K6*(1-VLOOKUP($A7,[1]Hugst!$R$5:$W$9,MATCH(ROUNDUP((L$1)/10,0)*10,[1]Hugst!$R$4:$W$4,0))))</f>
        <v>0</v>
      </c>
      <c r="M7">
        <f>IF($C7-M$1&lt;År1,0,L6*(1-VLOOKUP($A7,[1]Hugst!$R$5:$W$9,MATCH(ROUNDUP((M$1)/10,0)*10,[1]Hugst!$R$4:$W$4,0))))</f>
        <v>0</v>
      </c>
      <c r="N7">
        <f>IF($C7-N$1&lt;År1,0,M6*(1-VLOOKUP($A7,[1]Hugst!$R$5:$W$9,MATCH(ROUNDUP((N$1)/10,0)*10,[1]Hugst!$R$4:$W$4,0))))</f>
        <v>0</v>
      </c>
      <c r="O7">
        <f>IF($C7-O$1&lt;År1,0,N6*(1-VLOOKUP($A7,[1]Hugst!$R$5:$W$9,MATCH(ROUNDUP((O$1)/10,0)*10,[1]Hugst!$R$4:$W$4,0))))</f>
        <v>0</v>
      </c>
      <c r="P7">
        <f>IF($C7-P$1&lt;År1,0,O6*(1-VLOOKUP($A7,[1]Hugst!$R$5:$W$9,MATCH(ROUNDUP((P$1)/10,0)*10,[1]Hugst!$R$4:$W$4,0))))</f>
        <v>0</v>
      </c>
      <c r="Q7">
        <f>IF($C7-Q$1&lt;År1,0,P6*(1-VLOOKUP($A7,[1]Hugst!$R$5:$W$9,MATCH(ROUNDUP((Q$1)/10,0)*10,[1]Hugst!$R$4:$W$4,0))))</f>
        <v>0</v>
      </c>
      <c r="R7">
        <f>IF($C7-R$1&lt;År1,0,Q6*(1-VLOOKUP($A7,[1]Hugst!$R$5:$W$9,MATCH(ROUNDUP((R$1)/10,0)*10,[1]Hugst!$R$4:$W$4,0))))</f>
        <v>0</v>
      </c>
      <c r="S7">
        <f>IF($C7-S$1&lt;År1,0,R6*(1-VLOOKUP($A7,[1]Hugst!$R$5:$W$9,MATCH(ROUNDUP((S$1)/10,0)*10,[1]Hugst!$R$4:$W$4,0))))</f>
        <v>0</v>
      </c>
      <c r="T7">
        <f>IF($C7-T$1&lt;År1,0,S6*(1-VLOOKUP($A7,[1]Hugst!$R$5:$W$9,MATCH(ROUNDUP((T$1)/10,0)*10,[1]Hugst!$R$4:$W$4,0))))</f>
        <v>0</v>
      </c>
      <c r="U7">
        <f>IF($C7-U$1&lt;År1,0,T6*(1-VLOOKUP($A7,[1]Hugst!$R$5:$W$9,MATCH(ROUNDUP((U$1)/10,0)*10,[1]Hugst!$R$4:$W$4,0))))</f>
        <v>0</v>
      </c>
      <c r="V7">
        <f>IF($C7-V$1&lt;År1,0,U6*(1-VLOOKUP($A7,[1]Hugst!$R$5:$W$9,MATCH(ROUNDUP((V$1)/10,0)*10,[1]Hugst!$R$4:$W$4,0))))</f>
        <v>0</v>
      </c>
      <c r="W7">
        <f>IF($C7-W$1&lt;År1,0,V6*(1-VLOOKUP($A7,[1]Hugst!$R$5:$W$9,MATCH(ROUNDUP((W$1)/10,0)*10,[1]Hugst!$R$4:$W$4,0))))</f>
        <v>0</v>
      </c>
      <c r="X7">
        <f>IF($C7-X$1&lt;År1,0,W6*(1-VLOOKUP($A7,[1]Hugst!$R$5:$W$9,MATCH(ROUNDUP((X$1)/10,0)*10,[1]Hugst!$R$4:$W$4,0))))</f>
        <v>0</v>
      </c>
      <c r="Y7">
        <f>IF($C7-Y$1&lt;År1,0,X6*(1-VLOOKUP($A7,[1]Hugst!$R$5:$W$9,MATCH(ROUNDUP((Y$1)/10,0)*10,[1]Hugst!$R$4:$W$4,0))))</f>
        <v>0</v>
      </c>
      <c r="Z7">
        <f>IF($C7-Z$1&lt;År1,0,Y6*(1-VLOOKUP($A7,[1]Hugst!$R$5:$W$9,MATCH(ROUNDUP((Z$1)/10,0)*10,[1]Hugst!$R$4:$W$4,0))))</f>
        <v>0</v>
      </c>
      <c r="AA7">
        <f>IF($C7-AA$1&lt;År1,0,Z6*(1-VLOOKUP($A7,[1]Hugst!$R$5:$W$9,MATCH(ROUNDUP((AA$1)/10,0)*10,[1]Hugst!$R$4:$W$4,0))))</f>
        <v>0</v>
      </c>
      <c r="AB7">
        <f>IF($C7-AB$1&lt;År1,0,AA6*(1-VLOOKUP($A7,[1]Hugst!$R$5:$W$9,MATCH(ROUNDUP((AB$1)/10,0)*10,[1]Hugst!$R$4:$W$4,0))))</f>
        <v>0</v>
      </c>
      <c r="AC7">
        <f>IF($C7-AC$1&lt;År1,0,AB6*(1-VLOOKUP($A7,[1]Hugst!$R$5:$W$9,MATCH(ROUNDUP((AC$1)/10,0)*10,[1]Hugst!$R$4:$W$4,0))))</f>
        <v>0</v>
      </c>
      <c r="AD7">
        <f>IF($C7-AD$1&lt;År1,0,AC6*(1-VLOOKUP($A7,[1]Hugst!$R$5:$W$9,MATCH(ROUNDUP((AD$1)/10,0)*10,[1]Hugst!$R$4:$W$4,0))))</f>
        <v>0</v>
      </c>
      <c r="AE7">
        <f>IF($C7-AE$1&lt;År1,0,AD6*(1-VLOOKUP($A7,[1]Hugst!$R$5:$W$9,MATCH(ROUNDUP((AE$1)/10,0)*10,[1]Hugst!$R$4:$W$4,0))))</f>
        <v>0</v>
      </c>
      <c r="AF7">
        <f>IF($C7-AF$1&lt;År1,0,AE6*(1-VLOOKUP($A7,[1]Hugst!$R$5:$W$9,MATCH(ROUNDUP((AF$1)/10,0)*10,[1]Hugst!$R$4:$W$4,0))))</f>
        <v>0</v>
      </c>
      <c r="AG7">
        <f>IF($C7-AG$1&lt;År1,0,AF6*(1-VLOOKUP($A7,[1]Hugst!$R$5:$W$9,MATCH(ROUNDUP((AG$1)/10,0)*10,[1]Hugst!$R$4:$W$4,0))))</f>
        <v>0</v>
      </c>
      <c r="AH7">
        <f>IF($C7-AH$1&lt;År1,0,AG6*(1-VLOOKUP($A7,[1]Hugst!$R$5:$W$9,MATCH(ROUNDUP((AH$1)/10,0)*10,[1]Hugst!$R$4:$W$4,0))))</f>
        <v>0</v>
      </c>
      <c r="AI7">
        <f>IF($C7-AI$1&lt;År1,0,AH6*(1-VLOOKUP($A7,[1]Hugst!$R$5:$W$9,MATCH(ROUNDUP((AI$1)/10,0)*10,[1]Hugst!$R$4:$W$4,0))))</f>
        <v>0</v>
      </c>
      <c r="AJ7">
        <f>IF($C7-AJ$1&lt;År1,0,AI6*(1-VLOOKUP($A7,[1]Hugst!$R$5:$W$9,MATCH(ROUNDUP((AJ$1)/10,0)*10,[1]Hugst!$R$4:$W$4,0))))</f>
        <v>0</v>
      </c>
    </row>
    <row r="8" spans="1:36" x14ac:dyDescent="0.25">
      <c r="A8" t="s">
        <v>176</v>
      </c>
      <c r="B8" t="s">
        <v>23</v>
      </c>
      <c r="C8">
        <v>2026</v>
      </c>
      <c r="D8" cm="1">
        <f t="array" ref="D8">(IF(B8="Vestdanmark",Skovbrug!$C$22-(Skovbrug!$C$22)*(1-Skovbrug!$C$9)^(C8-Skovbrug!$B$12),Skovbrug!$F$22-(Skovbrug!$F$22)*(1-Skovbrug!$C$9)^(C8-Skovbrug!$B$12)))*VLOOKUP(A8,Skovbrug!$A$13:$D$17,IF('Skovbrug-alder'!C8&lt;=År2,3,4),FALSE)
-IF(C8&gt;2020,SUM(INDEX($C$1:$D$311,MATCH(1,(2020=$C$1:$C$311)*(B8=$B$1:$B$311)*(A8=$A$1:$A$311),0),2):D7),0)</f>
        <v>105.54366289481402</v>
      </c>
      <c r="E8">
        <f t="shared" ca="1" si="0"/>
        <v>0</v>
      </c>
      <c r="F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598.80965616080709</v>
      </c>
      <c r="G8">
        <f ca="1">IF($C8-G$1&lt;År1,0,F7*(1-VLOOKUP($A8,[1]Hugst!$R$5:$W$9,MATCH(ROUNDUP((G$1)/10,0)*10,[1]Hugst!$R$4:$W$4,0))))</f>
        <v>599.34002632610714</v>
      </c>
      <c r="H8">
        <f ca="1">IF($C8-H$1&lt;År1,0,G7*(1-VLOOKUP($A8,[1]Hugst!$R$5:$W$9,MATCH(ROUNDUP((H$1)/10,0)*10,[1]Hugst!$R$4:$W$4,0))))</f>
        <v>599.87306166811823</v>
      </c>
      <c r="I8">
        <f ca="1">IF($C8-I$1&lt;År1,0,H7*(1-VLOOKUP($A8,[1]Hugst!$R$5:$W$9,MATCH(ROUNDUP((I$1)/10,0)*10,[1]Hugst!$R$4:$W$4,0))))</f>
        <v>600.40877557968702</v>
      </c>
      <c r="J8">
        <f ca="1">IF($C8-J$1&lt;År1,0,I7*(1-VLOOKUP($A8,[1]Hugst!$R$5:$W$9,MATCH(ROUNDUP((J$1)/10,0)*10,[1]Hugst!$R$4:$W$4,0))))</f>
        <v>600.94718152096243</v>
      </c>
      <c r="K8">
        <f ca="1">IF($C8-K$1&lt;År1,0,J7*(1-VLOOKUP($A8,[1]Hugst!$R$5:$W$9,MATCH(ROUNDUP((K$1)/10,0)*10,[1]Hugst!$R$4:$W$4,0))))</f>
        <v>601.48829301972796</v>
      </c>
      <c r="L8">
        <f ca="1">IF($C8-L$1&lt;År1,0,K7*(1-VLOOKUP($A8,[1]Hugst!$R$5:$W$9,MATCH(ROUNDUP((L$1)/10,0)*10,[1]Hugst!$R$4:$W$4,0))))</f>
        <v>602.03212367175934</v>
      </c>
      <c r="M8">
        <f>IF($C8-M$1&lt;År1,0,L7*(1-VLOOKUP($A8,[1]Hugst!$R$5:$W$9,MATCH(ROUNDUP((M$1)/10,0)*10,[1]Hugst!$R$4:$W$4,0))))</f>
        <v>0</v>
      </c>
      <c r="N8">
        <f>IF($C8-N$1&lt;År1,0,M7*(1-VLOOKUP($A8,[1]Hugst!$R$5:$W$9,MATCH(ROUNDUP((N$1)/10,0)*10,[1]Hugst!$R$4:$W$4,0))))</f>
        <v>0</v>
      </c>
      <c r="O8">
        <f>IF($C8-O$1&lt;År1,0,N7*(1-VLOOKUP($A8,[1]Hugst!$R$5:$W$9,MATCH(ROUNDUP((O$1)/10,0)*10,[1]Hugst!$R$4:$W$4,0))))</f>
        <v>0</v>
      </c>
      <c r="P8">
        <f>IF($C8-P$1&lt;År1,0,O7*(1-VLOOKUP($A8,[1]Hugst!$R$5:$W$9,MATCH(ROUNDUP((P$1)/10,0)*10,[1]Hugst!$R$4:$W$4,0))))</f>
        <v>0</v>
      </c>
      <c r="Q8">
        <f>IF($C8-Q$1&lt;År1,0,P7*(1-VLOOKUP($A8,[1]Hugst!$R$5:$W$9,MATCH(ROUNDUP((Q$1)/10,0)*10,[1]Hugst!$R$4:$W$4,0))))</f>
        <v>0</v>
      </c>
      <c r="R8">
        <f>IF($C8-R$1&lt;År1,0,Q7*(1-VLOOKUP($A8,[1]Hugst!$R$5:$W$9,MATCH(ROUNDUP((R$1)/10,0)*10,[1]Hugst!$R$4:$W$4,0))))</f>
        <v>0</v>
      </c>
      <c r="S8">
        <f>IF($C8-S$1&lt;År1,0,R7*(1-VLOOKUP($A8,[1]Hugst!$R$5:$W$9,MATCH(ROUNDUP((S$1)/10,0)*10,[1]Hugst!$R$4:$W$4,0))))</f>
        <v>0</v>
      </c>
      <c r="T8">
        <f>IF($C8-T$1&lt;År1,0,S7*(1-VLOOKUP($A8,[1]Hugst!$R$5:$W$9,MATCH(ROUNDUP((T$1)/10,0)*10,[1]Hugst!$R$4:$W$4,0))))</f>
        <v>0</v>
      </c>
      <c r="U8">
        <f>IF($C8-U$1&lt;År1,0,T7*(1-VLOOKUP($A8,[1]Hugst!$R$5:$W$9,MATCH(ROUNDUP((U$1)/10,0)*10,[1]Hugst!$R$4:$W$4,0))))</f>
        <v>0</v>
      </c>
      <c r="V8">
        <f>IF($C8-V$1&lt;År1,0,U7*(1-VLOOKUP($A8,[1]Hugst!$R$5:$W$9,MATCH(ROUNDUP((V$1)/10,0)*10,[1]Hugst!$R$4:$W$4,0))))</f>
        <v>0</v>
      </c>
      <c r="W8">
        <f>IF($C8-W$1&lt;År1,0,V7*(1-VLOOKUP($A8,[1]Hugst!$R$5:$W$9,MATCH(ROUNDUP((W$1)/10,0)*10,[1]Hugst!$R$4:$W$4,0))))</f>
        <v>0</v>
      </c>
      <c r="X8">
        <f>IF($C8-X$1&lt;År1,0,W7*(1-VLOOKUP($A8,[1]Hugst!$R$5:$W$9,MATCH(ROUNDUP((X$1)/10,0)*10,[1]Hugst!$R$4:$W$4,0))))</f>
        <v>0</v>
      </c>
      <c r="Y8">
        <f>IF($C8-Y$1&lt;År1,0,X7*(1-VLOOKUP($A8,[1]Hugst!$R$5:$W$9,MATCH(ROUNDUP((Y$1)/10,0)*10,[1]Hugst!$R$4:$W$4,0))))</f>
        <v>0</v>
      </c>
      <c r="Z8">
        <f>IF($C8-Z$1&lt;År1,0,Y7*(1-VLOOKUP($A8,[1]Hugst!$R$5:$W$9,MATCH(ROUNDUP((Z$1)/10,0)*10,[1]Hugst!$R$4:$W$4,0))))</f>
        <v>0</v>
      </c>
      <c r="AA8">
        <f>IF($C8-AA$1&lt;År1,0,Z7*(1-VLOOKUP($A8,[1]Hugst!$R$5:$W$9,MATCH(ROUNDUP((AA$1)/10,0)*10,[1]Hugst!$R$4:$W$4,0))))</f>
        <v>0</v>
      </c>
      <c r="AB8">
        <f>IF($C8-AB$1&lt;År1,0,AA7*(1-VLOOKUP($A8,[1]Hugst!$R$5:$W$9,MATCH(ROUNDUP((AB$1)/10,0)*10,[1]Hugst!$R$4:$W$4,0))))</f>
        <v>0</v>
      </c>
      <c r="AC8">
        <f>IF($C8-AC$1&lt;År1,0,AB7*(1-VLOOKUP($A8,[1]Hugst!$R$5:$W$9,MATCH(ROUNDUP((AC$1)/10,0)*10,[1]Hugst!$R$4:$W$4,0))))</f>
        <v>0</v>
      </c>
      <c r="AD8">
        <f>IF($C8-AD$1&lt;År1,0,AC7*(1-VLOOKUP($A8,[1]Hugst!$R$5:$W$9,MATCH(ROUNDUP((AD$1)/10,0)*10,[1]Hugst!$R$4:$W$4,0))))</f>
        <v>0</v>
      </c>
      <c r="AE8">
        <f>IF($C8-AE$1&lt;År1,0,AD7*(1-VLOOKUP($A8,[1]Hugst!$R$5:$W$9,MATCH(ROUNDUP((AE$1)/10,0)*10,[1]Hugst!$R$4:$W$4,0))))</f>
        <v>0</v>
      </c>
      <c r="AF8">
        <f>IF($C8-AF$1&lt;År1,0,AE7*(1-VLOOKUP($A8,[1]Hugst!$R$5:$W$9,MATCH(ROUNDUP((AF$1)/10,0)*10,[1]Hugst!$R$4:$W$4,0))))</f>
        <v>0</v>
      </c>
      <c r="AG8">
        <f>IF($C8-AG$1&lt;År1,0,AF7*(1-VLOOKUP($A8,[1]Hugst!$R$5:$W$9,MATCH(ROUNDUP((AG$1)/10,0)*10,[1]Hugst!$R$4:$W$4,0))))</f>
        <v>0</v>
      </c>
      <c r="AH8">
        <f>IF($C8-AH$1&lt;År1,0,AG7*(1-VLOOKUP($A8,[1]Hugst!$R$5:$W$9,MATCH(ROUNDUP((AH$1)/10,0)*10,[1]Hugst!$R$4:$W$4,0))))</f>
        <v>0</v>
      </c>
      <c r="AI8">
        <f>IF($C8-AI$1&lt;År1,0,AH7*(1-VLOOKUP($A8,[1]Hugst!$R$5:$W$9,MATCH(ROUNDUP((AI$1)/10,0)*10,[1]Hugst!$R$4:$W$4,0))))</f>
        <v>0</v>
      </c>
      <c r="AJ8">
        <f>IF($C8-AJ$1&lt;År1,0,AI7*(1-VLOOKUP($A8,[1]Hugst!$R$5:$W$9,MATCH(ROUNDUP((AJ$1)/10,0)*10,[1]Hugst!$R$4:$W$4,0))))</f>
        <v>0</v>
      </c>
    </row>
    <row r="9" spans="1:36" x14ac:dyDescent="0.25">
      <c r="A9" t="s">
        <v>176</v>
      </c>
      <c r="B9" t="s">
        <v>23</v>
      </c>
      <c r="C9">
        <v>2027</v>
      </c>
      <c r="D9" cm="1">
        <f t="array" ref="D9">(IF(B9="Vestdanmark",Skovbrug!$C$22-(Skovbrug!$C$22)*(1-Skovbrug!$C$9)^(C9-Skovbrug!$B$12),Skovbrug!$F$22-(Skovbrug!$F$22)*(1-Skovbrug!$C$9)^(C9-Skovbrug!$B$12)))*VLOOKUP(A9,Skovbrug!$A$13:$D$17,IF('Skovbrug-alder'!C9&lt;=År2,3,4),FALSE)
-IF(C9&gt;2020,SUM(INDEX($C$1:$D$311,MATCH(1,(2020=$C$1:$C$311)*(B9=$B$1:$B$311)*(A9=$A$1:$A$311),0),2):D8),0)</f>
        <v>105.01594458034094</v>
      </c>
      <c r="E9">
        <f t="shared" ca="1" si="0"/>
        <v>0</v>
      </c>
      <c r="F9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598.28193784633402</v>
      </c>
      <c r="G9">
        <f ca="1">IF($C9-G$1&lt;År1,0,F8*(1-VLOOKUP($A9,[1]Hugst!$R$5:$W$9,MATCH(ROUNDUP((G$1)/10,0)*10,[1]Hugst!$R$4:$W$4,0))))</f>
        <v>598.80965616080709</v>
      </c>
      <c r="H9">
        <f ca="1">IF($C9-H$1&lt;År1,0,G8*(1-VLOOKUP($A9,[1]Hugst!$R$5:$W$9,MATCH(ROUNDUP((H$1)/10,0)*10,[1]Hugst!$R$4:$W$4,0))))</f>
        <v>599.34002632610714</v>
      </c>
      <c r="I9">
        <f ca="1">IF($C9-I$1&lt;År1,0,H8*(1-VLOOKUP($A9,[1]Hugst!$R$5:$W$9,MATCH(ROUNDUP((I$1)/10,0)*10,[1]Hugst!$R$4:$W$4,0))))</f>
        <v>599.87306166811823</v>
      </c>
      <c r="J9">
        <f ca="1">IF($C9-J$1&lt;År1,0,I8*(1-VLOOKUP($A9,[1]Hugst!$R$5:$W$9,MATCH(ROUNDUP((J$1)/10,0)*10,[1]Hugst!$R$4:$W$4,0))))</f>
        <v>600.40877557968702</v>
      </c>
      <c r="K9">
        <f ca="1">IF($C9-K$1&lt;År1,0,J8*(1-VLOOKUP($A9,[1]Hugst!$R$5:$W$9,MATCH(ROUNDUP((K$1)/10,0)*10,[1]Hugst!$R$4:$W$4,0))))</f>
        <v>600.94718152096243</v>
      </c>
      <c r="L9">
        <f ca="1">IF($C9-L$1&lt;År1,0,K8*(1-VLOOKUP($A9,[1]Hugst!$R$5:$W$9,MATCH(ROUNDUP((L$1)/10,0)*10,[1]Hugst!$R$4:$W$4,0))))</f>
        <v>601.48829301972796</v>
      </c>
      <c r="M9">
        <f ca="1">IF($C9-M$1&lt;År1,0,L8*(1-VLOOKUP($A9,[1]Hugst!$R$5:$W$9,MATCH(ROUNDUP((M$1)/10,0)*10,[1]Hugst!$R$4:$W$4,0))))</f>
        <v>602.03212367175934</v>
      </c>
      <c r="N9">
        <f>IF($C9-N$1&lt;År1,0,M8*(1-VLOOKUP($A9,[1]Hugst!$R$5:$W$9,MATCH(ROUNDUP((N$1)/10,0)*10,[1]Hugst!$R$4:$W$4,0))))</f>
        <v>0</v>
      </c>
      <c r="O9">
        <f>IF($C9-O$1&lt;År1,0,N8*(1-VLOOKUP($A9,[1]Hugst!$R$5:$W$9,MATCH(ROUNDUP((O$1)/10,0)*10,[1]Hugst!$R$4:$W$4,0))))</f>
        <v>0</v>
      </c>
      <c r="P9">
        <f>IF($C9-P$1&lt;År1,0,O8*(1-VLOOKUP($A9,[1]Hugst!$R$5:$W$9,MATCH(ROUNDUP((P$1)/10,0)*10,[1]Hugst!$R$4:$W$4,0))))</f>
        <v>0</v>
      </c>
      <c r="Q9">
        <f>IF($C9-Q$1&lt;År1,0,P8*(1-VLOOKUP($A9,[1]Hugst!$R$5:$W$9,MATCH(ROUNDUP((Q$1)/10,0)*10,[1]Hugst!$R$4:$W$4,0))))</f>
        <v>0</v>
      </c>
      <c r="R9">
        <f>IF($C9-R$1&lt;År1,0,Q8*(1-VLOOKUP($A9,[1]Hugst!$R$5:$W$9,MATCH(ROUNDUP((R$1)/10,0)*10,[1]Hugst!$R$4:$W$4,0))))</f>
        <v>0</v>
      </c>
      <c r="S9">
        <f>IF($C9-S$1&lt;År1,0,R8*(1-VLOOKUP($A9,[1]Hugst!$R$5:$W$9,MATCH(ROUNDUP((S$1)/10,0)*10,[1]Hugst!$R$4:$W$4,0))))</f>
        <v>0</v>
      </c>
      <c r="T9">
        <f>IF($C9-T$1&lt;År1,0,S8*(1-VLOOKUP($A9,[1]Hugst!$R$5:$W$9,MATCH(ROUNDUP((T$1)/10,0)*10,[1]Hugst!$R$4:$W$4,0))))</f>
        <v>0</v>
      </c>
      <c r="U9">
        <f>IF($C9-U$1&lt;År1,0,T8*(1-VLOOKUP($A9,[1]Hugst!$R$5:$W$9,MATCH(ROUNDUP((U$1)/10,0)*10,[1]Hugst!$R$4:$W$4,0))))</f>
        <v>0</v>
      </c>
      <c r="V9">
        <f>IF($C9-V$1&lt;År1,0,U8*(1-VLOOKUP($A9,[1]Hugst!$R$5:$W$9,MATCH(ROUNDUP((V$1)/10,0)*10,[1]Hugst!$R$4:$W$4,0))))</f>
        <v>0</v>
      </c>
      <c r="W9">
        <f>IF($C9-W$1&lt;År1,0,V8*(1-VLOOKUP($A9,[1]Hugst!$R$5:$W$9,MATCH(ROUNDUP((W$1)/10,0)*10,[1]Hugst!$R$4:$W$4,0))))</f>
        <v>0</v>
      </c>
      <c r="X9">
        <f>IF($C9-X$1&lt;År1,0,W8*(1-VLOOKUP($A9,[1]Hugst!$R$5:$W$9,MATCH(ROUNDUP((X$1)/10,0)*10,[1]Hugst!$R$4:$W$4,0))))</f>
        <v>0</v>
      </c>
      <c r="Y9">
        <f>IF($C9-Y$1&lt;År1,0,X8*(1-VLOOKUP($A9,[1]Hugst!$R$5:$W$9,MATCH(ROUNDUP((Y$1)/10,0)*10,[1]Hugst!$R$4:$W$4,0))))</f>
        <v>0</v>
      </c>
      <c r="Z9">
        <f>IF($C9-Z$1&lt;År1,0,Y8*(1-VLOOKUP($A9,[1]Hugst!$R$5:$W$9,MATCH(ROUNDUP((Z$1)/10,0)*10,[1]Hugst!$R$4:$W$4,0))))</f>
        <v>0</v>
      </c>
      <c r="AA9">
        <f>IF($C9-AA$1&lt;År1,0,Z8*(1-VLOOKUP($A9,[1]Hugst!$R$5:$W$9,MATCH(ROUNDUP((AA$1)/10,0)*10,[1]Hugst!$R$4:$W$4,0))))</f>
        <v>0</v>
      </c>
      <c r="AB9">
        <f>IF($C9-AB$1&lt;År1,0,AA8*(1-VLOOKUP($A9,[1]Hugst!$R$5:$W$9,MATCH(ROUNDUP((AB$1)/10,0)*10,[1]Hugst!$R$4:$W$4,0))))</f>
        <v>0</v>
      </c>
      <c r="AC9">
        <f>IF($C9-AC$1&lt;År1,0,AB8*(1-VLOOKUP($A9,[1]Hugst!$R$5:$W$9,MATCH(ROUNDUP((AC$1)/10,0)*10,[1]Hugst!$R$4:$W$4,0))))</f>
        <v>0</v>
      </c>
      <c r="AD9">
        <f>IF($C9-AD$1&lt;År1,0,AC8*(1-VLOOKUP($A9,[1]Hugst!$R$5:$W$9,MATCH(ROUNDUP((AD$1)/10,0)*10,[1]Hugst!$R$4:$W$4,0))))</f>
        <v>0</v>
      </c>
      <c r="AE9">
        <f>IF($C9-AE$1&lt;År1,0,AD8*(1-VLOOKUP($A9,[1]Hugst!$R$5:$W$9,MATCH(ROUNDUP((AE$1)/10,0)*10,[1]Hugst!$R$4:$W$4,0))))</f>
        <v>0</v>
      </c>
      <c r="AF9">
        <f>IF($C9-AF$1&lt;År1,0,AE8*(1-VLOOKUP($A9,[1]Hugst!$R$5:$W$9,MATCH(ROUNDUP((AF$1)/10,0)*10,[1]Hugst!$R$4:$W$4,0))))</f>
        <v>0</v>
      </c>
      <c r="AG9">
        <f>IF($C9-AG$1&lt;År1,0,AF8*(1-VLOOKUP($A9,[1]Hugst!$R$5:$W$9,MATCH(ROUNDUP((AG$1)/10,0)*10,[1]Hugst!$R$4:$W$4,0))))</f>
        <v>0</v>
      </c>
      <c r="AH9">
        <f>IF($C9-AH$1&lt;År1,0,AG8*(1-VLOOKUP($A9,[1]Hugst!$R$5:$W$9,MATCH(ROUNDUP((AH$1)/10,0)*10,[1]Hugst!$R$4:$W$4,0))))</f>
        <v>0</v>
      </c>
      <c r="AI9">
        <f>IF($C9-AI$1&lt;År1,0,AH8*(1-VLOOKUP($A9,[1]Hugst!$R$5:$W$9,MATCH(ROUNDUP((AI$1)/10,0)*10,[1]Hugst!$R$4:$W$4,0))))</f>
        <v>0</v>
      </c>
      <c r="AJ9">
        <f>IF($C9-AJ$1&lt;År1,0,AI8*(1-VLOOKUP($A9,[1]Hugst!$R$5:$W$9,MATCH(ROUNDUP((AJ$1)/10,0)*10,[1]Hugst!$R$4:$W$4,0))))</f>
        <v>0</v>
      </c>
    </row>
    <row r="10" spans="1:36" x14ac:dyDescent="0.25">
      <c r="A10" t="s">
        <v>176</v>
      </c>
      <c r="B10" t="s">
        <v>23</v>
      </c>
      <c r="C10">
        <v>2028</v>
      </c>
      <c r="D10" cm="1">
        <f t="array" ref="D10">(IF(B10="Vestdanmark",Skovbrug!$C$22-(Skovbrug!$C$22)*(1-Skovbrug!$C$9)^(C10-Skovbrug!$B$12),Skovbrug!$F$22-(Skovbrug!$F$22)*(1-Skovbrug!$C$9)^(C10-Skovbrug!$B$12)))*VLOOKUP(A10,Skovbrug!$A$13:$D$17,IF('Skovbrug-alder'!C10&lt;=År2,3,4),FALSE)
-IF(C10&gt;2020,SUM(INDEX($C$1:$D$311,MATCH(1,(2020=$C$1:$C$311)*(B10=$B$1:$B$311)*(A10=$A$1:$A$311),0),2):D9),0)</f>
        <v>104.49086485744044</v>
      </c>
      <c r="E10">
        <f t="shared" ca="1" si="0"/>
        <v>0</v>
      </c>
      <c r="F10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597.75685812343352</v>
      </c>
      <c r="G10">
        <f ca="1">IF($C10-G$1&lt;År1,0,F9*(1-VLOOKUP($A10,[1]Hugst!$R$5:$W$9,MATCH(ROUNDUP((G$1)/10,0)*10,[1]Hugst!$R$4:$W$4,0))))</f>
        <v>598.28193784633402</v>
      </c>
      <c r="H10">
        <f ca="1">IF($C10-H$1&lt;År1,0,G9*(1-VLOOKUP($A10,[1]Hugst!$R$5:$W$9,MATCH(ROUNDUP((H$1)/10,0)*10,[1]Hugst!$R$4:$W$4,0))))</f>
        <v>598.80965616080709</v>
      </c>
      <c r="I10">
        <f ca="1">IF($C10-I$1&lt;År1,0,H9*(1-VLOOKUP($A10,[1]Hugst!$R$5:$W$9,MATCH(ROUNDUP((I$1)/10,0)*10,[1]Hugst!$R$4:$W$4,0))))</f>
        <v>599.34002632610714</v>
      </c>
      <c r="J10">
        <f ca="1">IF($C10-J$1&lt;År1,0,I9*(1-VLOOKUP($A10,[1]Hugst!$R$5:$W$9,MATCH(ROUNDUP((J$1)/10,0)*10,[1]Hugst!$R$4:$W$4,0))))</f>
        <v>599.87306166811823</v>
      </c>
      <c r="K10">
        <f ca="1">IF($C10-K$1&lt;År1,0,J9*(1-VLOOKUP($A10,[1]Hugst!$R$5:$W$9,MATCH(ROUNDUP((K$1)/10,0)*10,[1]Hugst!$R$4:$W$4,0))))</f>
        <v>600.40877557968702</v>
      </c>
      <c r="L10">
        <f ca="1">IF($C10-L$1&lt;År1,0,K9*(1-VLOOKUP($A10,[1]Hugst!$R$5:$W$9,MATCH(ROUNDUP((L$1)/10,0)*10,[1]Hugst!$R$4:$W$4,0))))</f>
        <v>600.94718152096243</v>
      </c>
      <c r="M10">
        <f ca="1">IF($C10-M$1&lt;År1,0,L9*(1-VLOOKUP($A10,[1]Hugst!$R$5:$W$9,MATCH(ROUNDUP((M$1)/10,0)*10,[1]Hugst!$R$4:$W$4,0))))</f>
        <v>601.48829301972796</v>
      </c>
      <c r="N10">
        <f ca="1">IF($C10-N$1&lt;År1,0,M9*(1-VLOOKUP($A10,[1]Hugst!$R$5:$W$9,MATCH(ROUNDUP((N$1)/10,0)*10,[1]Hugst!$R$4:$W$4,0))))</f>
        <v>602.03212367175934</v>
      </c>
      <c r="O10">
        <f>IF($C10-O$1&lt;År1,0,N9*(1-VLOOKUP($A10,[1]Hugst!$R$5:$W$9,MATCH(ROUNDUP((O$1)/10,0)*10,[1]Hugst!$R$4:$W$4,0))))</f>
        <v>0</v>
      </c>
      <c r="P10">
        <f>IF($C10-P$1&lt;År1,0,O9*(1-VLOOKUP($A10,[1]Hugst!$R$5:$W$9,MATCH(ROUNDUP((P$1)/10,0)*10,[1]Hugst!$R$4:$W$4,0))))</f>
        <v>0</v>
      </c>
      <c r="Q10">
        <f>IF($C10-Q$1&lt;År1,0,P9*(1-VLOOKUP($A10,[1]Hugst!$R$5:$W$9,MATCH(ROUNDUP((Q$1)/10,0)*10,[1]Hugst!$R$4:$W$4,0))))</f>
        <v>0</v>
      </c>
      <c r="R10">
        <f>IF($C10-R$1&lt;År1,0,Q9*(1-VLOOKUP($A10,[1]Hugst!$R$5:$W$9,MATCH(ROUNDUP((R$1)/10,0)*10,[1]Hugst!$R$4:$W$4,0))))</f>
        <v>0</v>
      </c>
      <c r="S10">
        <f>IF($C10-S$1&lt;År1,0,R9*(1-VLOOKUP($A10,[1]Hugst!$R$5:$W$9,MATCH(ROUNDUP((S$1)/10,0)*10,[1]Hugst!$R$4:$W$4,0))))</f>
        <v>0</v>
      </c>
      <c r="T10">
        <f>IF($C10-T$1&lt;År1,0,S9*(1-VLOOKUP($A10,[1]Hugst!$R$5:$W$9,MATCH(ROUNDUP((T$1)/10,0)*10,[1]Hugst!$R$4:$W$4,0))))</f>
        <v>0</v>
      </c>
      <c r="U10">
        <f>IF($C10-U$1&lt;År1,0,T9*(1-VLOOKUP($A10,[1]Hugst!$R$5:$W$9,MATCH(ROUNDUP((U$1)/10,0)*10,[1]Hugst!$R$4:$W$4,0))))</f>
        <v>0</v>
      </c>
      <c r="V10">
        <f>IF($C10-V$1&lt;År1,0,U9*(1-VLOOKUP($A10,[1]Hugst!$R$5:$W$9,MATCH(ROUNDUP((V$1)/10,0)*10,[1]Hugst!$R$4:$W$4,0))))</f>
        <v>0</v>
      </c>
      <c r="W10">
        <f>IF($C10-W$1&lt;År1,0,V9*(1-VLOOKUP($A10,[1]Hugst!$R$5:$W$9,MATCH(ROUNDUP((W$1)/10,0)*10,[1]Hugst!$R$4:$W$4,0))))</f>
        <v>0</v>
      </c>
      <c r="X10">
        <f>IF($C10-X$1&lt;År1,0,W9*(1-VLOOKUP($A10,[1]Hugst!$R$5:$W$9,MATCH(ROUNDUP((X$1)/10,0)*10,[1]Hugst!$R$4:$W$4,0))))</f>
        <v>0</v>
      </c>
      <c r="Y10">
        <f>IF($C10-Y$1&lt;År1,0,X9*(1-VLOOKUP($A10,[1]Hugst!$R$5:$W$9,MATCH(ROUNDUP((Y$1)/10,0)*10,[1]Hugst!$R$4:$W$4,0))))</f>
        <v>0</v>
      </c>
      <c r="Z10">
        <f>IF($C10-Z$1&lt;År1,0,Y9*(1-VLOOKUP($A10,[1]Hugst!$R$5:$W$9,MATCH(ROUNDUP((Z$1)/10,0)*10,[1]Hugst!$R$4:$W$4,0))))</f>
        <v>0</v>
      </c>
      <c r="AA10">
        <f>IF($C10-AA$1&lt;År1,0,Z9*(1-VLOOKUP($A10,[1]Hugst!$R$5:$W$9,MATCH(ROUNDUP((AA$1)/10,0)*10,[1]Hugst!$R$4:$W$4,0))))</f>
        <v>0</v>
      </c>
      <c r="AB10">
        <f>IF($C10-AB$1&lt;År1,0,AA9*(1-VLOOKUP($A10,[1]Hugst!$R$5:$W$9,MATCH(ROUNDUP((AB$1)/10,0)*10,[1]Hugst!$R$4:$W$4,0))))</f>
        <v>0</v>
      </c>
      <c r="AC10">
        <f>IF($C10-AC$1&lt;År1,0,AB9*(1-VLOOKUP($A10,[1]Hugst!$R$5:$W$9,MATCH(ROUNDUP((AC$1)/10,0)*10,[1]Hugst!$R$4:$W$4,0))))</f>
        <v>0</v>
      </c>
      <c r="AD10">
        <f>IF($C10-AD$1&lt;År1,0,AC9*(1-VLOOKUP($A10,[1]Hugst!$R$5:$W$9,MATCH(ROUNDUP((AD$1)/10,0)*10,[1]Hugst!$R$4:$W$4,0))))</f>
        <v>0</v>
      </c>
      <c r="AE10">
        <f>IF($C10-AE$1&lt;År1,0,AD9*(1-VLOOKUP($A10,[1]Hugst!$R$5:$W$9,MATCH(ROUNDUP((AE$1)/10,0)*10,[1]Hugst!$R$4:$W$4,0))))</f>
        <v>0</v>
      </c>
      <c r="AF10">
        <f>IF($C10-AF$1&lt;År1,0,AE9*(1-VLOOKUP($A10,[1]Hugst!$R$5:$W$9,MATCH(ROUNDUP((AF$1)/10,0)*10,[1]Hugst!$R$4:$W$4,0))))</f>
        <v>0</v>
      </c>
      <c r="AG10">
        <f>IF($C10-AG$1&lt;År1,0,AF9*(1-VLOOKUP($A10,[1]Hugst!$R$5:$W$9,MATCH(ROUNDUP((AG$1)/10,0)*10,[1]Hugst!$R$4:$W$4,0))))</f>
        <v>0</v>
      </c>
      <c r="AH10">
        <f>IF($C10-AH$1&lt;År1,0,AG9*(1-VLOOKUP($A10,[1]Hugst!$R$5:$W$9,MATCH(ROUNDUP((AH$1)/10,0)*10,[1]Hugst!$R$4:$W$4,0))))</f>
        <v>0</v>
      </c>
      <c r="AI10">
        <f>IF($C10-AI$1&lt;År1,0,AH9*(1-VLOOKUP($A10,[1]Hugst!$R$5:$W$9,MATCH(ROUNDUP((AI$1)/10,0)*10,[1]Hugst!$R$4:$W$4,0))))</f>
        <v>0</v>
      </c>
      <c r="AJ10">
        <f>IF($C10-AJ$1&lt;År1,0,AI9*(1-VLOOKUP($A10,[1]Hugst!$R$5:$W$9,MATCH(ROUNDUP((AJ$1)/10,0)*10,[1]Hugst!$R$4:$W$4,0))))</f>
        <v>0</v>
      </c>
    </row>
    <row r="11" spans="1:36" x14ac:dyDescent="0.25">
      <c r="A11" t="s">
        <v>176</v>
      </c>
      <c r="B11" t="s">
        <v>23</v>
      </c>
      <c r="C11">
        <v>2029</v>
      </c>
      <c r="D11" cm="1">
        <f t="array" ref="D11">(IF(B11="Vestdanmark",Skovbrug!$C$22-(Skovbrug!$C$22)*(1-Skovbrug!$C$9)^(C11-Skovbrug!$B$12),Skovbrug!$F$22-(Skovbrug!$F$22)*(1-Skovbrug!$C$9)^(C11-Skovbrug!$B$12)))*VLOOKUP(A11,Skovbrug!$A$13:$D$17,IF('Skovbrug-alder'!C11&lt;=År2,3,4),FALSE)
-IF(C11&gt;2020,SUM(INDEX($C$1:$D$311,MATCH(1,(2020=$C$1:$C$311)*(B11=$B$1:$B$311)*(A11=$A$1:$A$311),0),2):D10),0)</f>
        <v>103.96841053314847</v>
      </c>
      <c r="E11">
        <f t="shared" ca="1" si="0"/>
        <v>0</v>
      </c>
      <c r="F11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597.23440379914155</v>
      </c>
      <c r="G11">
        <f ca="1">IF($C11-G$1&lt;År1,0,F10*(1-VLOOKUP($A11,[1]Hugst!$R$5:$W$9,MATCH(ROUNDUP((G$1)/10,0)*10,[1]Hugst!$R$4:$W$4,0))))</f>
        <v>597.75685812343352</v>
      </c>
      <c r="H11">
        <f ca="1">IF($C11-H$1&lt;År1,0,G10*(1-VLOOKUP($A11,[1]Hugst!$R$5:$W$9,MATCH(ROUNDUP((H$1)/10,0)*10,[1]Hugst!$R$4:$W$4,0))))</f>
        <v>598.28193784633402</v>
      </c>
      <c r="I11">
        <f ca="1">IF($C11-I$1&lt;År1,0,H10*(1-VLOOKUP($A11,[1]Hugst!$R$5:$W$9,MATCH(ROUNDUP((I$1)/10,0)*10,[1]Hugst!$R$4:$W$4,0))))</f>
        <v>598.80965616080709</v>
      </c>
      <c r="J11">
        <f ca="1">IF($C11-J$1&lt;År1,0,I10*(1-VLOOKUP($A11,[1]Hugst!$R$5:$W$9,MATCH(ROUNDUP((J$1)/10,0)*10,[1]Hugst!$R$4:$W$4,0))))</f>
        <v>599.34002632610714</v>
      </c>
      <c r="K11">
        <f ca="1">IF($C11-K$1&lt;År1,0,J10*(1-VLOOKUP($A11,[1]Hugst!$R$5:$W$9,MATCH(ROUNDUP((K$1)/10,0)*10,[1]Hugst!$R$4:$W$4,0))))</f>
        <v>599.87306166811823</v>
      </c>
      <c r="L11">
        <f ca="1">IF($C11-L$1&lt;År1,0,K10*(1-VLOOKUP($A11,[1]Hugst!$R$5:$W$9,MATCH(ROUNDUP((L$1)/10,0)*10,[1]Hugst!$R$4:$W$4,0))))</f>
        <v>600.40877557968702</v>
      </c>
      <c r="M11">
        <f ca="1">IF($C11-M$1&lt;År1,0,L10*(1-VLOOKUP($A11,[1]Hugst!$R$5:$W$9,MATCH(ROUNDUP((M$1)/10,0)*10,[1]Hugst!$R$4:$W$4,0))))</f>
        <v>600.94718152096243</v>
      </c>
      <c r="N11">
        <f ca="1">IF($C11-N$1&lt;År1,0,M10*(1-VLOOKUP($A11,[1]Hugst!$R$5:$W$9,MATCH(ROUNDUP((N$1)/10,0)*10,[1]Hugst!$R$4:$W$4,0))))</f>
        <v>601.48829301972796</v>
      </c>
      <c r="O11">
        <f ca="1">IF($C11-O$1&lt;År1,0,N10*(1-VLOOKUP($A11,[1]Hugst!$R$5:$W$9,MATCH(ROUNDUP((O$1)/10,0)*10,[1]Hugst!$R$4:$W$4,0))))</f>
        <v>602.03212367175934</v>
      </c>
      <c r="P11">
        <f>IF($C11-P$1&lt;År1,0,O10*(1-VLOOKUP($A11,[1]Hugst!$R$5:$W$9,MATCH(ROUNDUP((P$1)/10,0)*10,[1]Hugst!$R$4:$W$4,0))))</f>
        <v>0</v>
      </c>
      <c r="Q11">
        <f>IF($C11-Q$1&lt;År1,0,P10*(1-VLOOKUP($A11,[1]Hugst!$R$5:$W$9,MATCH(ROUNDUP((Q$1)/10,0)*10,[1]Hugst!$R$4:$W$4,0))))</f>
        <v>0</v>
      </c>
      <c r="R11">
        <f>IF($C11-R$1&lt;År1,0,Q10*(1-VLOOKUP($A11,[1]Hugst!$R$5:$W$9,MATCH(ROUNDUP((R$1)/10,0)*10,[1]Hugst!$R$4:$W$4,0))))</f>
        <v>0</v>
      </c>
      <c r="S11">
        <f>IF($C11-S$1&lt;År1,0,R10*(1-VLOOKUP($A11,[1]Hugst!$R$5:$W$9,MATCH(ROUNDUP((S$1)/10,0)*10,[1]Hugst!$R$4:$W$4,0))))</f>
        <v>0</v>
      </c>
      <c r="T11">
        <f>IF($C11-T$1&lt;År1,0,S10*(1-VLOOKUP($A11,[1]Hugst!$R$5:$W$9,MATCH(ROUNDUP((T$1)/10,0)*10,[1]Hugst!$R$4:$W$4,0))))</f>
        <v>0</v>
      </c>
      <c r="U11">
        <f>IF($C11-U$1&lt;År1,0,T10*(1-VLOOKUP($A11,[1]Hugst!$R$5:$W$9,MATCH(ROUNDUP((U$1)/10,0)*10,[1]Hugst!$R$4:$W$4,0))))</f>
        <v>0</v>
      </c>
      <c r="V11">
        <f>IF($C11-V$1&lt;År1,0,U10*(1-VLOOKUP($A11,[1]Hugst!$R$5:$W$9,MATCH(ROUNDUP((V$1)/10,0)*10,[1]Hugst!$R$4:$W$4,0))))</f>
        <v>0</v>
      </c>
      <c r="W11">
        <f>IF($C11-W$1&lt;År1,0,V10*(1-VLOOKUP($A11,[1]Hugst!$R$5:$W$9,MATCH(ROUNDUP((W$1)/10,0)*10,[1]Hugst!$R$4:$W$4,0))))</f>
        <v>0</v>
      </c>
      <c r="X11">
        <f>IF($C11-X$1&lt;År1,0,W10*(1-VLOOKUP($A11,[1]Hugst!$R$5:$W$9,MATCH(ROUNDUP((X$1)/10,0)*10,[1]Hugst!$R$4:$W$4,0))))</f>
        <v>0</v>
      </c>
      <c r="Y11">
        <f>IF($C11-Y$1&lt;År1,0,X10*(1-VLOOKUP($A11,[1]Hugst!$R$5:$W$9,MATCH(ROUNDUP((Y$1)/10,0)*10,[1]Hugst!$R$4:$W$4,0))))</f>
        <v>0</v>
      </c>
      <c r="Z11">
        <f>IF($C11-Z$1&lt;År1,0,Y10*(1-VLOOKUP($A11,[1]Hugst!$R$5:$W$9,MATCH(ROUNDUP((Z$1)/10,0)*10,[1]Hugst!$R$4:$W$4,0))))</f>
        <v>0</v>
      </c>
      <c r="AA11">
        <f>IF($C11-AA$1&lt;År1,0,Z10*(1-VLOOKUP($A11,[1]Hugst!$R$5:$W$9,MATCH(ROUNDUP((AA$1)/10,0)*10,[1]Hugst!$R$4:$W$4,0))))</f>
        <v>0</v>
      </c>
      <c r="AB11">
        <f>IF($C11-AB$1&lt;År1,0,AA10*(1-VLOOKUP($A11,[1]Hugst!$R$5:$W$9,MATCH(ROUNDUP((AB$1)/10,0)*10,[1]Hugst!$R$4:$W$4,0))))</f>
        <v>0</v>
      </c>
      <c r="AC11">
        <f>IF($C11-AC$1&lt;År1,0,AB10*(1-VLOOKUP($A11,[1]Hugst!$R$5:$W$9,MATCH(ROUNDUP((AC$1)/10,0)*10,[1]Hugst!$R$4:$W$4,0))))</f>
        <v>0</v>
      </c>
      <c r="AD11">
        <f>IF($C11-AD$1&lt;År1,0,AC10*(1-VLOOKUP($A11,[1]Hugst!$R$5:$W$9,MATCH(ROUNDUP((AD$1)/10,0)*10,[1]Hugst!$R$4:$W$4,0))))</f>
        <v>0</v>
      </c>
      <c r="AE11">
        <f>IF($C11-AE$1&lt;År1,0,AD10*(1-VLOOKUP($A11,[1]Hugst!$R$5:$W$9,MATCH(ROUNDUP((AE$1)/10,0)*10,[1]Hugst!$R$4:$W$4,0))))</f>
        <v>0</v>
      </c>
      <c r="AF11">
        <f>IF($C11-AF$1&lt;År1,0,AE10*(1-VLOOKUP($A11,[1]Hugst!$R$5:$W$9,MATCH(ROUNDUP((AF$1)/10,0)*10,[1]Hugst!$R$4:$W$4,0))))</f>
        <v>0</v>
      </c>
      <c r="AG11">
        <f>IF($C11-AG$1&lt;År1,0,AF10*(1-VLOOKUP($A11,[1]Hugst!$R$5:$W$9,MATCH(ROUNDUP((AG$1)/10,0)*10,[1]Hugst!$R$4:$W$4,0))))</f>
        <v>0</v>
      </c>
      <c r="AH11">
        <f>IF($C11-AH$1&lt;År1,0,AG10*(1-VLOOKUP($A11,[1]Hugst!$R$5:$W$9,MATCH(ROUNDUP((AH$1)/10,0)*10,[1]Hugst!$R$4:$W$4,0))))</f>
        <v>0</v>
      </c>
      <c r="AI11">
        <f>IF($C11-AI$1&lt;År1,0,AH10*(1-VLOOKUP($A11,[1]Hugst!$R$5:$W$9,MATCH(ROUNDUP((AI$1)/10,0)*10,[1]Hugst!$R$4:$W$4,0))))</f>
        <v>0</v>
      </c>
      <c r="AJ11">
        <f>IF($C11-AJ$1&lt;År1,0,AI10*(1-VLOOKUP($A11,[1]Hugst!$R$5:$W$9,MATCH(ROUNDUP((AJ$1)/10,0)*10,[1]Hugst!$R$4:$W$4,0))))</f>
        <v>0</v>
      </c>
    </row>
    <row r="12" spans="1:36" x14ac:dyDescent="0.25">
      <c r="A12" t="s">
        <v>176</v>
      </c>
      <c r="B12" t="s">
        <v>23</v>
      </c>
      <c r="C12">
        <v>2030</v>
      </c>
      <c r="D12" cm="1">
        <f t="array" ref="D12">(IF(B12="Vestdanmark",Skovbrug!$C$22-(Skovbrug!$C$22)*(1-Skovbrug!$C$9)^(C12-Skovbrug!$B$12),Skovbrug!$F$22-(Skovbrug!$F$22)*(1-Skovbrug!$C$9)^(C12-Skovbrug!$B$12)))*VLOOKUP(A12,Skovbrug!$A$13:$D$17,IF('Skovbrug-alder'!C12&lt;=År2,3,4),FALSE)
-IF(C12&gt;2020,SUM(INDEX($C$1:$D$311,MATCH(1,(2020=$C$1:$C$311)*(B12=$B$1:$B$311)*(A12=$A$1:$A$311),0),2):D11),0)</f>
        <v>103.44856848048812</v>
      </c>
      <c r="E12">
        <f t="shared" ca="1" si="0"/>
        <v>0</v>
      </c>
      <c r="F12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596.71456174648119</v>
      </c>
      <c r="G12">
        <f ca="1">IF($C12-G$1&lt;År1,0,F11*(1-VLOOKUP($A12,[1]Hugst!$R$5:$W$9,MATCH(ROUNDUP((G$1)/10,0)*10,[1]Hugst!$R$4:$W$4,0))))</f>
        <v>597.23440379914155</v>
      </c>
      <c r="H12">
        <f ca="1">IF($C12-H$1&lt;År1,0,G11*(1-VLOOKUP($A12,[1]Hugst!$R$5:$W$9,MATCH(ROUNDUP((H$1)/10,0)*10,[1]Hugst!$R$4:$W$4,0))))</f>
        <v>597.75685812343352</v>
      </c>
      <c r="I12">
        <f ca="1">IF($C12-I$1&lt;År1,0,H11*(1-VLOOKUP($A12,[1]Hugst!$R$5:$W$9,MATCH(ROUNDUP((I$1)/10,0)*10,[1]Hugst!$R$4:$W$4,0))))</f>
        <v>598.28193784633402</v>
      </c>
      <c r="J12">
        <f ca="1">IF($C12-J$1&lt;År1,0,I11*(1-VLOOKUP($A12,[1]Hugst!$R$5:$W$9,MATCH(ROUNDUP((J$1)/10,0)*10,[1]Hugst!$R$4:$W$4,0))))</f>
        <v>598.80965616080709</v>
      </c>
      <c r="K12">
        <f ca="1">IF($C12-K$1&lt;År1,0,J11*(1-VLOOKUP($A12,[1]Hugst!$R$5:$W$9,MATCH(ROUNDUP((K$1)/10,0)*10,[1]Hugst!$R$4:$W$4,0))))</f>
        <v>599.34002632610714</v>
      </c>
      <c r="L12">
        <f ca="1">IF($C12-L$1&lt;År1,0,K11*(1-VLOOKUP($A12,[1]Hugst!$R$5:$W$9,MATCH(ROUNDUP((L$1)/10,0)*10,[1]Hugst!$R$4:$W$4,0))))</f>
        <v>599.87306166811823</v>
      </c>
      <c r="M12">
        <f ca="1">IF($C12-M$1&lt;År1,0,L11*(1-VLOOKUP($A12,[1]Hugst!$R$5:$W$9,MATCH(ROUNDUP((M$1)/10,0)*10,[1]Hugst!$R$4:$W$4,0))))</f>
        <v>600.40877557968702</v>
      </c>
      <c r="N12">
        <f ca="1">IF($C12-N$1&lt;År1,0,M11*(1-VLOOKUP($A12,[1]Hugst!$R$5:$W$9,MATCH(ROUNDUP((N$1)/10,0)*10,[1]Hugst!$R$4:$W$4,0))))</f>
        <v>600.94718152096243</v>
      </c>
      <c r="O12">
        <f ca="1">IF($C12-O$1&lt;År1,0,N11*(1-VLOOKUP($A12,[1]Hugst!$R$5:$W$9,MATCH(ROUNDUP((O$1)/10,0)*10,[1]Hugst!$R$4:$W$4,0))))</f>
        <v>601.48829301972796</v>
      </c>
      <c r="P12">
        <f ca="1">IF($C12-P$1&lt;År1,0,O11*(1-VLOOKUP($A12,[1]Hugst!$R$5:$W$9,MATCH(ROUNDUP((P$1)/10,0)*10,[1]Hugst!$R$4:$W$4,0))))</f>
        <v>602.03212367175934</v>
      </c>
      <c r="Q12">
        <f>IF($C12-Q$1&lt;År1,0,P11*(1-VLOOKUP($A12,[1]Hugst!$R$5:$W$9,MATCH(ROUNDUP((Q$1)/10,0)*10,[1]Hugst!$R$4:$W$4,0))))</f>
        <v>0</v>
      </c>
      <c r="R12">
        <f>IF($C12-R$1&lt;År1,0,Q11*(1-VLOOKUP($A12,[1]Hugst!$R$5:$W$9,MATCH(ROUNDUP((R$1)/10,0)*10,[1]Hugst!$R$4:$W$4,0))))</f>
        <v>0</v>
      </c>
      <c r="S12">
        <f>IF($C12-S$1&lt;År1,0,R11*(1-VLOOKUP($A12,[1]Hugst!$R$5:$W$9,MATCH(ROUNDUP((S$1)/10,0)*10,[1]Hugst!$R$4:$W$4,0))))</f>
        <v>0</v>
      </c>
      <c r="T12">
        <f>IF($C12-T$1&lt;År1,0,S11*(1-VLOOKUP($A12,[1]Hugst!$R$5:$W$9,MATCH(ROUNDUP((T$1)/10,0)*10,[1]Hugst!$R$4:$W$4,0))))</f>
        <v>0</v>
      </c>
      <c r="U12">
        <f>IF($C12-U$1&lt;År1,0,T11*(1-VLOOKUP($A12,[1]Hugst!$R$5:$W$9,MATCH(ROUNDUP((U$1)/10,0)*10,[1]Hugst!$R$4:$W$4,0))))</f>
        <v>0</v>
      </c>
      <c r="V12">
        <f>IF($C12-V$1&lt;År1,0,U11*(1-VLOOKUP($A12,[1]Hugst!$R$5:$W$9,MATCH(ROUNDUP((V$1)/10,0)*10,[1]Hugst!$R$4:$W$4,0))))</f>
        <v>0</v>
      </c>
      <c r="W12">
        <f>IF($C12-W$1&lt;År1,0,V11*(1-VLOOKUP($A12,[1]Hugst!$R$5:$W$9,MATCH(ROUNDUP((W$1)/10,0)*10,[1]Hugst!$R$4:$W$4,0))))</f>
        <v>0</v>
      </c>
      <c r="X12">
        <f>IF($C12-X$1&lt;År1,0,W11*(1-VLOOKUP($A12,[1]Hugst!$R$5:$W$9,MATCH(ROUNDUP((X$1)/10,0)*10,[1]Hugst!$R$4:$W$4,0))))</f>
        <v>0</v>
      </c>
      <c r="Y12">
        <f>IF($C12-Y$1&lt;År1,0,X11*(1-VLOOKUP($A12,[1]Hugst!$R$5:$W$9,MATCH(ROUNDUP((Y$1)/10,0)*10,[1]Hugst!$R$4:$W$4,0))))</f>
        <v>0</v>
      </c>
      <c r="Z12">
        <f>IF($C12-Z$1&lt;År1,0,Y11*(1-VLOOKUP($A12,[1]Hugst!$R$5:$W$9,MATCH(ROUNDUP((Z$1)/10,0)*10,[1]Hugst!$R$4:$W$4,0))))</f>
        <v>0</v>
      </c>
      <c r="AA12">
        <f>IF($C12-AA$1&lt;År1,0,Z11*(1-VLOOKUP($A12,[1]Hugst!$R$5:$W$9,MATCH(ROUNDUP((AA$1)/10,0)*10,[1]Hugst!$R$4:$W$4,0))))</f>
        <v>0</v>
      </c>
      <c r="AB12">
        <f>IF($C12-AB$1&lt;År1,0,AA11*(1-VLOOKUP($A12,[1]Hugst!$R$5:$W$9,MATCH(ROUNDUP((AB$1)/10,0)*10,[1]Hugst!$R$4:$W$4,0))))</f>
        <v>0</v>
      </c>
      <c r="AC12">
        <f>IF($C12-AC$1&lt;År1,0,AB11*(1-VLOOKUP($A12,[1]Hugst!$R$5:$W$9,MATCH(ROUNDUP((AC$1)/10,0)*10,[1]Hugst!$R$4:$W$4,0))))</f>
        <v>0</v>
      </c>
      <c r="AD12">
        <f>IF($C12-AD$1&lt;År1,0,AC11*(1-VLOOKUP($A12,[1]Hugst!$R$5:$W$9,MATCH(ROUNDUP((AD$1)/10,0)*10,[1]Hugst!$R$4:$W$4,0))))</f>
        <v>0</v>
      </c>
      <c r="AE12">
        <f>IF($C12-AE$1&lt;År1,0,AD11*(1-VLOOKUP($A12,[1]Hugst!$R$5:$W$9,MATCH(ROUNDUP((AE$1)/10,0)*10,[1]Hugst!$R$4:$W$4,0))))</f>
        <v>0</v>
      </c>
      <c r="AF12">
        <f>IF($C12-AF$1&lt;År1,0,AE11*(1-VLOOKUP($A12,[1]Hugst!$R$5:$W$9,MATCH(ROUNDUP((AF$1)/10,0)*10,[1]Hugst!$R$4:$W$4,0))))</f>
        <v>0</v>
      </c>
      <c r="AG12">
        <f>IF($C12-AG$1&lt;År1,0,AF11*(1-VLOOKUP($A12,[1]Hugst!$R$5:$W$9,MATCH(ROUNDUP((AG$1)/10,0)*10,[1]Hugst!$R$4:$W$4,0))))</f>
        <v>0</v>
      </c>
      <c r="AH12">
        <f>IF($C12-AH$1&lt;År1,0,AG11*(1-VLOOKUP($A12,[1]Hugst!$R$5:$W$9,MATCH(ROUNDUP((AH$1)/10,0)*10,[1]Hugst!$R$4:$W$4,0))))</f>
        <v>0</v>
      </c>
      <c r="AI12">
        <f>IF($C12-AI$1&lt;År1,0,AH11*(1-VLOOKUP($A12,[1]Hugst!$R$5:$W$9,MATCH(ROUNDUP((AI$1)/10,0)*10,[1]Hugst!$R$4:$W$4,0))))</f>
        <v>0</v>
      </c>
      <c r="AJ12">
        <f>IF($C12-AJ$1&lt;År1,0,AI11*(1-VLOOKUP($A12,[1]Hugst!$R$5:$W$9,MATCH(ROUNDUP((AJ$1)/10,0)*10,[1]Hugst!$R$4:$W$4,0))))</f>
        <v>0</v>
      </c>
    </row>
    <row r="13" spans="1:36" x14ac:dyDescent="0.25">
      <c r="A13" t="s">
        <v>176</v>
      </c>
      <c r="B13" t="s">
        <v>23</v>
      </c>
      <c r="C13">
        <v>2031</v>
      </c>
      <c r="D13" cm="1">
        <f t="array" ref="D13">(IF(B13="Vestdanmark",Skovbrug!$C$22-(Skovbrug!$C$22)*(1-Skovbrug!$C$9)^(C13-Skovbrug!$B$12),Skovbrug!$F$22-(Skovbrug!$F$22)*(1-Skovbrug!$C$9)^(C13-Skovbrug!$B$12)))*VLOOKUP(A13,Skovbrug!$A$13:$D$17,IF('Skovbrug-alder'!C13&lt;=År2,3,4),FALSE)
-IF(C13&gt;2020,SUM(INDEX($C$1:$D$311,MATCH(1,(2020=$C$1:$C$311)*(B13=$B$1:$B$311)*(A13=$A$1:$A$311),0),2):D12),0)</f>
        <v>102.93132563807899</v>
      </c>
      <c r="E13">
        <f t="shared" ca="1" si="0"/>
        <v>0</v>
      </c>
      <c r="F13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374.22762193437535</v>
      </c>
      <c r="G13">
        <f ca="1">IF($C13-G$1&lt;År1,0,F12*(1-VLOOKUP($A13,[1]Hugst!$R$5:$W$9,MATCH(ROUNDUP((G$1)/10,0)*10,[1]Hugst!$R$4:$W$4,0))))</f>
        <v>596.71456174648119</v>
      </c>
      <c r="H13">
        <f ca="1">IF($C13-H$1&lt;År1,0,G12*(1-VLOOKUP($A13,[1]Hugst!$R$5:$W$9,MATCH(ROUNDUP((H$1)/10,0)*10,[1]Hugst!$R$4:$W$4,0))))</f>
        <v>597.23440379914155</v>
      </c>
      <c r="I13">
        <f ca="1">IF($C13-I$1&lt;År1,0,H12*(1-VLOOKUP($A13,[1]Hugst!$R$5:$W$9,MATCH(ROUNDUP((I$1)/10,0)*10,[1]Hugst!$R$4:$W$4,0))))</f>
        <v>597.75685812343352</v>
      </c>
      <c r="J13">
        <f ca="1">IF($C13-J$1&lt;År1,0,I12*(1-VLOOKUP($A13,[1]Hugst!$R$5:$W$9,MATCH(ROUNDUP((J$1)/10,0)*10,[1]Hugst!$R$4:$W$4,0))))</f>
        <v>598.28193784633402</v>
      </c>
      <c r="K13">
        <f ca="1">IF($C13-K$1&lt;År1,0,J12*(1-VLOOKUP($A13,[1]Hugst!$R$5:$W$9,MATCH(ROUNDUP((K$1)/10,0)*10,[1]Hugst!$R$4:$W$4,0))))</f>
        <v>598.80965616080709</v>
      </c>
      <c r="L13">
        <f ca="1">IF($C13-L$1&lt;År1,0,K12*(1-VLOOKUP($A13,[1]Hugst!$R$5:$W$9,MATCH(ROUNDUP((L$1)/10,0)*10,[1]Hugst!$R$4:$W$4,0))))</f>
        <v>599.34002632610714</v>
      </c>
      <c r="M13">
        <f ca="1">IF($C13-M$1&lt;År1,0,L12*(1-VLOOKUP($A13,[1]Hugst!$R$5:$W$9,MATCH(ROUNDUP((M$1)/10,0)*10,[1]Hugst!$R$4:$W$4,0))))</f>
        <v>599.87306166811823</v>
      </c>
      <c r="N13">
        <f ca="1">IF($C13-N$1&lt;År1,0,M12*(1-VLOOKUP($A13,[1]Hugst!$R$5:$W$9,MATCH(ROUNDUP((N$1)/10,0)*10,[1]Hugst!$R$4:$W$4,0))))</f>
        <v>600.40877557968702</v>
      </c>
      <c r="O13">
        <f ca="1">IF($C13-O$1&lt;År1,0,N12*(1-VLOOKUP($A13,[1]Hugst!$R$5:$W$9,MATCH(ROUNDUP((O$1)/10,0)*10,[1]Hugst!$R$4:$W$4,0))))</f>
        <v>600.94718152096243</v>
      </c>
      <c r="P13">
        <f ca="1">IF($C13-P$1&lt;År1,0,O12*(1-VLOOKUP($A13,[1]Hugst!$R$5:$W$9,MATCH(ROUNDUP((P$1)/10,0)*10,[1]Hugst!$R$4:$W$4,0))))</f>
        <v>601.48829301972796</v>
      </c>
      <c r="Q13">
        <f ca="1">IF($C13-Q$1&lt;År1,0,P12*(1-VLOOKUP($A13,[1]Hugst!$R$5:$W$9,MATCH(ROUNDUP((Q$1)/10,0)*10,[1]Hugst!$R$4:$W$4,0))))</f>
        <v>602.03212367175934</v>
      </c>
      <c r="R13">
        <f>IF($C13-R$1&lt;År1,0,Q12*(1-VLOOKUP($A13,[1]Hugst!$R$5:$W$9,MATCH(ROUNDUP((R$1)/10,0)*10,[1]Hugst!$R$4:$W$4,0))))</f>
        <v>0</v>
      </c>
      <c r="S13">
        <f>IF($C13-S$1&lt;År1,0,R12*(1-VLOOKUP($A13,[1]Hugst!$R$5:$W$9,MATCH(ROUNDUP((S$1)/10,0)*10,[1]Hugst!$R$4:$W$4,0))))</f>
        <v>0</v>
      </c>
      <c r="T13">
        <f>IF($C13-T$1&lt;År1,0,S12*(1-VLOOKUP($A13,[1]Hugst!$R$5:$W$9,MATCH(ROUNDUP((T$1)/10,0)*10,[1]Hugst!$R$4:$W$4,0))))</f>
        <v>0</v>
      </c>
      <c r="U13">
        <f>IF($C13-U$1&lt;År1,0,T12*(1-VLOOKUP($A13,[1]Hugst!$R$5:$W$9,MATCH(ROUNDUP((U$1)/10,0)*10,[1]Hugst!$R$4:$W$4,0))))</f>
        <v>0</v>
      </c>
      <c r="V13">
        <f>IF($C13-V$1&lt;År1,0,U12*(1-VLOOKUP($A13,[1]Hugst!$R$5:$W$9,MATCH(ROUNDUP((V$1)/10,0)*10,[1]Hugst!$R$4:$W$4,0))))</f>
        <v>0</v>
      </c>
      <c r="W13">
        <f>IF($C13-W$1&lt;År1,0,V12*(1-VLOOKUP($A13,[1]Hugst!$R$5:$W$9,MATCH(ROUNDUP((W$1)/10,0)*10,[1]Hugst!$R$4:$W$4,0))))</f>
        <v>0</v>
      </c>
      <c r="X13">
        <f>IF($C13-X$1&lt;År1,0,W12*(1-VLOOKUP($A13,[1]Hugst!$R$5:$W$9,MATCH(ROUNDUP((X$1)/10,0)*10,[1]Hugst!$R$4:$W$4,0))))</f>
        <v>0</v>
      </c>
      <c r="Y13">
        <f>IF($C13-Y$1&lt;År1,0,X12*(1-VLOOKUP($A13,[1]Hugst!$R$5:$W$9,MATCH(ROUNDUP((Y$1)/10,0)*10,[1]Hugst!$R$4:$W$4,0))))</f>
        <v>0</v>
      </c>
      <c r="Z13">
        <f>IF($C13-Z$1&lt;År1,0,Y12*(1-VLOOKUP($A13,[1]Hugst!$R$5:$W$9,MATCH(ROUNDUP((Z$1)/10,0)*10,[1]Hugst!$R$4:$W$4,0))))</f>
        <v>0</v>
      </c>
      <c r="AA13">
        <f>IF($C13-AA$1&lt;År1,0,Z12*(1-VLOOKUP($A13,[1]Hugst!$R$5:$W$9,MATCH(ROUNDUP((AA$1)/10,0)*10,[1]Hugst!$R$4:$W$4,0))))</f>
        <v>0</v>
      </c>
      <c r="AB13">
        <f>IF($C13-AB$1&lt;År1,0,AA12*(1-VLOOKUP($A13,[1]Hugst!$R$5:$W$9,MATCH(ROUNDUP((AB$1)/10,0)*10,[1]Hugst!$R$4:$W$4,0))))</f>
        <v>0</v>
      </c>
      <c r="AC13">
        <f>IF($C13-AC$1&lt;År1,0,AB12*(1-VLOOKUP($A13,[1]Hugst!$R$5:$W$9,MATCH(ROUNDUP((AC$1)/10,0)*10,[1]Hugst!$R$4:$W$4,0))))</f>
        <v>0</v>
      </c>
      <c r="AD13">
        <f>IF($C13-AD$1&lt;År1,0,AC12*(1-VLOOKUP($A13,[1]Hugst!$R$5:$W$9,MATCH(ROUNDUP((AD$1)/10,0)*10,[1]Hugst!$R$4:$W$4,0))))</f>
        <v>0</v>
      </c>
      <c r="AE13">
        <f>IF($C13-AE$1&lt;År1,0,AD12*(1-VLOOKUP($A13,[1]Hugst!$R$5:$W$9,MATCH(ROUNDUP((AE$1)/10,0)*10,[1]Hugst!$R$4:$W$4,0))))</f>
        <v>0</v>
      </c>
      <c r="AF13">
        <f>IF($C13-AF$1&lt;År1,0,AE12*(1-VLOOKUP($A13,[1]Hugst!$R$5:$W$9,MATCH(ROUNDUP((AF$1)/10,0)*10,[1]Hugst!$R$4:$W$4,0))))</f>
        <v>0</v>
      </c>
      <c r="AG13">
        <f>IF($C13-AG$1&lt;År1,0,AF12*(1-VLOOKUP($A13,[1]Hugst!$R$5:$W$9,MATCH(ROUNDUP((AG$1)/10,0)*10,[1]Hugst!$R$4:$W$4,0))))</f>
        <v>0</v>
      </c>
      <c r="AH13">
        <f>IF($C13-AH$1&lt;År1,0,AG12*(1-VLOOKUP($A13,[1]Hugst!$R$5:$W$9,MATCH(ROUNDUP((AH$1)/10,0)*10,[1]Hugst!$R$4:$W$4,0))))</f>
        <v>0</v>
      </c>
      <c r="AI13">
        <f>IF($C13-AI$1&lt;År1,0,AH12*(1-VLOOKUP($A13,[1]Hugst!$R$5:$W$9,MATCH(ROUNDUP((AI$1)/10,0)*10,[1]Hugst!$R$4:$W$4,0))))</f>
        <v>0</v>
      </c>
      <c r="AJ13">
        <f>IF($C13-AJ$1&lt;År1,0,AI12*(1-VLOOKUP($A13,[1]Hugst!$R$5:$W$9,MATCH(ROUNDUP((AJ$1)/10,0)*10,[1]Hugst!$R$4:$W$4,0))))</f>
        <v>0</v>
      </c>
    </row>
    <row r="14" spans="1:36" x14ac:dyDescent="0.25">
      <c r="A14" t="s">
        <v>176</v>
      </c>
      <c r="B14" t="s">
        <v>23</v>
      </c>
      <c r="C14">
        <v>2032</v>
      </c>
      <c r="D14" cm="1">
        <f t="array" ref="D14">(IF(B14="Vestdanmark",Skovbrug!$C$22-(Skovbrug!$C$22)*(1-Skovbrug!$C$9)^(C14-Skovbrug!$B$12),Skovbrug!$F$22-(Skovbrug!$F$22)*(1-Skovbrug!$C$9)^(C14-Skovbrug!$B$12)))*VLOOKUP(A14,Skovbrug!$A$13:$D$17,IF('Skovbrug-alder'!C14&lt;=År2,3,4),FALSE)
-IF(C14&gt;2020,SUM(INDEX($C$1:$D$311,MATCH(1,(2020=$C$1:$C$311)*(B14=$B$1:$B$311)*(A14=$A$1:$A$311),0),2):D13),0)</f>
        <v>102.41666900989367</v>
      </c>
      <c r="E14">
        <f t="shared" ca="1" si="0"/>
        <v>0</v>
      </c>
      <c r="F14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373.71296530619003</v>
      </c>
      <c r="G14">
        <f ca="1">IF($C14-G$1&lt;År1,0,F13*(1-VLOOKUP($A14,[1]Hugst!$R$5:$W$9,MATCH(ROUNDUP((G$1)/10,0)*10,[1]Hugst!$R$4:$W$4,0))))</f>
        <v>374.22762193437535</v>
      </c>
      <c r="H14">
        <f ca="1">IF($C14-H$1&lt;År1,0,G13*(1-VLOOKUP($A14,[1]Hugst!$R$5:$W$9,MATCH(ROUNDUP((H$1)/10,0)*10,[1]Hugst!$R$4:$W$4,0))))</f>
        <v>596.71456174648119</v>
      </c>
      <c r="I14">
        <f ca="1">IF($C14-I$1&lt;År1,0,H13*(1-VLOOKUP($A14,[1]Hugst!$R$5:$W$9,MATCH(ROUNDUP((I$1)/10,0)*10,[1]Hugst!$R$4:$W$4,0))))</f>
        <v>597.23440379914155</v>
      </c>
      <c r="J14">
        <f ca="1">IF($C14-J$1&lt;År1,0,I13*(1-VLOOKUP($A14,[1]Hugst!$R$5:$W$9,MATCH(ROUNDUP((J$1)/10,0)*10,[1]Hugst!$R$4:$W$4,0))))</f>
        <v>597.75685812343352</v>
      </c>
      <c r="K14">
        <f ca="1">IF($C14-K$1&lt;År1,0,J13*(1-VLOOKUP($A14,[1]Hugst!$R$5:$W$9,MATCH(ROUNDUP((K$1)/10,0)*10,[1]Hugst!$R$4:$W$4,0))))</f>
        <v>598.28193784633402</v>
      </c>
      <c r="L14">
        <f ca="1">IF($C14-L$1&lt;År1,0,K13*(1-VLOOKUP($A14,[1]Hugst!$R$5:$W$9,MATCH(ROUNDUP((L$1)/10,0)*10,[1]Hugst!$R$4:$W$4,0))))</f>
        <v>598.80965616080709</v>
      </c>
      <c r="M14">
        <f ca="1">IF($C14-M$1&lt;År1,0,L13*(1-VLOOKUP($A14,[1]Hugst!$R$5:$W$9,MATCH(ROUNDUP((M$1)/10,0)*10,[1]Hugst!$R$4:$W$4,0))))</f>
        <v>599.34002632610714</v>
      </c>
      <c r="N14">
        <f ca="1">IF($C14-N$1&lt;År1,0,M13*(1-VLOOKUP($A14,[1]Hugst!$R$5:$W$9,MATCH(ROUNDUP((N$1)/10,0)*10,[1]Hugst!$R$4:$W$4,0))))</f>
        <v>599.87306166811823</v>
      </c>
      <c r="O14">
        <f ca="1">IF($C14-O$1&lt;År1,0,N13*(1-VLOOKUP($A14,[1]Hugst!$R$5:$W$9,MATCH(ROUNDUP((O$1)/10,0)*10,[1]Hugst!$R$4:$W$4,0))))</f>
        <v>600.40877557968702</v>
      </c>
      <c r="P14">
        <f ca="1">IF($C14-P$1&lt;År1,0,O13*(1-VLOOKUP($A14,[1]Hugst!$R$5:$W$9,MATCH(ROUNDUP((P$1)/10,0)*10,[1]Hugst!$R$4:$W$4,0))))</f>
        <v>600.94718152096243</v>
      </c>
      <c r="Q14">
        <f ca="1">IF($C14-Q$1&lt;År1,0,P13*(1-VLOOKUP($A14,[1]Hugst!$R$5:$W$9,MATCH(ROUNDUP((Q$1)/10,0)*10,[1]Hugst!$R$4:$W$4,0))))</f>
        <v>601.48829301972796</v>
      </c>
      <c r="R14">
        <f ca="1">IF($C14-R$1&lt;År1,0,Q13*(1-VLOOKUP($A14,[1]Hugst!$R$5:$W$9,MATCH(ROUNDUP((R$1)/10,0)*10,[1]Hugst!$R$4:$W$4,0))))</f>
        <v>602.03212367175934</v>
      </c>
      <c r="S14">
        <f>IF($C14-S$1&lt;År1,0,R13*(1-VLOOKUP($A14,[1]Hugst!$R$5:$W$9,MATCH(ROUNDUP((S$1)/10,0)*10,[1]Hugst!$R$4:$W$4,0))))</f>
        <v>0</v>
      </c>
      <c r="T14">
        <f>IF($C14-T$1&lt;År1,0,S13*(1-VLOOKUP($A14,[1]Hugst!$R$5:$W$9,MATCH(ROUNDUP((T$1)/10,0)*10,[1]Hugst!$R$4:$W$4,0))))</f>
        <v>0</v>
      </c>
      <c r="U14">
        <f>IF($C14-U$1&lt;År1,0,T13*(1-VLOOKUP($A14,[1]Hugst!$R$5:$W$9,MATCH(ROUNDUP((U$1)/10,0)*10,[1]Hugst!$R$4:$W$4,0))))</f>
        <v>0</v>
      </c>
      <c r="V14">
        <f>IF($C14-V$1&lt;År1,0,U13*(1-VLOOKUP($A14,[1]Hugst!$R$5:$W$9,MATCH(ROUNDUP((V$1)/10,0)*10,[1]Hugst!$R$4:$W$4,0))))</f>
        <v>0</v>
      </c>
      <c r="W14">
        <f>IF($C14-W$1&lt;År1,0,V13*(1-VLOOKUP($A14,[1]Hugst!$R$5:$W$9,MATCH(ROUNDUP((W$1)/10,0)*10,[1]Hugst!$R$4:$W$4,0))))</f>
        <v>0</v>
      </c>
      <c r="X14">
        <f>IF($C14-X$1&lt;År1,0,W13*(1-VLOOKUP($A14,[1]Hugst!$R$5:$W$9,MATCH(ROUNDUP((X$1)/10,0)*10,[1]Hugst!$R$4:$W$4,0))))</f>
        <v>0</v>
      </c>
      <c r="Y14">
        <f>IF($C14-Y$1&lt;År1,0,X13*(1-VLOOKUP($A14,[1]Hugst!$R$5:$W$9,MATCH(ROUNDUP((Y$1)/10,0)*10,[1]Hugst!$R$4:$W$4,0))))</f>
        <v>0</v>
      </c>
      <c r="Z14">
        <f>IF($C14-Z$1&lt;År1,0,Y13*(1-VLOOKUP($A14,[1]Hugst!$R$5:$W$9,MATCH(ROUNDUP((Z$1)/10,0)*10,[1]Hugst!$R$4:$W$4,0))))</f>
        <v>0</v>
      </c>
      <c r="AA14">
        <f>IF($C14-AA$1&lt;År1,0,Z13*(1-VLOOKUP($A14,[1]Hugst!$R$5:$W$9,MATCH(ROUNDUP((AA$1)/10,0)*10,[1]Hugst!$R$4:$W$4,0))))</f>
        <v>0</v>
      </c>
      <c r="AB14">
        <f>IF($C14-AB$1&lt;År1,0,AA13*(1-VLOOKUP($A14,[1]Hugst!$R$5:$W$9,MATCH(ROUNDUP((AB$1)/10,0)*10,[1]Hugst!$R$4:$W$4,0))))</f>
        <v>0</v>
      </c>
      <c r="AC14">
        <f>IF($C14-AC$1&lt;År1,0,AB13*(1-VLOOKUP($A14,[1]Hugst!$R$5:$W$9,MATCH(ROUNDUP((AC$1)/10,0)*10,[1]Hugst!$R$4:$W$4,0))))</f>
        <v>0</v>
      </c>
      <c r="AD14">
        <f>IF($C14-AD$1&lt;År1,0,AC13*(1-VLOOKUP($A14,[1]Hugst!$R$5:$W$9,MATCH(ROUNDUP((AD$1)/10,0)*10,[1]Hugst!$R$4:$W$4,0))))</f>
        <v>0</v>
      </c>
      <c r="AE14">
        <f>IF($C14-AE$1&lt;År1,0,AD13*(1-VLOOKUP($A14,[1]Hugst!$R$5:$W$9,MATCH(ROUNDUP((AE$1)/10,0)*10,[1]Hugst!$R$4:$W$4,0))))</f>
        <v>0</v>
      </c>
      <c r="AF14">
        <f>IF($C14-AF$1&lt;År1,0,AE13*(1-VLOOKUP($A14,[1]Hugst!$R$5:$W$9,MATCH(ROUNDUP((AF$1)/10,0)*10,[1]Hugst!$R$4:$W$4,0))))</f>
        <v>0</v>
      </c>
      <c r="AG14">
        <f>IF($C14-AG$1&lt;År1,0,AF13*(1-VLOOKUP($A14,[1]Hugst!$R$5:$W$9,MATCH(ROUNDUP((AG$1)/10,0)*10,[1]Hugst!$R$4:$W$4,0))))</f>
        <v>0</v>
      </c>
      <c r="AH14">
        <f>IF($C14-AH$1&lt;År1,0,AG13*(1-VLOOKUP($A14,[1]Hugst!$R$5:$W$9,MATCH(ROUNDUP((AH$1)/10,0)*10,[1]Hugst!$R$4:$W$4,0))))</f>
        <v>0</v>
      </c>
      <c r="AI14">
        <f>IF($C14-AI$1&lt;År1,0,AH13*(1-VLOOKUP($A14,[1]Hugst!$R$5:$W$9,MATCH(ROUNDUP((AI$1)/10,0)*10,[1]Hugst!$R$4:$W$4,0))))</f>
        <v>0</v>
      </c>
      <c r="AJ14">
        <f>IF($C14-AJ$1&lt;År1,0,AI13*(1-VLOOKUP($A14,[1]Hugst!$R$5:$W$9,MATCH(ROUNDUP((AJ$1)/10,0)*10,[1]Hugst!$R$4:$W$4,0))))</f>
        <v>0</v>
      </c>
    </row>
    <row r="15" spans="1:36" x14ac:dyDescent="0.25">
      <c r="A15" t="s">
        <v>176</v>
      </c>
      <c r="B15" t="s">
        <v>23</v>
      </c>
      <c r="C15">
        <v>2033</v>
      </c>
      <c r="D15" cm="1">
        <f t="array" ref="D15">(IF(B15="Vestdanmark",Skovbrug!$C$22-(Skovbrug!$C$22)*(1-Skovbrug!$C$9)^(C15-Skovbrug!$B$12),Skovbrug!$F$22-(Skovbrug!$F$22)*(1-Skovbrug!$C$9)^(C15-Skovbrug!$B$12)))*VLOOKUP(A15,Skovbrug!$A$13:$D$17,IF('Skovbrug-alder'!C15&lt;=År2,3,4),FALSE)
-IF(C15&gt;2020,SUM(INDEX($C$1:$D$311,MATCH(1,(2020=$C$1:$C$311)*(B15=$B$1:$B$311)*(A15=$A$1:$A$311),0),2):D14),0)</f>
        <v>101.90458566484153</v>
      </c>
      <c r="E15">
        <f t="shared" ca="1" si="0"/>
        <v>0</v>
      </c>
      <c r="F15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373.2008819611379</v>
      </c>
      <c r="G15">
        <f ca="1">IF($C15-G$1&lt;År1,0,F14*(1-VLOOKUP($A15,[1]Hugst!$R$5:$W$9,MATCH(ROUNDUP((G$1)/10,0)*10,[1]Hugst!$R$4:$W$4,0))))</f>
        <v>373.71296530619003</v>
      </c>
      <c r="H15">
        <f ca="1">IF($C15-H$1&lt;År1,0,G14*(1-VLOOKUP($A15,[1]Hugst!$R$5:$W$9,MATCH(ROUNDUP((H$1)/10,0)*10,[1]Hugst!$R$4:$W$4,0))))</f>
        <v>374.22762193437535</v>
      </c>
      <c r="I15">
        <f ca="1">IF($C15-I$1&lt;År1,0,H14*(1-VLOOKUP($A15,[1]Hugst!$R$5:$W$9,MATCH(ROUNDUP((I$1)/10,0)*10,[1]Hugst!$R$4:$W$4,0))))</f>
        <v>596.71456174648119</v>
      </c>
      <c r="J15">
        <f ca="1">IF($C15-J$1&lt;År1,0,I14*(1-VLOOKUP($A15,[1]Hugst!$R$5:$W$9,MATCH(ROUNDUP((J$1)/10,0)*10,[1]Hugst!$R$4:$W$4,0))))</f>
        <v>597.23440379914155</v>
      </c>
      <c r="K15">
        <f ca="1">IF($C15-K$1&lt;År1,0,J14*(1-VLOOKUP($A15,[1]Hugst!$R$5:$W$9,MATCH(ROUNDUP((K$1)/10,0)*10,[1]Hugst!$R$4:$W$4,0))))</f>
        <v>597.75685812343352</v>
      </c>
      <c r="L15">
        <f ca="1">IF($C15-L$1&lt;År1,0,K14*(1-VLOOKUP($A15,[1]Hugst!$R$5:$W$9,MATCH(ROUNDUP((L$1)/10,0)*10,[1]Hugst!$R$4:$W$4,0))))</f>
        <v>598.28193784633402</v>
      </c>
      <c r="M15">
        <f ca="1">IF($C15-M$1&lt;År1,0,L14*(1-VLOOKUP($A15,[1]Hugst!$R$5:$W$9,MATCH(ROUNDUP((M$1)/10,0)*10,[1]Hugst!$R$4:$W$4,0))))</f>
        <v>598.80965616080709</v>
      </c>
      <c r="N15">
        <f ca="1">IF($C15-N$1&lt;År1,0,M14*(1-VLOOKUP($A15,[1]Hugst!$R$5:$W$9,MATCH(ROUNDUP((N$1)/10,0)*10,[1]Hugst!$R$4:$W$4,0))))</f>
        <v>599.34002632610714</v>
      </c>
      <c r="O15">
        <f ca="1">IF($C15-O$1&lt;År1,0,N14*(1-VLOOKUP($A15,[1]Hugst!$R$5:$W$9,MATCH(ROUNDUP((O$1)/10,0)*10,[1]Hugst!$R$4:$W$4,0))))</f>
        <v>599.87306166811823</v>
      </c>
      <c r="P15">
        <f ca="1">IF($C15-P$1&lt;År1,0,O14*(1-VLOOKUP($A15,[1]Hugst!$R$5:$W$9,MATCH(ROUNDUP((P$1)/10,0)*10,[1]Hugst!$R$4:$W$4,0))))</f>
        <v>600.40877557968702</v>
      </c>
      <c r="Q15">
        <f ca="1">IF($C15-Q$1&lt;År1,0,P14*(1-VLOOKUP($A15,[1]Hugst!$R$5:$W$9,MATCH(ROUNDUP((Q$1)/10,0)*10,[1]Hugst!$R$4:$W$4,0))))</f>
        <v>600.94718152096243</v>
      </c>
      <c r="R15">
        <f ca="1">IF($C15-R$1&lt;År1,0,Q14*(1-VLOOKUP($A15,[1]Hugst!$R$5:$W$9,MATCH(ROUNDUP((R$1)/10,0)*10,[1]Hugst!$R$4:$W$4,0))))</f>
        <v>601.48829301972796</v>
      </c>
      <c r="S15">
        <f ca="1">IF($C15-S$1&lt;År1,0,R14*(1-VLOOKUP($A15,[1]Hugst!$R$5:$W$9,MATCH(ROUNDUP((S$1)/10,0)*10,[1]Hugst!$R$4:$W$4,0))))</f>
        <v>602.03212367175934</v>
      </c>
      <c r="T15">
        <f>IF($C15-T$1&lt;År1,0,S14*(1-VLOOKUP($A15,[1]Hugst!$R$5:$W$9,MATCH(ROUNDUP((T$1)/10,0)*10,[1]Hugst!$R$4:$W$4,0))))</f>
        <v>0</v>
      </c>
      <c r="U15">
        <f>IF($C15-U$1&lt;År1,0,T14*(1-VLOOKUP($A15,[1]Hugst!$R$5:$W$9,MATCH(ROUNDUP((U$1)/10,0)*10,[1]Hugst!$R$4:$W$4,0))))</f>
        <v>0</v>
      </c>
      <c r="V15">
        <f>IF($C15-V$1&lt;År1,0,U14*(1-VLOOKUP($A15,[1]Hugst!$R$5:$W$9,MATCH(ROUNDUP((V$1)/10,0)*10,[1]Hugst!$R$4:$W$4,0))))</f>
        <v>0</v>
      </c>
      <c r="W15">
        <f>IF($C15-W$1&lt;År1,0,V14*(1-VLOOKUP($A15,[1]Hugst!$R$5:$W$9,MATCH(ROUNDUP((W$1)/10,0)*10,[1]Hugst!$R$4:$W$4,0))))</f>
        <v>0</v>
      </c>
      <c r="X15">
        <f>IF($C15-X$1&lt;År1,0,W14*(1-VLOOKUP($A15,[1]Hugst!$R$5:$W$9,MATCH(ROUNDUP((X$1)/10,0)*10,[1]Hugst!$R$4:$W$4,0))))</f>
        <v>0</v>
      </c>
      <c r="Y15">
        <f>IF($C15-Y$1&lt;År1,0,X14*(1-VLOOKUP($A15,[1]Hugst!$R$5:$W$9,MATCH(ROUNDUP((Y$1)/10,0)*10,[1]Hugst!$R$4:$W$4,0))))</f>
        <v>0</v>
      </c>
      <c r="Z15">
        <f>IF($C15-Z$1&lt;År1,0,Y14*(1-VLOOKUP($A15,[1]Hugst!$R$5:$W$9,MATCH(ROUNDUP((Z$1)/10,0)*10,[1]Hugst!$R$4:$W$4,0))))</f>
        <v>0</v>
      </c>
      <c r="AA15">
        <f>IF($C15-AA$1&lt;År1,0,Z14*(1-VLOOKUP($A15,[1]Hugst!$R$5:$W$9,MATCH(ROUNDUP((AA$1)/10,0)*10,[1]Hugst!$R$4:$W$4,0))))</f>
        <v>0</v>
      </c>
      <c r="AB15">
        <f>IF($C15-AB$1&lt;År1,0,AA14*(1-VLOOKUP($A15,[1]Hugst!$R$5:$W$9,MATCH(ROUNDUP((AB$1)/10,0)*10,[1]Hugst!$R$4:$W$4,0))))</f>
        <v>0</v>
      </c>
      <c r="AC15">
        <f>IF($C15-AC$1&lt;År1,0,AB14*(1-VLOOKUP($A15,[1]Hugst!$R$5:$W$9,MATCH(ROUNDUP((AC$1)/10,0)*10,[1]Hugst!$R$4:$W$4,0))))</f>
        <v>0</v>
      </c>
      <c r="AD15">
        <f>IF($C15-AD$1&lt;År1,0,AC14*(1-VLOOKUP($A15,[1]Hugst!$R$5:$W$9,MATCH(ROUNDUP((AD$1)/10,0)*10,[1]Hugst!$R$4:$W$4,0))))</f>
        <v>0</v>
      </c>
      <c r="AE15">
        <f>IF($C15-AE$1&lt;År1,0,AD14*(1-VLOOKUP($A15,[1]Hugst!$R$5:$W$9,MATCH(ROUNDUP((AE$1)/10,0)*10,[1]Hugst!$R$4:$W$4,0))))</f>
        <v>0</v>
      </c>
      <c r="AF15">
        <f>IF($C15-AF$1&lt;År1,0,AE14*(1-VLOOKUP($A15,[1]Hugst!$R$5:$W$9,MATCH(ROUNDUP((AF$1)/10,0)*10,[1]Hugst!$R$4:$W$4,0))))</f>
        <v>0</v>
      </c>
      <c r="AG15">
        <f>IF($C15-AG$1&lt;År1,0,AF14*(1-VLOOKUP($A15,[1]Hugst!$R$5:$W$9,MATCH(ROUNDUP((AG$1)/10,0)*10,[1]Hugst!$R$4:$W$4,0))))</f>
        <v>0</v>
      </c>
      <c r="AH15">
        <f>IF($C15-AH$1&lt;År1,0,AG14*(1-VLOOKUP($A15,[1]Hugst!$R$5:$W$9,MATCH(ROUNDUP((AH$1)/10,0)*10,[1]Hugst!$R$4:$W$4,0))))</f>
        <v>0</v>
      </c>
      <c r="AI15">
        <f>IF($C15-AI$1&lt;År1,0,AH14*(1-VLOOKUP($A15,[1]Hugst!$R$5:$W$9,MATCH(ROUNDUP((AI$1)/10,0)*10,[1]Hugst!$R$4:$W$4,0))))</f>
        <v>0</v>
      </c>
      <c r="AJ15">
        <f>IF($C15-AJ$1&lt;År1,0,AI14*(1-VLOOKUP($A15,[1]Hugst!$R$5:$W$9,MATCH(ROUNDUP((AJ$1)/10,0)*10,[1]Hugst!$R$4:$W$4,0))))</f>
        <v>0</v>
      </c>
    </row>
    <row r="16" spans="1:36" x14ac:dyDescent="0.25">
      <c r="A16" t="s">
        <v>176</v>
      </c>
      <c r="B16" t="s">
        <v>23</v>
      </c>
      <c r="C16">
        <v>2034</v>
      </c>
      <c r="D16" cm="1">
        <f t="array" ref="D16">(IF(B16="Vestdanmark",Skovbrug!$C$22-(Skovbrug!$C$22)*(1-Skovbrug!$C$9)^(C16-Skovbrug!$B$12),Skovbrug!$F$22-(Skovbrug!$F$22)*(1-Skovbrug!$C$9)^(C16-Skovbrug!$B$12)))*VLOOKUP(A16,Skovbrug!$A$13:$D$17,IF('Skovbrug-alder'!C16&lt;=År2,3,4),FALSE)
-IF(C16&gt;2020,SUM(INDEX($C$1:$D$311,MATCH(1,(2020=$C$1:$C$311)*(B16=$B$1:$B$311)*(A16=$A$1:$A$311),0),2):D15),0)</f>
        <v>101.39506273651773</v>
      </c>
      <c r="E16">
        <f t="shared" ca="1" si="0"/>
        <v>0</v>
      </c>
      <c r="F16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372.69135903281409</v>
      </c>
      <c r="G16">
        <f ca="1">IF($C16-G$1&lt;År1,0,F15*(1-VLOOKUP($A16,[1]Hugst!$R$5:$W$9,MATCH(ROUNDUP((G$1)/10,0)*10,[1]Hugst!$R$4:$W$4,0))))</f>
        <v>373.2008819611379</v>
      </c>
      <c r="H16">
        <f ca="1">IF($C16-H$1&lt;År1,0,G15*(1-VLOOKUP($A16,[1]Hugst!$R$5:$W$9,MATCH(ROUNDUP((H$1)/10,0)*10,[1]Hugst!$R$4:$W$4,0))))</f>
        <v>373.71296530619003</v>
      </c>
      <c r="I16">
        <f ca="1">IF($C16-I$1&lt;År1,0,H15*(1-VLOOKUP($A16,[1]Hugst!$R$5:$W$9,MATCH(ROUNDUP((I$1)/10,0)*10,[1]Hugst!$R$4:$W$4,0))))</f>
        <v>374.22762193437535</v>
      </c>
      <c r="J16">
        <f ca="1">IF($C16-J$1&lt;År1,0,I15*(1-VLOOKUP($A16,[1]Hugst!$R$5:$W$9,MATCH(ROUNDUP((J$1)/10,0)*10,[1]Hugst!$R$4:$W$4,0))))</f>
        <v>596.71456174648119</v>
      </c>
      <c r="K16">
        <f ca="1">IF($C16-K$1&lt;År1,0,J15*(1-VLOOKUP($A16,[1]Hugst!$R$5:$W$9,MATCH(ROUNDUP((K$1)/10,0)*10,[1]Hugst!$R$4:$W$4,0))))</f>
        <v>597.23440379914155</v>
      </c>
      <c r="L16">
        <f ca="1">IF($C16-L$1&lt;År1,0,K15*(1-VLOOKUP($A16,[1]Hugst!$R$5:$W$9,MATCH(ROUNDUP((L$1)/10,0)*10,[1]Hugst!$R$4:$W$4,0))))</f>
        <v>597.75685812343352</v>
      </c>
      <c r="M16">
        <f ca="1">IF($C16-M$1&lt;År1,0,L15*(1-VLOOKUP($A16,[1]Hugst!$R$5:$W$9,MATCH(ROUNDUP((M$1)/10,0)*10,[1]Hugst!$R$4:$W$4,0))))</f>
        <v>598.28193784633402</v>
      </c>
      <c r="N16">
        <f ca="1">IF($C16-N$1&lt;År1,0,M15*(1-VLOOKUP($A16,[1]Hugst!$R$5:$W$9,MATCH(ROUNDUP((N$1)/10,0)*10,[1]Hugst!$R$4:$W$4,0))))</f>
        <v>598.80965616080709</v>
      </c>
      <c r="O16">
        <f ca="1">IF($C16-O$1&lt;År1,0,N15*(1-VLOOKUP($A16,[1]Hugst!$R$5:$W$9,MATCH(ROUNDUP((O$1)/10,0)*10,[1]Hugst!$R$4:$W$4,0))))</f>
        <v>599.34002632610714</v>
      </c>
      <c r="P16">
        <f ca="1">IF($C16-P$1&lt;År1,0,O15*(1-VLOOKUP($A16,[1]Hugst!$R$5:$W$9,MATCH(ROUNDUP((P$1)/10,0)*10,[1]Hugst!$R$4:$W$4,0))))</f>
        <v>599.87306166811823</v>
      </c>
      <c r="Q16">
        <f ca="1">IF($C16-Q$1&lt;År1,0,P15*(1-VLOOKUP($A16,[1]Hugst!$R$5:$W$9,MATCH(ROUNDUP((Q$1)/10,0)*10,[1]Hugst!$R$4:$W$4,0))))</f>
        <v>600.40877557968702</v>
      </c>
      <c r="R16">
        <f ca="1">IF($C16-R$1&lt;År1,0,Q15*(1-VLOOKUP($A16,[1]Hugst!$R$5:$W$9,MATCH(ROUNDUP((R$1)/10,0)*10,[1]Hugst!$R$4:$W$4,0))))</f>
        <v>600.94718152096243</v>
      </c>
      <c r="S16">
        <f ca="1">IF($C16-S$1&lt;År1,0,R15*(1-VLOOKUP($A16,[1]Hugst!$R$5:$W$9,MATCH(ROUNDUP((S$1)/10,0)*10,[1]Hugst!$R$4:$W$4,0))))</f>
        <v>601.48829301972796</v>
      </c>
      <c r="T16">
        <f ca="1">IF($C16-T$1&lt;År1,0,S15*(1-VLOOKUP($A16,[1]Hugst!$R$5:$W$9,MATCH(ROUNDUP((T$1)/10,0)*10,[1]Hugst!$R$4:$W$4,0))))</f>
        <v>602.03212367175934</v>
      </c>
      <c r="U16">
        <f>IF($C16-U$1&lt;År1,0,T15*(1-VLOOKUP($A16,[1]Hugst!$R$5:$W$9,MATCH(ROUNDUP((U$1)/10,0)*10,[1]Hugst!$R$4:$W$4,0))))</f>
        <v>0</v>
      </c>
      <c r="V16">
        <f>IF($C16-V$1&lt;År1,0,U15*(1-VLOOKUP($A16,[1]Hugst!$R$5:$W$9,MATCH(ROUNDUP((V$1)/10,0)*10,[1]Hugst!$R$4:$W$4,0))))</f>
        <v>0</v>
      </c>
      <c r="W16">
        <f>IF($C16-W$1&lt;År1,0,V15*(1-VLOOKUP($A16,[1]Hugst!$R$5:$W$9,MATCH(ROUNDUP((W$1)/10,0)*10,[1]Hugst!$R$4:$W$4,0))))</f>
        <v>0</v>
      </c>
      <c r="X16">
        <f>IF($C16-X$1&lt;År1,0,W15*(1-VLOOKUP($A16,[1]Hugst!$R$5:$W$9,MATCH(ROUNDUP((X$1)/10,0)*10,[1]Hugst!$R$4:$W$4,0))))</f>
        <v>0</v>
      </c>
      <c r="Y16">
        <f>IF($C16-Y$1&lt;År1,0,X15*(1-VLOOKUP($A16,[1]Hugst!$R$5:$W$9,MATCH(ROUNDUP((Y$1)/10,0)*10,[1]Hugst!$R$4:$W$4,0))))</f>
        <v>0</v>
      </c>
      <c r="Z16">
        <f>IF($C16-Z$1&lt;År1,0,Y15*(1-VLOOKUP($A16,[1]Hugst!$R$5:$W$9,MATCH(ROUNDUP((Z$1)/10,0)*10,[1]Hugst!$R$4:$W$4,0))))</f>
        <v>0</v>
      </c>
      <c r="AA16">
        <f>IF($C16-AA$1&lt;År1,0,Z15*(1-VLOOKUP($A16,[1]Hugst!$R$5:$W$9,MATCH(ROUNDUP((AA$1)/10,0)*10,[1]Hugst!$R$4:$W$4,0))))</f>
        <v>0</v>
      </c>
      <c r="AB16">
        <f>IF($C16-AB$1&lt;År1,0,AA15*(1-VLOOKUP($A16,[1]Hugst!$R$5:$W$9,MATCH(ROUNDUP((AB$1)/10,0)*10,[1]Hugst!$R$4:$W$4,0))))</f>
        <v>0</v>
      </c>
      <c r="AC16">
        <f>IF($C16-AC$1&lt;År1,0,AB15*(1-VLOOKUP($A16,[1]Hugst!$R$5:$W$9,MATCH(ROUNDUP((AC$1)/10,0)*10,[1]Hugst!$R$4:$W$4,0))))</f>
        <v>0</v>
      </c>
      <c r="AD16">
        <f>IF($C16-AD$1&lt;År1,0,AC15*(1-VLOOKUP($A16,[1]Hugst!$R$5:$W$9,MATCH(ROUNDUP((AD$1)/10,0)*10,[1]Hugst!$R$4:$W$4,0))))</f>
        <v>0</v>
      </c>
      <c r="AE16">
        <f>IF($C16-AE$1&lt;År1,0,AD15*(1-VLOOKUP($A16,[1]Hugst!$R$5:$W$9,MATCH(ROUNDUP((AE$1)/10,0)*10,[1]Hugst!$R$4:$W$4,0))))</f>
        <v>0</v>
      </c>
      <c r="AF16">
        <f>IF($C16-AF$1&lt;År1,0,AE15*(1-VLOOKUP($A16,[1]Hugst!$R$5:$W$9,MATCH(ROUNDUP((AF$1)/10,0)*10,[1]Hugst!$R$4:$W$4,0))))</f>
        <v>0</v>
      </c>
      <c r="AG16">
        <f>IF($C16-AG$1&lt;År1,0,AF15*(1-VLOOKUP($A16,[1]Hugst!$R$5:$W$9,MATCH(ROUNDUP((AG$1)/10,0)*10,[1]Hugst!$R$4:$W$4,0))))</f>
        <v>0</v>
      </c>
      <c r="AH16">
        <f>IF($C16-AH$1&lt;År1,0,AG15*(1-VLOOKUP($A16,[1]Hugst!$R$5:$W$9,MATCH(ROUNDUP((AH$1)/10,0)*10,[1]Hugst!$R$4:$W$4,0))))</f>
        <v>0</v>
      </c>
      <c r="AI16">
        <f>IF($C16-AI$1&lt;År1,0,AH15*(1-VLOOKUP($A16,[1]Hugst!$R$5:$W$9,MATCH(ROUNDUP((AI$1)/10,0)*10,[1]Hugst!$R$4:$W$4,0))))</f>
        <v>0</v>
      </c>
      <c r="AJ16">
        <f>IF($C16-AJ$1&lt;År1,0,AI15*(1-VLOOKUP($A16,[1]Hugst!$R$5:$W$9,MATCH(ROUNDUP((AJ$1)/10,0)*10,[1]Hugst!$R$4:$W$4,0))))</f>
        <v>0</v>
      </c>
    </row>
    <row r="17" spans="1:38" x14ac:dyDescent="0.25">
      <c r="A17" t="s">
        <v>176</v>
      </c>
      <c r="B17" t="s">
        <v>23</v>
      </c>
      <c r="C17">
        <v>2035</v>
      </c>
      <c r="D17" cm="1">
        <f t="array" ref="D17">(IF(B17="Vestdanmark",Skovbrug!$C$22-(Skovbrug!$C$22)*(1-Skovbrug!$C$9)^(C17-Skovbrug!$B$12),Skovbrug!$F$22-(Skovbrug!$F$22)*(1-Skovbrug!$C$9)^(C17-Skovbrug!$B$12)))*VLOOKUP(A17,Skovbrug!$A$13:$D$17,IF('Skovbrug-alder'!C17&lt;=År2,3,4),FALSE)
-IF(C17&gt;2020,SUM(INDEX($C$1:$D$311,MATCH(1,(2020=$C$1:$C$311)*(B17=$B$1:$B$311)*(A17=$A$1:$A$311),0),2):D16),0)</f>
        <v>100.88808742283732</v>
      </c>
      <c r="E17">
        <f t="shared" ca="1" si="0"/>
        <v>0</v>
      </c>
      <c r="F17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372.18438371913368</v>
      </c>
      <c r="G17">
        <f ca="1">IF($C17-G$1&lt;År1,0,F16*(1-VLOOKUP($A17,[1]Hugst!$R$5:$W$9,MATCH(ROUNDUP((G$1)/10,0)*10,[1]Hugst!$R$4:$W$4,0))))</f>
        <v>372.69135903281409</v>
      </c>
      <c r="H17">
        <f ca="1">IF($C17-H$1&lt;År1,0,G16*(1-VLOOKUP($A17,[1]Hugst!$R$5:$W$9,MATCH(ROUNDUP((H$1)/10,0)*10,[1]Hugst!$R$4:$W$4,0))))</f>
        <v>373.2008819611379</v>
      </c>
      <c r="I17">
        <f ca="1">IF($C17-I$1&lt;År1,0,H16*(1-VLOOKUP($A17,[1]Hugst!$R$5:$W$9,MATCH(ROUNDUP((I$1)/10,0)*10,[1]Hugst!$R$4:$W$4,0))))</f>
        <v>373.71296530619003</v>
      </c>
      <c r="J17">
        <f ca="1">IF($C17-J$1&lt;År1,0,I16*(1-VLOOKUP($A17,[1]Hugst!$R$5:$W$9,MATCH(ROUNDUP((J$1)/10,0)*10,[1]Hugst!$R$4:$W$4,0))))</f>
        <v>374.22762193437535</v>
      </c>
      <c r="K17">
        <f ca="1">IF($C17-K$1&lt;År1,0,J16*(1-VLOOKUP($A17,[1]Hugst!$R$5:$W$9,MATCH(ROUNDUP((K$1)/10,0)*10,[1]Hugst!$R$4:$W$4,0))))</f>
        <v>596.71456174648119</v>
      </c>
      <c r="L17">
        <f ca="1">IF($C17-L$1&lt;År1,0,K16*(1-VLOOKUP($A17,[1]Hugst!$R$5:$W$9,MATCH(ROUNDUP((L$1)/10,0)*10,[1]Hugst!$R$4:$W$4,0))))</f>
        <v>597.23440379914155</v>
      </c>
      <c r="M17">
        <f ca="1">IF($C17-M$1&lt;År1,0,L16*(1-VLOOKUP($A17,[1]Hugst!$R$5:$W$9,MATCH(ROUNDUP((M$1)/10,0)*10,[1]Hugst!$R$4:$W$4,0))))</f>
        <v>597.75685812343352</v>
      </c>
      <c r="N17">
        <f ca="1">IF($C17-N$1&lt;År1,0,M16*(1-VLOOKUP($A17,[1]Hugst!$R$5:$W$9,MATCH(ROUNDUP((N$1)/10,0)*10,[1]Hugst!$R$4:$W$4,0))))</f>
        <v>598.28193784633402</v>
      </c>
      <c r="O17">
        <f ca="1">IF($C17-O$1&lt;År1,0,N16*(1-VLOOKUP($A17,[1]Hugst!$R$5:$W$9,MATCH(ROUNDUP((O$1)/10,0)*10,[1]Hugst!$R$4:$W$4,0))))</f>
        <v>598.80965616080709</v>
      </c>
      <c r="P17">
        <f ca="1">IF($C17-P$1&lt;År1,0,O16*(1-VLOOKUP($A17,[1]Hugst!$R$5:$W$9,MATCH(ROUNDUP((P$1)/10,0)*10,[1]Hugst!$R$4:$W$4,0))))</f>
        <v>599.34002632610714</v>
      </c>
      <c r="Q17">
        <f ca="1">IF($C17-Q$1&lt;År1,0,P16*(1-VLOOKUP($A17,[1]Hugst!$R$5:$W$9,MATCH(ROUNDUP((Q$1)/10,0)*10,[1]Hugst!$R$4:$W$4,0))))</f>
        <v>599.87306166811823</v>
      </c>
      <c r="R17">
        <f ca="1">IF($C17-R$1&lt;År1,0,Q16*(1-VLOOKUP($A17,[1]Hugst!$R$5:$W$9,MATCH(ROUNDUP((R$1)/10,0)*10,[1]Hugst!$R$4:$W$4,0))))</f>
        <v>600.40877557968702</v>
      </c>
      <c r="S17">
        <f ca="1">IF($C17-S$1&lt;År1,0,R16*(1-VLOOKUP($A17,[1]Hugst!$R$5:$W$9,MATCH(ROUNDUP((S$1)/10,0)*10,[1]Hugst!$R$4:$W$4,0))))</f>
        <v>600.94718152096243</v>
      </c>
      <c r="T17">
        <f ca="1">IF($C17-T$1&lt;År1,0,S16*(1-VLOOKUP($A17,[1]Hugst!$R$5:$W$9,MATCH(ROUNDUP((T$1)/10,0)*10,[1]Hugst!$R$4:$W$4,0))))</f>
        <v>601.48829301972796</v>
      </c>
      <c r="U17">
        <f ca="1">IF($C17-U$1&lt;År1,0,T16*(1-VLOOKUP($A17,[1]Hugst!$R$5:$W$9,MATCH(ROUNDUP((U$1)/10,0)*10,[1]Hugst!$R$4:$W$4,0))))</f>
        <v>602.03212367175934</v>
      </c>
      <c r="V17">
        <f>IF($C17-V$1&lt;År1,0,U16*(1-VLOOKUP($A17,[1]Hugst!$R$5:$W$9,MATCH(ROUNDUP((V$1)/10,0)*10,[1]Hugst!$R$4:$W$4,0))))</f>
        <v>0</v>
      </c>
      <c r="W17">
        <f>IF($C17-W$1&lt;År1,0,V16*(1-VLOOKUP($A17,[1]Hugst!$R$5:$W$9,MATCH(ROUNDUP((W$1)/10,0)*10,[1]Hugst!$R$4:$W$4,0))))</f>
        <v>0</v>
      </c>
      <c r="X17">
        <f>IF($C17-X$1&lt;År1,0,W16*(1-VLOOKUP($A17,[1]Hugst!$R$5:$W$9,MATCH(ROUNDUP((X$1)/10,0)*10,[1]Hugst!$R$4:$W$4,0))))</f>
        <v>0</v>
      </c>
      <c r="Y17">
        <f>IF($C17-Y$1&lt;År1,0,X16*(1-VLOOKUP($A17,[1]Hugst!$R$5:$W$9,MATCH(ROUNDUP((Y$1)/10,0)*10,[1]Hugst!$R$4:$W$4,0))))</f>
        <v>0</v>
      </c>
      <c r="Z17">
        <f>IF($C17-Z$1&lt;År1,0,Y16*(1-VLOOKUP($A17,[1]Hugst!$R$5:$W$9,MATCH(ROUNDUP((Z$1)/10,0)*10,[1]Hugst!$R$4:$W$4,0))))</f>
        <v>0</v>
      </c>
      <c r="AA17">
        <f>IF($C17-AA$1&lt;År1,0,Z16*(1-VLOOKUP($A17,[1]Hugst!$R$5:$W$9,MATCH(ROUNDUP((AA$1)/10,0)*10,[1]Hugst!$R$4:$W$4,0))))</f>
        <v>0</v>
      </c>
      <c r="AB17">
        <f>IF($C17-AB$1&lt;År1,0,AA16*(1-VLOOKUP($A17,[1]Hugst!$R$5:$W$9,MATCH(ROUNDUP((AB$1)/10,0)*10,[1]Hugst!$R$4:$W$4,0))))</f>
        <v>0</v>
      </c>
      <c r="AC17">
        <f>IF($C17-AC$1&lt;År1,0,AB16*(1-VLOOKUP($A17,[1]Hugst!$R$5:$W$9,MATCH(ROUNDUP((AC$1)/10,0)*10,[1]Hugst!$R$4:$W$4,0))))</f>
        <v>0</v>
      </c>
      <c r="AD17">
        <f>IF($C17-AD$1&lt;År1,0,AC16*(1-VLOOKUP($A17,[1]Hugst!$R$5:$W$9,MATCH(ROUNDUP((AD$1)/10,0)*10,[1]Hugst!$R$4:$W$4,0))))</f>
        <v>0</v>
      </c>
      <c r="AE17">
        <f>IF($C17-AE$1&lt;År1,0,AD16*(1-VLOOKUP($A17,[1]Hugst!$R$5:$W$9,MATCH(ROUNDUP((AE$1)/10,0)*10,[1]Hugst!$R$4:$W$4,0))))</f>
        <v>0</v>
      </c>
      <c r="AF17">
        <f>IF($C17-AF$1&lt;År1,0,AE16*(1-VLOOKUP($A17,[1]Hugst!$R$5:$W$9,MATCH(ROUNDUP((AF$1)/10,0)*10,[1]Hugst!$R$4:$W$4,0))))</f>
        <v>0</v>
      </c>
      <c r="AG17">
        <f>IF($C17-AG$1&lt;År1,0,AF16*(1-VLOOKUP($A17,[1]Hugst!$R$5:$W$9,MATCH(ROUNDUP((AG$1)/10,0)*10,[1]Hugst!$R$4:$W$4,0))))</f>
        <v>0</v>
      </c>
      <c r="AH17">
        <f>IF($C17-AH$1&lt;År1,0,AG16*(1-VLOOKUP($A17,[1]Hugst!$R$5:$W$9,MATCH(ROUNDUP((AH$1)/10,0)*10,[1]Hugst!$R$4:$W$4,0))))</f>
        <v>0</v>
      </c>
      <c r="AI17">
        <f>IF($C17-AI$1&lt;År1,0,AH16*(1-VLOOKUP($A17,[1]Hugst!$R$5:$W$9,MATCH(ROUNDUP((AI$1)/10,0)*10,[1]Hugst!$R$4:$W$4,0))))</f>
        <v>0</v>
      </c>
      <c r="AJ17">
        <f>IF($C17-AJ$1&lt;År1,0,AI16*(1-VLOOKUP($A17,[1]Hugst!$R$5:$W$9,MATCH(ROUNDUP((AJ$1)/10,0)*10,[1]Hugst!$R$4:$W$4,0))))</f>
        <v>0</v>
      </c>
    </row>
    <row r="18" spans="1:38" x14ac:dyDescent="0.25">
      <c r="A18" t="s">
        <v>176</v>
      </c>
      <c r="B18" t="s">
        <v>23</v>
      </c>
      <c r="C18">
        <v>2036</v>
      </c>
      <c r="D18" cm="1">
        <f t="array" ref="D18">(IF(B18="Vestdanmark",Skovbrug!$C$22-(Skovbrug!$C$22)*(1-Skovbrug!$C$9)^(C18-Skovbrug!$B$12),Skovbrug!$F$22-(Skovbrug!$F$22)*(1-Skovbrug!$C$9)^(C18-Skovbrug!$B$12)))*VLOOKUP(A18,Skovbrug!$A$13:$D$17,IF('Skovbrug-alder'!C18&lt;=År2,3,4),FALSE)
-IF(C18&gt;2020,SUM(INDEX($C$1:$D$311,MATCH(1,(2020=$C$1:$C$311)*(B18=$B$1:$B$311)*(A18=$A$1:$A$311),0),2):D17),0)</f>
        <v>100.38364698572263</v>
      </c>
      <c r="E18">
        <f t="shared" ca="1" si="0"/>
        <v>0</v>
      </c>
      <c r="F1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371.679943282019</v>
      </c>
      <c r="G18">
        <f ca="1">IF($C18-G$1&lt;År1,0,F17*(1-VLOOKUP($A18,[1]Hugst!$R$5:$W$9,MATCH(ROUNDUP((G$1)/10,0)*10,[1]Hugst!$R$4:$W$4,0))))</f>
        <v>372.18438371913368</v>
      </c>
      <c r="H18">
        <f ca="1">IF($C18-H$1&lt;År1,0,G17*(1-VLOOKUP($A18,[1]Hugst!$R$5:$W$9,MATCH(ROUNDUP((H$1)/10,0)*10,[1]Hugst!$R$4:$W$4,0))))</f>
        <v>372.69135903281409</v>
      </c>
      <c r="I18">
        <f ca="1">IF($C18-I$1&lt;År1,0,H17*(1-VLOOKUP($A18,[1]Hugst!$R$5:$W$9,MATCH(ROUNDUP((I$1)/10,0)*10,[1]Hugst!$R$4:$W$4,0))))</f>
        <v>373.2008819611379</v>
      </c>
      <c r="J18">
        <f ca="1">IF($C18-J$1&lt;År1,0,I17*(1-VLOOKUP($A18,[1]Hugst!$R$5:$W$9,MATCH(ROUNDUP((J$1)/10,0)*10,[1]Hugst!$R$4:$W$4,0))))</f>
        <v>373.71296530619003</v>
      </c>
      <c r="K18">
        <f ca="1">IF($C18-K$1&lt;År1,0,J17*(1-VLOOKUP($A18,[1]Hugst!$R$5:$W$9,MATCH(ROUNDUP((K$1)/10,0)*10,[1]Hugst!$R$4:$W$4,0))))</f>
        <v>374.22762193437535</v>
      </c>
      <c r="L18">
        <f ca="1">IF($C18-L$1&lt;År1,0,K17*(1-VLOOKUP($A18,[1]Hugst!$R$5:$W$9,MATCH(ROUNDUP((L$1)/10,0)*10,[1]Hugst!$R$4:$W$4,0))))</f>
        <v>596.71456174648119</v>
      </c>
      <c r="M18">
        <f ca="1">IF($C18-M$1&lt;År1,0,L17*(1-VLOOKUP($A18,[1]Hugst!$R$5:$W$9,MATCH(ROUNDUP((M$1)/10,0)*10,[1]Hugst!$R$4:$W$4,0))))</f>
        <v>597.23440379914155</v>
      </c>
      <c r="N18">
        <f ca="1">IF($C18-N$1&lt;År1,0,M17*(1-VLOOKUP($A18,[1]Hugst!$R$5:$W$9,MATCH(ROUNDUP((N$1)/10,0)*10,[1]Hugst!$R$4:$W$4,0))))</f>
        <v>597.75685812343352</v>
      </c>
      <c r="O18">
        <f ca="1">IF($C18-O$1&lt;År1,0,N17*(1-VLOOKUP($A18,[1]Hugst!$R$5:$W$9,MATCH(ROUNDUP((O$1)/10,0)*10,[1]Hugst!$R$4:$W$4,0))))</f>
        <v>598.28193784633402</v>
      </c>
      <c r="P18">
        <f ca="1">IF($C18-P$1&lt;År1,0,O17*(1-VLOOKUP($A18,[1]Hugst!$R$5:$W$9,MATCH(ROUNDUP((P$1)/10,0)*10,[1]Hugst!$R$4:$W$4,0))))</f>
        <v>598.80965616080709</v>
      </c>
      <c r="Q18">
        <f ca="1">IF($C18-Q$1&lt;År1,0,P17*(1-VLOOKUP($A18,[1]Hugst!$R$5:$W$9,MATCH(ROUNDUP((Q$1)/10,0)*10,[1]Hugst!$R$4:$W$4,0))))</f>
        <v>599.34002632610714</v>
      </c>
      <c r="R18">
        <f ca="1">IF($C18-R$1&lt;År1,0,Q17*(1-VLOOKUP($A18,[1]Hugst!$R$5:$W$9,MATCH(ROUNDUP((R$1)/10,0)*10,[1]Hugst!$R$4:$W$4,0))))</f>
        <v>599.87306166811823</v>
      </c>
      <c r="S18">
        <f ca="1">IF($C18-S$1&lt;År1,0,R17*(1-VLOOKUP($A18,[1]Hugst!$R$5:$W$9,MATCH(ROUNDUP((S$1)/10,0)*10,[1]Hugst!$R$4:$W$4,0))))</f>
        <v>600.40877557968702</v>
      </c>
      <c r="T18">
        <f ca="1">IF($C18-T$1&lt;År1,0,S17*(1-VLOOKUP($A18,[1]Hugst!$R$5:$W$9,MATCH(ROUNDUP((T$1)/10,0)*10,[1]Hugst!$R$4:$W$4,0))))</f>
        <v>600.94718152096243</v>
      </c>
      <c r="U18">
        <f ca="1">IF($C18-U$1&lt;År1,0,T17*(1-VLOOKUP($A18,[1]Hugst!$R$5:$W$9,MATCH(ROUNDUP((U$1)/10,0)*10,[1]Hugst!$R$4:$W$4,0))))</f>
        <v>601.48829301972796</v>
      </c>
      <c r="V18">
        <f ca="1">IF($C18-V$1&lt;År1,0,U17*(1-VLOOKUP($A18,[1]Hugst!$R$5:$W$9,MATCH(ROUNDUP((V$1)/10,0)*10,[1]Hugst!$R$4:$W$4,0))))</f>
        <v>602.03212367175934</v>
      </c>
      <c r="W18">
        <f>IF($C18-W$1&lt;År1,0,V17*(1-VLOOKUP($A18,[1]Hugst!$R$5:$W$9,MATCH(ROUNDUP((W$1)/10,0)*10,[1]Hugst!$R$4:$W$4,0))))</f>
        <v>0</v>
      </c>
      <c r="X18">
        <f>IF($C18-X$1&lt;År1,0,W17*(1-VLOOKUP($A18,[1]Hugst!$R$5:$W$9,MATCH(ROUNDUP((X$1)/10,0)*10,[1]Hugst!$R$4:$W$4,0))))</f>
        <v>0</v>
      </c>
      <c r="Y18">
        <f>IF($C18-Y$1&lt;År1,0,X17*(1-VLOOKUP($A18,[1]Hugst!$R$5:$W$9,MATCH(ROUNDUP((Y$1)/10,0)*10,[1]Hugst!$R$4:$W$4,0))))</f>
        <v>0</v>
      </c>
      <c r="Z18">
        <f>IF($C18-Z$1&lt;År1,0,Y17*(1-VLOOKUP($A18,[1]Hugst!$R$5:$W$9,MATCH(ROUNDUP((Z$1)/10,0)*10,[1]Hugst!$R$4:$W$4,0))))</f>
        <v>0</v>
      </c>
      <c r="AA18">
        <f>IF($C18-AA$1&lt;År1,0,Z17*(1-VLOOKUP($A18,[1]Hugst!$R$5:$W$9,MATCH(ROUNDUP((AA$1)/10,0)*10,[1]Hugst!$R$4:$W$4,0))))</f>
        <v>0</v>
      </c>
      <c r="AB18">
        <f>IF($C18-AB$1&lt;År1,0,AA17*(1-VLOOKUP($A18,[1]Hugst!$R$5:$W$9,MATCH(ROUNDUP((AB$1)/10,0)*10,[1]Hugst!$R$4:$W$4,0))))</f>
        <v>0</v>
      </c>
      <c r="AC18">
        <f>IF($C18-AC$1&lt;År1,0,AB17*(1-VLOOKUP($A18,[1]Hugst!$R$5:$W$9,MATCH(ROUNDUP((AC$1)/10,0)*10,[1]Hugst!$R$4:$W$4,0))))</f>
        <v>0</v>
      </c>
      <c r="AD18">
        <f>IF($C18-AD$1&lt;År1,0,AC17*(1-VLOOKUP($A18,[1]Hugst!$R$5:$W$9,MATCH(ROUNDUP((AD$1)/10,0)*10,[1]Hugst!$R$4:$W$4,0))))</f>
        <v>0</v>
      </c>
      <c r="AE18">
        <f>IF($C18-AE$1&lt;År1,0,AD17*(1-VLOOKUP($A18,[1]Hugst!$R$5:$W$9,MATCH(ROUNDUP((AE$1)/10,0)*10,[1]Hugst!$R$4:$W$4,0))))</f>
        <v>0</v>
      </c>
      <c r="AF18">
        <f>IF($C18-AF$1&lt;År1,0,AE17*(1-VLOOKUP($A18,[1]Hugst!$R$5:$W$9,MATCH(ROUNDUP((AF$1)/10,0)*10,[1]Hugst!$R$4:$W$4,0))))</f>
        <v>0</v>
      </c>
      <c r="AG18">
        <f>IF($C18-AG$1&lt;År1,0,AF17*(1-VLOOKUP($A18,[1]Hugst!$R$5:$W$9,MATCH(ROUNDUP((AG$1)/10,0)*10,[1]Hugst!$R$4:$W$4,0))))</f>
        <v>0</v>
      </c>
      <c r="AH18">
        <f>IF($C18-AH$1&lt;År1,0,AG17*(1-VLOOKUP($A18,[1]Hugst!$R$5:$W$9,MATCH(ROUNDUP((AH$1)/10,0)*10,[1]Hugst!$R$4:$W$4,0))))</f>
        <v>0</v>
      </c>
      <c r="AI18">
        <f>IF($C18-AI$1&lt;År1,0,AH17*(1-VLOOKUP($A18,[1]Hugst!$R$5:$W$9,MATCH(ROUNDUP((AI$1)/10,0)*10,[1]Hugst!$R$4:$W$4,0))))</f>
        <v>0</v>
      </c>
      <c r="AJ18">
        <f>IF($C18-AJ$1&lt;År1,0,AI17*(1-VLOOKUP($A18,[1]Hugst!$R$5:$W$9,MATCH(ROUNDUP((AJ$1)/10,0)*10,[1]Hugst!$R$4:$W$4,0))))</f>
        <v>0</v>
      </c>
    </row>
    <row r="19" spans="1:38" x14ac:dyDescent="0.25">
      <c r="A19" t="s">
        <v>176</v>
      </c>
      <c r="B19" t="s">
        <v>23</v>
      </c>
      <c r="C19">
        <v>2037</v>
      </c>
      <c r="D19" cm="1">
        <f t="array" ref="D19">(IF(B19="Vestdanmark",Skovbrug!$C$22-(Skovbrug!$C$22)*(1-Skovbrug!$C$9)^(C19-Skovbrug!$B$12),Skovbrug!$F$22-(Skovbrug!$F$22)*(1-Skovbrug!$C$9)^(C19-Skovbrug!$B$12)))*VLOOKUP(A19,Skovbrug!$A$13:$D$17,IF('Skovbrug-alder'!C19&lt;=År2,3,4),FALSE)
-IF(C19&gt;2020,SUM(INDEX($C$1:$D$311,MATCH(1,(2020=$C$1:$C$311)*(B19=$B$1:$B$311)*(A19=$A$1:$A$311),0),2):D18),0)</f>
        <v>99.881728750793172</v>
      </c>
      <c r="E19">
        <f t="shared" ca="1" si="0"/>
        <v>0</v>
      </c>
      <c r="F19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371.17802504708953</v>
      </c>
      <c r="G19">
        <f ca="1">IF($C19-G$1&lt;År1,0,F18*(1-VLOOKUP($A19,[1]Hugst!$R$5:$W$9,MATCH(ROUNDUP((G$1)/10,0)*10,[1]Hugst!$R$4:$W$4,0))))</f>
        <v>371.679943282019</v>
      </c>
      <c r="H19">
        <f ca="1">IF($C19-H$1&lt;År1,0,G18*(1-VLOOKUP($A19,[1]Hugst!$R$5:$W$9,MATCH(ROUNDUP((H$1)/10,0)*10,[1]Hugst!$R$4:$W$4,0))))</f>
        <v>372.18438371913368</v>
      </c>
      <c r="I19">
        <f ca="1">IF($C19-I$1&lt;År1,0,H18*(1-VLOOKUP($A19,[1]Hugst!$R$5:$W$9,MATCH(ROUNDUP((I$1)/10,0)*10,[1]Hugst!$R$4:$W$4,0))))</f>
        <v>372.69135903281409</v>
      </c>
      <c r="J19">
        <f ca="1">IF($C19-J$1&lt;År1,0,I18*(1-VLOOKUP($A19,[1]Hugst!$R$5:$W$9,MATCH(ROUNDUP((J$1)/10,0)*10,[1]Hugst!$R$4:$W$4,0))))</f>
        <v>373.2008819611379</v>
      </c>
      <c r="K19">
        <f ca="1">IF($C19-K$1&lt;År1,0,J18*(1-VLOOKUP($A19,[1]Hugst!$R$5:$W$9,MATCH(ROUNDUP((K$1)/10,0)*10,[1]Hugst!$R$4:$W$4,0))))</f>
        <v>373.71296530619003</v>
      </c>
      <c r="L19">
        <f ca="1">IF($C19-L$1&lt;År1,0,K18*(1-VLOOKUP($A19,[1]Hugst!$R$5:$W$9,MATCH(ROUNDUP((L$1)/10,0)*10,[1]Hugst!$R$4:$W$4,0))))</f>
        <v>374.22762193437535</v>
      </c>
      <c r="M19">
        <f ca="1">IF($C19-M$1&lt;År1,0,L18*(1-VLOOKUP($A19,[1]Hugst!$R$5:$W$9,MATCH(ROUNDUP((M$1)/10,0)*10,[1]Hugst!$R$4:$W$4,0))))</f>
        <v>596.71456174648119</v>
      </c>
      <c r="N19">
        <f ca="1">IF($C19-N$1&lt;År1,0,M18*(1-VLOOKUP($A19,[1]Hugst!$R$5:$W$9,MATCH(ROUNDUP((N$1)/10,0)*10,[1]Hugst!$R$4:$W$4,0))))</f>
        <v>597.23440379914155</v>
      </c>
      <c r="O19">
        <f ca="1">IF($C19-O$1&lt;År1,0,N18*(1-VLOOKUP($A19,[1]Hugst!$R$5:$W$9,MATCH(ROUNDUP((O$1)/10,0)*10,[1]Hugst!$R$4:$W$4,0))))</f>
        <v>597.75685812343352</v>
      </c>
      <c r="P19">
        <f ca="1">IF($C19-P$1&lt;År1,0,O18*(1-VLOOKUP($A19,[1]Hugst!$R$5:$W$9,MATCH(ROUNDUP((P$1)/10,0)*10,[1]Hugst!$R$4:$W$4,0))))</f>
        <v>598.28193784633402</v>
      </c>
      <c r="Q19">
        <f ca="1">IF($C19-Q$1&lt;År1,0,P18*(1-VLOOKUP($A19,[1]Hugst!$R$5:$W$9,MATCH(ROUNDUP((Q$1)/10,0)*10,[1]Hugst!$R$4:$W$4,0))))</f>
        <v>598.80965616080709</v>
      </c>
      <c r="R19">
        <f ca="1">IF($C19-R$1&lt;År1,0,Q18*(1-VLOOKUP($A19,[1]Hugst!$R$5:$W$9,MATCH(ROUNDUP((R$1)/10,0)*10,[1]Hugst!$R$4:$W$4,0))))</f>
        <v>599.34002632610714</v>
      </c>
      <c r="S19">
        <f ca="1">IF($C19-S$1&lt;År1,0,R18*(1-VLOOKUP($A19,[1]Hugst!$R$5:$W$9,MATCH(ROUNDUP((S$1)/10,0)*10,[1]Hugst!$R$4:$W$4,0))))</f>
        <v>599.87306166811823</v>
      </c>
      <c r="T19">
        <f ca="1">IF($C19-T$1&lt;År1,0,S18*(1-VLOOKUP($A19,[1]Hugst!$R$5:$W$9,MATCH(ROUNDUP((T$1)/10,0)*10,[1]Hugst!$R$4:$W$4,0))))</f>
        <v>600.40877557968702</v>
      </c>
      <c r="U19">
        <f ca="1">IF($C19-U$1&lt;År1,0,T18*(1-VLOOKUP($A19,[1]Hugst!$R$5:$W$9,MATCH(ROUNDUP((U$1)/10,0)*10,[1]Hugst!$R$4:$W$4,0))))</f>
        <v>600.94718152096243</v>
      </c>
      <c r="V19">
        <f ca="1">IF($C19-V$1&lt;År1,0,U18*(1-VLOOKUP($A19,[1]Hugst!$R$5:$W$9,MATCH(ROUNDUP((V$1)/10,0)*10,[1]Hugst!$R$4:$W$4,0))))</f>
        <v>601.48829301972796</v>
      </c>
      <c r="W19">
        <f ca="1">IF($C19-W$1&lt;År1,0,V18*(1-VLOOKUP($A19,[1]Hugst!$R$5:$W$9,MATCH(ROUNDUP((W$1)/10,0)*10,[1]Hugst!$R$4:$W$4,0))))</f>
        <v>602.03212367175934</v>
      </c>
      <c r="X19">
        <f>IF($C19-X$1&lt;År1,0,W18*(1-VLOOKUP($A19,[1]Hugst!$R$5:$W$9,MATCH(ROUNDUP((X$1)/10,0)*10,[1]Hugst!$R$4:$W$4,0))))</f>
        <v>0</v>
      </c>
      <c r="Y19">
        <f>IF($C19-Y$1&lt;År1,0,X18*(1-VLOOKUP($A19,[1]Hugst!$R$5:$W$9,MATCH(ROUNDUP((Y$1)/10,0)*10,[1]Hugst!$R$4:$W$4,0))))</f>
        <v>0</v>
      </c>
      <c r="Z19">
        <f>IF($C19-Z$1&lt;År1,0,Y18*(1-VLOOKUP($A19,[1]Hugst!$R$5:$W$9,MATCH(ROUNDUP((Z$1)/10,0)*10,[1]Hugst!$R$4:$W$4,0))))</f>
        <v>0</v>
      </c>
      <c r="AA19">
        <f>IF($C19-AA$1&lt;År1,0,Z18*(1-VLOOKUP($A19,[1]Hugst!$R$5:$W$9,MATCH(ROUNDUP((AA$1)/10,0)*10,[1]Hugst!$R$4:$W$4,0))))</f>
        <v>0</v>
      </c>
      <c r="AB19">
        <f>IF($C19-AB$1&lt;År1,0,AA18*(1-VLOOKUP($A19,[1]Hugst!$R$5:$W$9,MATCH(ROUNDUP((AB$1)/10,0)*10,[1]Hugst!$R$4:$W$4,0))))</f>
        <v>0</v>
      </c>
      <c r="AC19">
        <f>IF($C19-AC$1&lt;År1,0,AB18*(1-VLOOKUP($A19,[1]Hugst!$R$5:$W$9,MATCH(ROUNDUP((AC$1)/10,0)*10,[1]Hugst!$R$4:$W$4,0))))</f>
        <v>0</v>
      </c>
      <c r="AD19">
        <f>IF($C19-AD$1&lt;År1,0,AC18*(1-VLOOKUP($A19,[1]Hugst!$R$5:$W$9,MATCH(ROUNDUP((AD$1)/10,0)*10,[1]Hugst!$R$4:$W$4,0))))</f>
        <v>0</v>
      </c>
      <c r="AE19">
        <f>IF($C19-AE$1&lt;År1,0,AD18*(1-VLOOKUP($A19,[1]Hugst!$R$5:$W$9,MATCH(ROUNDUP((AE$1)/10,0)*10,[1]Hugst!$R$4:$W$4,0))))</f>
        <v>0</v>
      </c>
      <c r="AF19">
        <f>IF($C19-AF$1&lt;År1,0,AE18*(1-VLOOKUP($A19,[1]Hugst!$R$5:$W$9,MATCH(ROUNDUP((AF$1)/10,0)*10,[1]Hugst!$R$4:$W$4,0))))</f>
        <v>0</v>
      </c>
      <c r="AG19">
        <f>IF($C19-AG$1&lt;År1,0,AF18*(1-VLOOKUP($A19,[1]Hugst!$R$5:$W$9,MATCH(ROUNDUP((AG$1)/10,0)*10,[1]Hugst!$R$4:$W$4,0))))</f>
        <v>0</v>
      </c>
      <c r="AH19">
        <f>IF($C19-AH$1&lt;År1,0,AG18*(1-VLOOKUP($A19,[1]Hugst!$R$5:$W$9,MATCH(ROUNDUP((AH$1)/10,0)*10,[1]Hugst!$R$4:$W$4,0))))</f>
        <v>0</v>
      </c>
      <c r="AI19">
        <f>IF($C19-AI$1&lt;År1,0,AH18*(1-VLOOKUP($A19,[1]Hugst!$R$5:$W$9,MATCH(ROUNDUP((AI$1)/10,0)*10,[1]Hugst!$R$4:$W$4,0))))</f>
        <v>0</v>
      </c>
      <c r="AJ19">
        <f>IF($C19-AJ$1&lt;År1,0,AI18*(1-VLOOKUP($A19,[1]Hugst!$R$5:$W$9,MATCH(ROUNDUP((AJ$1)/10,0)*10,[1]Hugst!$R$4:$W$4,0))))</f>
        <v>0</v>
      </c>
    </row>
    <row r="20" spans="1:38" x14ac:dyDescent="0.25">
      <c r="A20" t="s">
        <v>176</v>
      </c>
      <c r="B20" t="s">
        <v>23</v>
      </c>
      <c r="C20">
        <v>2038</v>
      </c>
      <c r="D20" cm="1">
        <f t="array" ref="D20">(IF(B20="Vestdanmark",Skovbrug!$C$22-(Skovbrug!$C$22)*(1-Skovbrug!$C$9)^(C20-Skovbrug!$B$12),Skovbrug!$F$22-(Skovbrug!$F$22)*(1-Skovbrug!$C$9)^(C20-Skovbrug!$B$12)))*VLOOKUP(A20,Skovbrug!$A$13:$D$17,IF('Skovbrug-alder'!C20&lt;=År2,3,4),FALSE)
-IF(C20&gt;2020,SUM(INDEX($C$1:$D$311,MATCH(1,(2020=$C$1:$C$311)*(B20=$B$1:$B$311)*(A20=$A$1:$A$311),0),2):D19),0)</f>
        <v>99.38232010704246</v>
      </c>
      <c r="E20">
        <f t="shared" ca="1" si="0"/>
        <v>0</v>
      </c>
      <c r="F20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370.67861640333882</v>
      </c>
      <c r="G20">
        <f ca="1">IF($C20-G$1&lt;År1,0,F19*(1-VLOOKUP($A20,[1]Hugst!$R$5:$W$9,MATCH(ROUNDUP((G$1)/10,0)*10,[1]Hugst!$R$4:$W$4,0))))</f>
        <v>371.17802504708953</v>
      </c>
      <c r="H20">
        <f ca="1">IF($C20-H$1&lt;År1,0,G19*(1-VLOOKUP($A20,[1]Hugst!$R$5:$W$9,MATCH(ROUNDUP((H$1)/10,0)*10,[1]Hugst!$R$4:$W$4,0))))</f>
        <v>371.679943282019</v>
      </c>
      <c r="I20">
        <f ca="1">IF($C20-I$1&lt;År1,0,H19*(1-VLOOKUP($A20,[1]Hugst!$R$5:$W$9,MATCH(ROUNDUP((I$1)/10,0)*10,[1]Hugst!$R$4:$W$4,0))))</f>
        <v>372.18438371913368</v>
      </c>
      <c r="J20">
        <f ca="1">IF($C20-J$1&lt;År1,0,I19*(1-VLOOKUP($A20,[1]Hugst!$R$5:$W$9,MATCH(ROUNDUP((J$1)/10,0)*10,[1]Hugst!$R$4:$W$4,0))))</f>
        <v>372.69135903281409</v>
      </c>
      <c r="K20">
        <f ca="1">IF($C20-K$1&lt;År1,0,J19*(1-VLOOKUP($A20,[1]Hugst!$R$5:$W$9,MATCH(ROUNDUP((K$1)/10,0)*10,[1]Hugst!$R$4:$W$4,0))))</f>
        <v>373.2008819611379</v>
      </c>
      <c r="L20">
        <f ca="1">IF($C20-L$1&lt;År1,0,K19*(1-VLOOKUP($A20,[1]Hugst!$R$5:$W$9,MATCH(ROUNDUP((L$1)/10,0)*10,[1]Hugst!$R$4:$W$4,0))))</f>
        <v>373.71296530619003</v>
      </c>
      <c r="M20">
        <f ca="1">IF($C20-M$1&lt;År1,0,L19*(1-VLOOKUP($A20,[1]Hugst!$R$5:$W$9,MATCH(ROUNDUP((M$1)/10,0)*10,[1]Hugst!$R$4:$W$4,0))))</f>
        <v>374.22762193437535</v>
      </c>
      <c r="N20">
        <f ca="1">IF($C20-N$1&lt;År1,0,M19*(1-VLOOKUP($A20,[1]Hugst!$R$5:$W$9,MATCH(ROUNDUP((N$1)/10,0)*10,[1]Hugst!$R$4:$W$4,0))))</f>
        <v>596.71456174648119</v>
      </c>
      <c r="O20">
        <f ca="1">IF($C20-O$1&lt;År1,0,N19*(1-VLOOKUP($A20,[1]Hugst!$R$5:$W$9,MATCH(ROUNDUP((O$1)/10,0)*10,[1]Hugst!$R$4:$W$4,0))))</f>
        <v>597.23440379914155</v>
      </c>
      <c r="P20">
        <f ca="1">IF($C20-P$1&lt;År1,0,O19*(1-VLOOKUP($A20,[1]Hugst!$R$5:$W$9,MATCH(ROUNDUP((P$1)/10,0)*10,[1]Hugst!$R$4:$W$4,0))))</f>
        <v>597.75685812343352</v>
      </c>
      <c r="Q20">
        <f ca="1">IF($C20-Q$1&lt;År1,0,P19*(1-VLOOKUP($A20,[1]Hugst!$R$5:$W$9,MATCH(ROUNDUP((Q$1)/10,0)*10,[1]Hugst!$R$4:$W$4,0))))</f>
        <v>598.28193784633402</v>
      </c>
      <c r="R20">
        <f ca="1">IF($C20-R$1&lt;År1,0,Q19*(1-VLOOKUP($A20,[1]Hugst!$R$5:$W$9,MATCH(ROUNDUP((R$1)/10,0)*10,[1]Hugst!$R$4:$W$4,0))))</f>
        <v>598.80965616080709</v>
      </c>
      <c r="S20">
        <f ca="1">IF($C20-S$1&lt;År1,0,R19*(1-VLOOKUP($A20,[1]Hugst!$R$5:$W$9,MATCH(ROUNDUP((S$1)/10,0)*10,[1]Hugst!$R$4:$W$4,0))))</f>
        <v>599.34002632610714</v>
      </c>
      <c r="T20">
        <f ca="1">IF($C20-T$1&lt;År1,0,S19*(1-VLOOKUP($A20,[1]Hugst!$R$5:$W$9,MATCH(ROUNDUP((T$1)/10,0)*10,[1]Hugst!$R$4:$W$4,0))))</f>
        <v>599.87306166811823</v>
      </c>
      <c r="U20">
        <f ca="1">IF($C20-U$1&lt;År1,0,T19*(1-VLOOKUP($A20,[1]Hugst!$R$5:$W$9,MATCH(ROUNDUP((U$1)/10,0)*10,[1]Hugst!$R$4:$W$4,0))))</f>
        <v>600.40877557968702</v>
      </c>
      <c r="V20">
        <f ca="1">IF($C20-V$1&lt;År1,0,U19*(1-VLOOKUP($A20,[1]Hugst!$R$5:$W$9,MATCH(ROUNDUP((V$1)/10,0)*10,[1]Hugst!$R$4:$W$4,0))))</f>
        <v>600.94718152096243</v>
      </c>
      <c r="W20">
        <f ca="1">IF($C20-W$1&lt;År1,0,V19*(1-VLOOKUP($A20,[1]Hugst!$R$5:$W$9,MATCH(ROUNDUP((W$1)/10,0)*10,[1]Hugst!$R$4:$W$4,0))))</f>
        <v>601.48829301972796</v>
      </c>
      <c r="X20">
        <f ca="1">IF($C20-X$1&lt;År1,0,W19*(1-VLOOKUP($A20,[1]Hugst!$R$5:$W$9,MATCH(ROUNDUP((X$1)/10,0)*10,[1]Hugst!$R$4:$W$4,0))))</f>
        <v>602.03212367175934</v>
      </c>
      <c r="Y20">
        <f>IF($C20-Y$1&lt;År1,0,X19*(1-VLOOKUP($A20,[1]Hugst!$R$5:$W$9,MATCH(ROUNDUP((Y$1)/10,0)*10,[1]Hugst!$R$4:$W$4,0))))</f>
        <v>0</v>
      </c>
      <c r="Z20">
        <f>IF($C20-Z$1&lt;År1,0,Y19*(1-VLOOKUP($A20,[1]Hugst!$R$5:$W$9,MATCH(ROUNDUP((Z$1)/10,0)*10,[1]Hugst!$R$4:$W$4,0))))</f>
        <v>0</v>
      </c>
      <c r="AA20">
        <f>IF($C20-AA$1&lt;År1,0,Z19*(1-VLOOKUP($A20,[1]Hugst!$R$5:$W$9,MATCH(ROUNDUP((AA$1)/10,0)*10,[1]Hugst!$R$4:$W$4,0))))</f>
        <v>0</v>
      </c>
      <c r="AB20">
        <f>IF($C20-AB$1&lt;År1,0,AA19*(1-VLOOKUP($A20,[1]Hugst!$R$5:$W$9,MATCH(ROUNDUP((AB$1)/10,0)*10,[1]Hugst!$R$4:$W$4,0))))</f>
        <v>0</v>
      </c>
      <c r="AC20">
        <f>IF($C20-AC$1&lt;År1,0,AB19*(1-VLOOKUP($A20,[1]Hugst!$R$5:$W$9,MATCH(ROUNDUP((AC$1)/10,0)*10,[1]Hugst!$R$4:$W$4,0))))</f>
        <v>0</v>
      </c>
      <c r="AD20">
        <f>IF($C20-AD$1&lt;År1,0,AC19*(1-VLOOKUP($A20,[1]Hugst!$R$5:$W$9,MATCH(ROUNDUP((AD$1)/10,0)*10,[1]Hugst!$R$4:$W$4,0))))</f>
        <v>0</v>
      </c>
      <c r="AE20">
        <f>IF($C20-AE$1&lt;År1,0,AD19*(1-VLOOKUP($A20,[1]Hugst!$R$5:$W$9,MATCH(ROUNDUP((AE$1)/10,0)*10,[1]Hugst!$R$4:$W$4,0))))</f>
        <v>0</v>
      </c>
      <c r="AF20">
        <f>IF($C20-AF$1&lt;År1,0,AE19*(1-VLOOKUP($A20,[1]Hugst!$R$5:$W$9,MATCH(ROUNDUP((AF$1)/10,0)*10,[1]Hugst!$R$4:$W$4,0))))</f>
        <v>0</v>
      </c>
      <c r="AG20">
        <f>IF($C20-AG$1&lt;År1,0,AF19*(1-VLOOKUP($A20,[1]Hugst!$R$5:$W$9,MATCH(ROUNDUP((AG$1)/10,0)*10,[1]Hugst!$R$4:$W$4,0))))</f>
        <v>0</v>
      </c>
      <c r="AH20">
        <f>IF($C20-AH$1&lt;År1,0,AG19*(1-VLOOKUP($A20,[1]Hugst!$R$5:$W$9,MATCH(ROUNDUP((AH$1)/10,0)*10,[1]Hugst!$R$4:$W$4,0))))</f>
        <v>0</v>
      </c>
      <c r="AI20">
        <f>IF($C20-AI$1&lt;År1,0,AH19*(1-VLOOKUP($A20,[1]Hugst!$R$5:$W$9,MATCH(ROUNDUP((AI$1)/10,0)*10,[1]Hugst!$R$4:$W$4,0))))</f>
        <v>0</v>
      </c>
      <c r="AJ20">
        <f>IF($C20-AJ$1&lt;År1,0,AI19*(1-VLOOKUP($A20,[1]Hugst!$R$5:$W$9,MATCH(ROUNDUP((AJ$1)/10,0)*10,[1]Hugst!$R$4:$W$4,0))))</f>
        <v>0</v>
      </c>
    </row>
    <row r="21" spans="1:38" x14ac:dyDescent="0.25">
      <c r="A21" t="s">
        <v>176</v>
      </c>
      <c r="B21" t="s">
        <v>23</v>
      </c>
      <c r="C21">
        <v>2039</v>
      </c>
      <c r="D21" cm="1">
        <f t="array" ref="D21">(IF(B21="Vestdanmark",Skovbrug!$C$22-(Skovbrug!$C$22)*(1-Skovbrug!$C$9)^(C21-Skovbrug!$B$12),Skovbrug!$F$22-(Skovbrug!$F$22)*(1-Skovbrug!$C$9)^(C21-Skovbrug!$B$12)))*VLOOKUP(A21,Skovbrug!$A$13:$D$17,IF('Skovbrug-alder'!C21&lt;=År2,3,4),FALSE)
-IF(C21&gt;2020,SUM(INDEX($C$1:$D$311,MATCH(1,(2020=$C$1:$C$311)*(B21=$B$1:$B$311)*(A21=$A$1:$A$311),0),2):D20),0)</f>
        <v>98.885408506501562</v>
      </c>
      <c r="E21">
        <f t="shared" ca="1" si="0"/>
        <v>0</v>
      </c>
      <c r="F21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370.18170480279792</v>
      </c>
      <c r="G21">
        <f ca="1">IF($C21-G$1&lt;År1,0,F20*(1-VLOOKUP($A21,[1]Hugst!$R$5:$W$9,MATCH(ROUNDUP((G$1)/10,0)*10,[1]Hugst!$R$4:$W$4,0))))</f>
        <v>370.67861640333882</v>
      </c>
      <c r="H21">
        <f ca="1">IF($C21-H$1&lt;År1,0,G20*(1-VLOOKUP($A21,[1]Hugst!$R$5:$W$9,MATCH(ROUNDUP((H$1)/10,0)*10,[1]Hugst!$R$4:$W$4,0))))</f>
        <v>371.17802504708953</v>
      </c>
      <c r="I21">
        <f ca="1">IF($C21-I$1&lt;År1,0,H20*(1-VLOOKUP($A21,[1]Hugst!$R$5:$W$9,MATCH(ROUNDUP((I$1)/10,0)*10,[1]Hugst!$R$4:$W$4,0))))</f>
        <v>371.679943282019</v>
      </c>
      <c r="J21">
        <f ca="1">IF($C21-J$1&lt;År1,0,I20*(1-VLOOKUP($A21,[1]Hugst!$R$5:$W$9,MATCH(ROUNDUP((J$1)/10,0)*10,[1]Hugst!$R$4:$W$4,0))))</f>
        <v>372.18438371913368</v>
      </c>
      <c r="K21">
        <f ca="1">IF($C21-K$1&lt;År1,0,J20*(1-VLOOKUP($A21,[1]Hugst!$R$5:$W$9,MATCH(ROUNDUP((K$1)/10,0)*10,[1]Hugst!$R$4:$W$4,0))))</f>
        <v>372.69135903281409</v>
      </c>
      <c r="L21">
        <f ca="1">IF($C21-L$1&lt;År1,0,K20*(1-VLOOKUP($A21,[1]Hugst!$R$5:$W$9,MATCH(ROUNDUP((L$1)/10,0)*10,[1]Hugst!$R$4:$W$4,0))))</f>
        <v>373.2008819611379</v>
      </c>
      <c r="M21">
        <f ca="1">IF($C21-M$1&lt;År1,0,L20*(1-VLOOKUP($A21,[1]Hugst!$R$5:$W$9,MATCH(ROUNDUP((M$1)/10,0)*10,[1]Hugst!$R$4:$W$4,0))))</f>
        <v>373.71296530619003</v>
      </c>
      <c r="N21">
        <f ca="1">IF($C21-N$1&lt;År1,0,M20*(1-VLOOKUP($A21,[1]Hugst!$R$5:$W$9,MATCH(ROUNDUP((N$1)/10,0)*10,[1]Hugst!$R$4:$W$4,0))))</f>
        <v>374.22762193437535</v>
      </c>
      <c r="O21">
        <f ca="1">IF($C21-O$1&lt;År1,0,N20*(1-VLOOKUP($A21,[1]Hugst!$R$5:$W$9,MATCH(ROUNDUP((O$1)/10,0)*10,[1]Hugst!$R$4:$W$4,0))))</f>
        <v>596.71456174648119</v>
      </c>
      <c r="P21">
        <f ca="1">IF($C21-P$1&lt;År1,0,O20*(1-VLOOKUP($A21,[1]Hugst!$R$5:$W$9,MATCH(ROUNDUP((P$1)/10,0)*10,[1]Hugst!$R$4:$W$4,0))))</f>
        <v>597.23440379914155</v>
      </c>
      <c r="Q21">
        <f ca="1">IF($C21-Q$1&lt;År1,0,P20*(1-VLOOKUP($A21,[1]Hugst!$R$5:$W$9,MATCH(ROUNDUP((Q$1)/10,0)*10,[1]Hugst!$R$4:$W$4,0))))</f>
        <v>597.75685812343352</v>
      </c>
      <c r="R21">
        <f ca="1">IF($C21-R$1&lt;År1,0,Q20*(1-VLOOKUP($A21,[1]Hugst!$R$5:$W$9,MATCH(ROUNDUP((R$1)/10,0)*10,[1]Hugst!$R$4:$W$4,0))))</f>
        <v>598.28193784633402</v>
      </c>
      <c r="S21">
        <f ca="1">IF($C21-S$1&lt;År1,0,R20*(1-VLOOKUP($A21,[1]Hugst!$R$5:$W$9,MATCH(ROUNDUP((S$1)/10,0)*10,[1]Hugst!$R$4:$W$4,0))))</f>
        <v>598.80965616080709</v>
      </c>
      <c r="T21">
        <f ca="1">IF($C21-T$1&lt;År1,0,S20*(1-VLOOKUP($A21,[1]Hugst!$R$5:$W$9,MATCH(ROUNDUP((T$1)/10,0)*10,[1]Hugst!$R$4:$W$4,0))))</f>
        <v>599.34002632610714</v>
      </c>
      <c r="U21">
        <f ca="1">IF($C21-U$1&lt;År1,0,T20*(1-VLOOKUP($A21,[1]Hugst!$R$5:$W$9,MATCH(ROUNDUP((U$1)/10,0)*10,[1]Hugst!$R$4:$W$4,0))))</f>
        <v>599.87306166811823</v>
      </c>
      <c r="V21">
        <f ca="1">IF($C21-V$1&lt;År1,0,U20*(1-VLOOKUP($A21,[1]Hugst!$R$5:$W$9,MATCH(ROUNDUP((V$1)/10,0)*10,[1]Hugst!$R$4:$W$4,0))))</f>
        <v>600.40877557968702</v>
      </c>
      <c r="W21">
        <f ca="1">IF($C21-W$1&lt;År1,0,V20*(1-VLOOKUP($A21,[1]Hugst!$R$5:$W$9,MATCH(ROUNDUP((W$1)/10,0)*10,[1]Hugst!$R$4:$W$4,0))))</f>
        <v>600.94718152096243</v>
      </c>
      <c r="X21">
        <f ca="1">IF($C21-X$1&lt;År1,0,W20*(1-VLOOKUP($A21,[1]Hugst!$R$5:$W$9,MATCH(ROUNDUP((X$1)/10,0)*10,[1]Hugst!$R$4:$W$4,0))))</f>
        <v>601.48829301972796</v>
      </c>
      <c r="Y21">
        <f ca="1">IF($C21-Y$1&lt;År1,0,X20*(1-VLOOKUP($A21,[1]Hugst!$R$5:$W$9,MATCH(ROUNDUP((Y$1)/10,0)*10,[1]Hugst!$R$4:$W$4,0))))</f>
        <v>602.03212367175934</v>
      </c>
      <c r="Z21">
        <f>IF($C21-Z$1&lt;År1,0,Y20*(1-VLOOKUP($A21,[1]Hugst!$R$5:$W$9,MATCH(ROUNDUP((Z$1)/10,0)*10,[1]Hugst!$R$4:$W$4,0))))</f>
        <v>0</v>
      </c>
      <c r="AA21">
        <f>IF($C21-AA$1&lt;År1,0,Z20*(1-VLOOKUP($A21,[1]Hugst!$R$5:$W$9,MATCH(ROUNDUP((AA$1)/10,0)*10,[1]Hugst!$R$4:$W$4,0))))</f>
        <v>0</v>
      </c>
      <c r="AB21">
        <f>IF($C21-AB$1&lt;År1,0,AA20*(1-VLOOKUP($A21,[1]Hugst!$R$5:$W$9,MATCH(ROUNDUP((AB$1)/10,0)*10,[1]Hugst!$R$4:$W$4,0))))</f>
        <v>0</v>
      </c>
      <c r="AC21">
        <f>IF($C21-AC$1&lt;År1,0,AB20*(1-VLOOKUP($A21,[1]Hugst!$R$5:$W$9,MATCH(ROUNDUP((AC$1)/10,0)*10,[1]Hugst!$R$4:$W$4,0))))</f>
        <v>0</v>
      </c>
      <c r="AD21">
        <f>IF($C21-AD$1&lt;År1,0,AC20*(1-VLOOKUP($A21,[1]Hugst!$R$5:$W$9,MATCH(ROUNDUP((AD$1)/10,0)*10,[1]Hugst!$R$4:$W$4,0))))</f>
        <v>0</v>
      </c>
      <c r="AE21">
        <f>IF($C21-AE$1&lt;År1,0,AD20*(1-VLOOKUP($A21,[1]Hugst!$R$5:$W$9,MATCH(ROUNDUP((AE$1)/10,0)*10,[1]Hugst!$R$4:$W$4,0))))</f>
        <v>0</v>
      </c>
      <c r="AF21">
        <f>IF($C21-AF$1&lt;År1,0,AE20*(1-VLOOKUP($A21,[1]Hugst!$R$5:$W$9,MATCH(ROUNDUP((AF$1)/10,0)*10,[1]Hugst!$R$4:$W$4,0))))</f>
        <v>0</v>
      </c>
      <c r="AG21">
        <f>IF($C21-AG$1&lt;År1,0,AF20*(1-VLOOKUP($A21,[1]Hugst!$R$5:$W$9,MATCH(ROUNDUP((AG$1)/10,0)*10,[1]Hugst!$R$4:$W$4,0))))</f>
        <v>0</v>
      </c>
      <c r="AH21">
        <f>IF($C21-AH$1&lt;År1,0,AG20*(1-VLOOKUP($A21,[1]Hugst!$R$5:$W$9,MATCH(ROUNDUP((AH$1)/10,0)*10,[1]Hugst!$R$4:$W$4,0))))</f>
        <v>0</v>
      </c>
      <c r="AI21">
        <f>IF($C21-AI$1&lt;År1,0,AH20*(1-VLOOKUP($A21,[1]Hugst!$R$5:$W$9,MATCH(ROUNDUP((AI$1)/10,0)*10,[1]Hugst!$R$4:$W$4,0))))</f>
        <v>0</v>
      </c>
      <c r="AJ21">
        <f>IF($C21-AJ$1&lt;År1,0,AI20*(1-VLOOKUP($A21,[1]Hugst!$R$5:$W$9,MATCH(ROUNDUP((AJ$1)/10,0)*10,[1]Hugst!$R$4:$W$4,0))))</f>
        <v>0</v>
      </c>
    </row>
    <row r="22" spans="1:38" x14ac:dyDescent="0.25">
      <c r="A22" t="s">
        <v>176</v>
      </c>
      <c r="B22" t="s">
        <v>23</v>
      </c>
      <c r="C22">
        <v>2040</v>
      </c>
      <c r="D22" cm="1">
        <f t="array" ref="D22">(IF(B22="Vestdanmark",Skovbrug!$C$22-(Skovbrug!$C$22)*(1-Skovbrug!$C$9)^(C22-Skovbrug!$B$12),Skovbrug!$F$22-(Skovbrug!$F$22)*(1-Skovbrug!$C$9)^(C22-Skovbrug!$B$12)))*VLOOKUP(A22,Skovbrug!$A$13:$D$17,IF('Skovbrug-alder'!C22&lt;=År2,3,4),FALSE)
-IF(C22&gt;2020,SUM(INDEX($C$1:$D$311,MATCH(1,(2020=$C$1:$C$311)*(B22=$B$1:$B$311)*(A22=$A$1:$A$311),0),2):D21),0)</f>
        <v>98.390981463971457</v>
      </c>
      <c r="E22">
        <f t="shared" ca="1" si="0"/>
        <v>0</v>
      </c>
      <c r="F22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369.68727776026782</v>
      </c>
      <c r="G22">
        <f ca="1">IF($C22-G$1&lt;År1,0,F21*(1-VLOOKUP($A22,[1]Hugst!$R$5:$W$9,MATCH(ROUNDUP((G$1)/10,0)*10,[1]Hugst!$R$4:$W$4,0))))</f>
        <v>370.18170480279792</v>
      </c>
      <c r="H22">
        <f ca="1">IF($C22-H$1&lt;År1,0,G21*(1-VLOOKUP($A22,[1]Hugst!$R$5:$W$9,MATCH(ROUNDUP((H$1)/10,0)*10,[1]Hugst!$R$4:$W$4,0))))</f>
        <v>370.67861640333882</v>
      </c>
      <c r="I22">
        <f ca="1">IF($C22-I$1&lt;År1,0,H21*(1-VLOOKUP($A22,[1]Hugst!$R$5:$W$9,MATCH(ROUNDUP((I$1)/10,0)*10,[1]Hugst!$R$4:$W$4,0))))</f>
        <v>371.17802504708953</v>
      </c>
      <c r="J22">
        <f ca="1">IF($C22-J$1&lt;År1,0,I21*(1-VLOOKUP($A22,[1]Hugst!$R$5:$W$9,MATCH(ROUNDUP((J$1)/10,0)*10,[1]Hugst!$R$4:$W$4,0))))</f>
        <v>371.679943282019</v>
      </c>
      <c r="K22">
        <f ca="1">IF($C22-K$1&lt;År1,0,J21*(1-VLOOKUP($A22,[1]Hugst!$R$5:$W$9,MATCH(ROUNDUP((K$1)/10,0)*10,[1]Hugst!$R$4:$W$4,0))))</f>
        <v>372.18438371913368</v>
      </c>
      <c r="L22">
        <f ca="1">IF($C22-L$1&lt;År1,0,K21*(1-VLOOKUP($A22,[1]Hugst!$R$5:$W$9,MATCH(ROUNDUP((L$1)/10,0)*10,[1]Hugst!$R$4:$W$4,0))))</f>
        <v>372.69135903281409</v>
      </c>
      <c r="M22">
        <f ca="1">IF($C22-M$1&lt;År1,0,L21*(1-VLOOKUP($A22,[1]Hugst!$R$5:$W$9,MATCH(ROUNDUP((M$1)/10,0)*10,[1]Hugst!$R$4:$W$4,0))))</f>
        <v>373.2008819611379</v>
      </c>
      <c r="N22">
        <f ca="1">IF($C22-N$1&lt;År1,0,M21*(1-VLOOKUP($A22,[1]Hugst!$R$5:$W$9,MATCH(ROUNDUP((N$1)/10,0)*10,[1]Hugst!$R$4:$W$4,0))))</f>
        <v>373.71296530619003</v>
      </c>
      <c r="O22">
        <f ca="1">IF($C22-O$1&lt;År1,0,N21*(1-VLOOKUP($A22,[1]Hugst!$R$5:$W$9,MATCH(ROUNDUP((O$1)/10,0)*10,[1]Hugst!$R$4:$W$4,0))))</f>
        <v>374.22762193437535</v>
      </c>
      <c r="P22">
        <f ca="1">IF($C22-P$1&lt;År1,0,O21*(1-VLOOKUP($A22,[1]Hugst!$R$5:$W$9,MATCH(ROUNDUP((P$1)/10,0)*10,[1]Hugst!$R$4:$W$4,0))))</f>
        <v>596.71456174648119</v>
      </c>
      <c r="Q22">
        <f ca="1">IF($C22-Q$1&lt;År1,0,P21*(1-VLOOKUP($A22,[1]Hugst!$R$5:$W$9,MATCH(ROUNDUP((Q$1)/10,0)*10,[1]Hugst!$R$4:$W$4,0))))</f>
        <v>597.23440379914155</v>
      </c>
      <c r="R22">
        <f ca="1">IF($C22-R$1&lt;År1,0,Q21*(1-VLOOKUP($A22,[1]Hugst!$R$5:$W$9,MATCH(ROUNDUP((R$1)/10,0)*10,[1]Hugst!$R$4:$W$4,0))))</f>
        <v>597.75685812343352</v>
      </c>
      <c r="S22">
        <f ca="1">IF($C22-S$1&lt;År1,0,R21*(1-VLOOKUP($A22,[1]Hugst!$R$5:$W$9,MATCH(ROUNDUP((S$1)/10,0)*10,[1]Hugst!$R$4:$W$4,0))))</f>
        <v>598.28193784633402</v>
      </c>
      <c r="T22">
        <f ca="1">IF($C22-T$1&lt;År1,0,S21*(1-VLOOKUP($A22,[1]Hugst!$R$5:$W$9,MATCH(ROUNDUP((T$1)/10,0)*10,[1]Hugst!$R$4:$W$4,0))))</f>
        <v>598.80965616080709</v>
      </c>
      <c r="U22">
        <f ca="1">IF($C22-U$1&lt;År1,0,T21*(1-VLOOKUP($A22,[1]Hugst!$R$5:$W$9,MATCH(ROUNDUP((U$1)/10,0)*10,[1]Hugst!$R$4:$W$4,0))))</f>
        <v>599.34002632610714</v>
      </c>
      <c r="V22">
        <f ca="1">IF($C22-V$1&lt;År1,0,U21*(1-VLOOKUP($A22,[1]Hugst!$R$5:$W$9,MATCH(ROUNDUP((V$1)/10,0)*10,[1]Hugst!$R$4:$W$4,0))))</f>
        <v>599.87306166811823</v>
      </c>
      <c r="W22">
        <f ca="1">IF($C22-W$1&lt;År1,0,V21*(1-VLOOKUP($A22,[1]Hugst!$R$5:$W$9,MATCH(ROUNDUP((W$1)/10,0)*10,[1]Hugst!$R$4:$W$4,0))))</f>
        <v>600.40877557968702</v>
      </c>
      <c r="X22">
        <f ca="1">IF($C22-X$1&lt;År1,0,W21*(1-VLOOKUP($A22,[1]Hugst!$R$5:$W$9,MATCH(ROUNDUP((X$1)/10,0)*10,[1]Hugst!$R$4:$W$4,0))))</f>
        <v>600.94718152096243</v>
      </c>
      <c r="Y22">
        <f ca="1">IF($C22-Y$1&lt;År1,0,X21*(1-VLOOKUP($A22,[1]Hugst!$R$5:$W$9,MATCH(ROUNDUP((Y$1)/10,0)*10,[1]Hugst!$R$4:$W$4,0))))</f>
        <v>601.48829301972796</v>
      </c>
      <c r="Z22">
        <f ca="1">IF($C22-Z$1&lt;År1,0,Y21*(1-VLOOKUP($A22,[1]Hugst!$R$5:$W$9,MATCH(ROUNDUP((Z$1)/10,0)*10,[1]Hugst!$R$4:$W$4,0))))</f>
        <v>602.03212367175934</v>
      </c>
      <c r="AA22">
        <f>IF($C22-AA$1&lt;År1,0,Z21*(1-VLOOKUP($A22,[1]Hugst!$R$5:$W$9,MATCH(ROUNDUP((AA$1)/10,0)*10,[1]Hugst!$R$4:$W$4,0))))</f>
        <v>0</v>
      </c>
      <c r="AB22">
        <f>IF($C22-AB$1&lt;År1,0,AA21*(1-VLOOKUP($A22,[1]Hugst!$R$5:$W$9,MATCH(ROUNDUP((AB$1)/10,0)*10,[1]Hugst!$R$4:$W$4,0))))</f>
        <v>0</v>
      </c>
      <c r="AC22">
        <f>IF($C22-AC$1&lt;År1,0,AB21*(1-VLOOKUP($A22,[1]Hugst!$R$5:$W$9,MATCH(ROUNDUP((AC$1)/10,0)*10,[1]Hugst!$R$4:$W$4,0))))</f>
        <v>0</v>
      </c>
      <c r="AD22">
        <f>IF($C22-AD$1&lt;År1,0,AC21*(1-VLOOKUP($A22,[1]Hugst!$R$5:$W$9,MATCH(ROUNDUP((AD$1)/10,0)*10,[1]Hugst!$R$4:$W$4,0))))</f>
        <v>0</v>
      </c>
      <c r="AE22">
        <f>IF($C22-AE$1&lt;År1,0,AD21*(1-VLOOKUP($A22,[1]Hugst!$R$5:$W$9,MATCH(ROUNDUP((AE$1)/10,0)*10,[1]Hugst!$R$4:$W$4,0))))</f>
        <v>0</v>
      </c>
      <c r="AF22">
        <f>IF($C22-AF$1&lt;År1,0,AE21*(1-VLOOKUP($A22,[1]Hugst!$R$5:$W$9,MATCH(ROUNDUP((AF$1)/10,0)*10,[1]Hugst!$R$4:$W$4,0))))</f>
        <v>0</v>
      </c>
      <c r="AG22">
        <f>IF($C22-AG$1&lt;År1,0,AF21*(1-VLOOKUP($A22,[1]Hugst!$R$5:$W$9,MATCH(ROUNDUP((AG$1)/10,0)*10,[1]Hugst!$R$4:$W$4,0))))</f>
        <v>0</v>
      </c>
      <c r="AH22">
        <f>IF($C22-AH$1&lt;År1,0,AG21*(1-VLOOKUP($A22,[1]Hugst!$R$5:$W$9,MATCH(ROUNDUP((AH$1)/10,0)*10,[1]Hugst!$R$4:$W$4,0))))</f>
        <v>0</v>
      </c>
      <c r="AI22">
        <f>IF($C22-AI$1&lt;År1,0,AH21*(1-VLOOKUP($A22,[1]Hugst!$R$5:$W$9,MATCH(ROUNDUP((AI$1)/10,0)*10,[1]Hugst!$R$4:$W$4,0))))</f>
        <v>0</v>
      </c>
      <c r="AJ22">
        <f>IF($C22-AJ$1&lt;År1,0,AI21*(1-VLOOKUP($A22,[1]Hugst!$R$5:$W$9,MATCH(ROUNDUP((AJ$1)/10,0)*10,[1]Hugst!$R$4:$W$4,0))))</f>
        <v>0</v>
      </c>
    </row>
    <row r="23" spans="1:38" x14ac:dyDescent="0.25">
      <c r="A23" t="s">
        <v>176</v>
      </c>
      <c r="B23" t="s">
        <v>23</v>
      </c>
      <c r="C23">
        <v>2041</v>
      </c>
      <c r="D23" cm="1">
        <f t="array" ref="D23">(IF(B23="Vestdanmark",Skovbrug!$C$22-(Skovbrug!$C$22)*(1-Skovbrug!$C$9)^(C23-Skovbrug!$B$12),Skovbrug!$F$22-(Skovbrug!$F$22)*(1-Skovbrug!$C$9)^(C23-Skovbrug!$B$12)))*VLOOKUP(A23,Skovbrug!$A$13:$D$17,IF('Skovbrug-alder'!C23&lt;=År2,3,4),FALSE)
-IF(C23&gt;2020,SUM(INDEX($C$1:$D$311,MATCH(1,(2020=$C$1:$C$311)*(B23=$B$1:$B$311)*(A23=$A$1:$A$311),0),2):D22),0)</f>
        <v>97.899026556653553</v>
      </c>
      <c r="E23">
        <f t="shared" ca="1" si="0"/>
        <v>0</v>
      </c>
      <c r="F23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369.19532285294991</v>
      </c>
      <c r="G23">
        <f ca="1">IF($C23-G$1&lt;År1,0,F22*(1-VLOOKUP($A23,[1]Hugst!$R$5:$W$9,MATCH(ROUNDUP((G$1)/10,0)*10,[1]Hugst!$R$4:$W$4,0))))</f>
        <v>369.68727776026782</v>
      </c>
      <c r="H23">
        <f ca="1">IF($C23-H$1&lt;År1,0,G22*(1-VLOOKUP($A23,[1]Hugst!$R$5:$W$9,MATCH(ROUNDUP((H$1)/10,0)*10,[1]Hugst!$R$4:$W$4,0))))</f>
        <v>370.18170480279792</v>
      </c>
      <c r="I23">
        <f ca="1">IF($C23-I$1&lt;År1,0,H22*(1-VLOOKUP($A23,[1]Hugst!$R$5:$W$9,MATCH(ROUNDUP((I$1)/10,0)*10,[1]Hugst!$R$4:$W$4,0))))</f>
        <v>370.67861640333882</v>
      </c>
      <c r="J23">
        <f ca="1">IF($C23-J$1&lt;År1,0,I22*(1-VLOOKUP($A23,[1]Hugst!$R$5:$W$9,MATCH(ROUNDUP((J$1)/10,0)*10,[1]Hugst!$R$4:$W$4,0))))</f>
        <v>371.17802504708953</v>
      </c>
      <c r="K23">
        <f ca="1">IF($C23-K$1&lt;År1,0,J22*(1-VLOOKUP($A23,[1]Hugst!$R$5:$W$9,MATCH(ROUNDUP((K$1)/10,0)*10,[1]Hugst!$R$4:$W$4,0))))</f>
        <v>371.679943282019</v>
      </c>
      <c r="L23">
        <f ca="1">IF($C23-L$1&lt;År1,0,K22*(1-VLOOKUP($A23,[1]Hugst!$R$5:$W$9,MATCH(ROUNDUP((L$1)/10,0)*10,[1]Hugst!$R$4:$W$4,0))))</f>
        <v>372.18438371913368</v>
      </c>
      <c r="M23">
        <f ca="1">IF($C23-M$1&lt;År1,0,L22*(1-VLOOKUP($A23,[1]Hugst!$R$5:$W$9,MATCH(ROUNDUP((M$1)/10,0)*10,[1]Hugst!$R$4:$W$4,0))))</f>
        <v>372.69135903281409</v>
      </c>
      <c r="N23">
        <f ca="1">IF($C23-N$1&lt;År1,0,M22*(1-VLOOKUP($A23,[1]Hugst!$R$5:$W$9,MATCH(ROUNDUP((N$1)/10,0)*10,[1]Hugst!$R$4:$W$4,0))))</f>
        <v>373.2008819611379</v>
      </c>
      <c r="O23">
        <f ca="1">IF($C23-O$1&lt;År1,0,N22*(1-VLOOKUP($A23,[1]Hugst!$R$5:$W$9,MATCH(ROUNDUP((O$1)/10,0)*10,[1]Hugst!$R$4:$W$4,0))))</f>
        <v>373.71296530619003</v>
      </c>
      <c r="P23">
        <f ca="1">IF($C23-P$1&lt;År1,0,O22*(1-VLOOKUP($A23,[1]Hugst!$R$5:$W$9,MATCH(ROUNDUP((P$1)/10,0)*10,[1]Hugst!$R$4:$W$4,0))))</f>
        <v>374.22762193437535</v>
      </c>
      <c r="Q23">
        <f ca="1">IF($C23-Q$1&lt;År1,0,P22*(1-VLOOKUP($A23,[1]Hugst!$R$5:$W$9,MATCH(ROUNDUP((Q$1)/10,0)*10,[1]Hugst!$R$4:$W$4,0))))</f>
        <v>596.71456174648119</v>
      </c>
      <c r="R23">
        <f ca="1">IF($C23-R$1&lt;År1,0,Q22*(1-VLOOKUP($A23,[1]Hugst!$R$5:$W$9,MATCH(ROUNDUP((R$1)/10,0)*10,[1]Hugst!$R$4:$W$4,0))))</f>
        <v>597.23440379914155</v>
      </c>
      <c r="S23">
        <f ca="1">IF($C23-S$1&lt;År1,0,R22*(1-VLOOKUP($A23,[1]Hugst!$R$5:$W$9,MATCH(ROUNDUP((S$1)/10,0)*10,[1]Hugst!$R$4:$W$4,0))))</f>
        <v>597.75685812343352</v>
      </c>
      <c r="T23">
        <f ca="1">IF($C23-T$1&lt;År1,0,S22*(1-VLOOKUP($A23,[1]Hugst!$R$5:$W$9,MATCH(ROUNDUP((T$1)/10,0)*10,[1]Hugst!$R$4:$W$4,0))))</f>
        <v>598.28193784633402</v>
      </c>
      <c r="U23">
        <f ca="1">IF($C23-U$1&lt;År1,0,T22*(1-VLOOKUP($A23,[1]Hugst!$R$5:$W$9,MATCH(ROUNDUP((U$1)/10,0)*10,[1]Hugst!$R$4:$W$4,0))))</f>
        <v>598.80965616080709</v>
      </c>
      <c r="V23">
        <f ca="1">IF($C23-V$1&lt;År1,0,U22*(1-VLOOKUP($A23,[1]Hugst!$R$5:$W$9,MATCH(ROUNDUP((V$1)/10,0)*10,[1]Hugst!$R$4:$W$4,0))))</f>
        <v>599.34002632610714</v>
      </c>
      <c r="W23">
        <f ca="1">IF($C23-W$1&lt;År1,0,V22*(1-VLOOKUP($A23,[1]Hugst!$R$5:$W$9,MATCH(ROUNDUP((W$1)/10,0)*10,[1]Hugst!$R$4:$W$4,0))))</f>
        <v>599.87306166811823</v>
      </c>
      <c r="X23">
        <f ca="1">IF($C23-X$1&lt;År1,0,W22*(1-VLOOKUP($A23,[1]Hugst!$R$5:$W$9,MATCH(ROUNDUP((X$1)/10,0)*10,[1]Hugst!$R$4:$W$4,0))))</f>
        <v>600.40877557968702</v>
      </c>
      <c r="Y23">
        <f ca="1">IF($C23-Y$1&lt;År1,0,X22*(1-VLOOKUP($A23,[1]Hugst!$R$5:$W$9,MATCH(ROUNDUP((Y$1)/10,0)*10,[1]Hugst!$R$4:$W$4,0))))</f>
        <v>600.94718152096243</v>
      </c>
      <c r="Z23">
        <f ca="1">IF($C23-Z$1&lt;År1,0,Y22*(1-VLOOKUP($A23,[1]Hugst!$R$5:$W$9,MATCH(ROUNDUP((Z$1)/10,0)*10,[1]Hugst!$R$4:$W$4,0))))</f>
        <v>601.48829301972796</v>
      </c>
      <c r="AA23">
        <f ca="1">IF($C23-AA$1&lt;År1,0,Z22*(1-VLOOKUP($A23,[1]Hugst!$R$5:$W$9,MATCH(ROUNDUP((AA$1)/10,0)*10,[1]Hugst!$R$4:$W$4,0))))</f>
        <v>602.03212367175934</v>
      </c>
      <c r="AB23">
        <f>IF($C23-AB$1&lt;År1,0,AA22*(1-VLOOKUP($A23,[1]Hugst!$R$5:$W$9,MATCH(ROUNDUP((AB$1)/10,0)*10,[1]Hugst!$R$4:$W$4,0))))</f>
        <v>0</v>
      </c>
      <c r="AC23">
        <f>IF($C23-AC$1&lt;År1,0,AB22*(1-VLOOKUP($A23,[1]Hugst!$R$5:$W$9,MATCH(ROUNDUP((AC$1)/10,0)*10,[1]Hugst!$R$4:$W$4,0))))</f>
        <v>0</v>
      </c>
      <c r="AD23">
        <f>IF($C23-AD$1&lt;År1,0,AC22*(1-VLOOKUP($A23,[1]Hugst!$R$5:$W$9,MATCH(ROUNDUP((AD$1)/10,0)*10,[1]Hugst!$R$4:$W$4,0))))</f>
        <v>0</v>
      </c>
      <c r="AE23">
        <f>IF($C23-AE$1&lt;År1,0,AD22*(1-VLOOKUP($A23,[1]Hugst!$R$5:$W$9,MATCH(ROUNDUP((AE$1)/10,0)*10,[1]Hugst!$R$4:$W$4,0))))</f>
        <v>0</v>
      </c>
      <c r="AF23">
        <f>IF($C23-AF$1&lt;År1,0,AE22*(1-VLOOKUP($A23,[1]Hugst!$R$5:$W$9,MATCH(ROUNDUP((AF$1)/10,0)*10,[1]Hugst!$R$4:$W$4,0))))</f>
        <v>0</v>
      </c>
      <c r="AG23">
        <f>IF($C23-AG$1&lt;År1,0,AF22*(1-VLOOKUP($A23,[1]Hugst!$R$5:$W$9,MATCH(ROUNDUP((AG$1)/10,0)*10,[1]Hugst!$R$4:$W$4,0))))</f>
        <v>0</v>
      </c>
      <c r="AH23">
        <f>IF($C23-AH$1&lt;År1,0,AG22*(1-VLOOKUP($A23,[1]Hugst!$R$5:$W$9,MATCH(ROUNDUP((AH$1)/10,0)*10,[1]Hugst!$R$4:$W$4,0))))</f>
        <v>0</v>
      </c>
      <c r="AI23">
        <f>IF($C23-AI$1&lt;År1,0,AH22*(1-VLOOKUP($A23,[1]Hugst!$R$5:$W$9,MATCH(ROUNDUP((AI$1)/10,0)*10,[1]Hugst!$R$4:$W$4,0))))</f>
        <v>0</v>
      </c>
      <c r="AJ23">
        <f>IF($C23-AJ$1&lt;År1,0,AI22*(1-VLOOKUP($A23,[1]Hugst!$R$5:$W$9,MATCH(ROUNDUP((AJ$1)/10,0)*10,[1]Hugst!$R$4:$W$4,0))))</f>
        <v>0</v>
      </c>
    </row>
    <row r="24" spans="1:38" x14ac:dyDescent="0.25">
      <c r="A24" t="s">
        <v>176</v>
      </c>
      <c r="B24" t="s">
        <v>23</v>
      </c>
      <c r="C24">
        <v>2042</v>
      </c>
      <c r="D24" cm="1">
        <f t="array" ref="D24">(IF(B24="Vestdanmark",Skovbrug!$C$22-(Skovbrug!$C$22)*(1-Skovbrug!$C$9)^(C24-Skovbrug!$B$12),Skovbrug!$F$22-(Skovbrug!$F$22)*(1-Skovbrug!$C$9)^(C24-Skovbrug!$B$12)))*VLOOKUP(A24,Skovbrug!$A$13:$D$17,IF('Skovbrug-alder'!C24&lt;=År2,3,4),FALSE)
-IF(C24&gt;2020,SUM(INDEX($C$1:$D$311,MATCH(1,(2020=$C$1:$C$311)*(B24=$B$1:$B$311)*(A24=$A$1:$A$311),0),2):D23),0)</f>
        <v>97.409531423868884</v>
      </c>
      <c r="E24">
        <f t="shared" ca="1" si="0"/>
        <v>0</v>
      </c>
      <c r="F24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368.70582772016525</v>
      </c>
      <c r="G24">
        <f ca="1">IF($C24-G$1&lt;År1,0,F23*(1-VLOOKUP($A24,[1]Hugst!$R$5:$W$9,MATCH(ROUNDUP((G$1)/10,0)*10,[1]Hugst!$R$4:$W$4,0))))</f>
        <v>369.19532285294991</v>
      </c>
      <c r="H24">
        <f ca="1">IF($C24-H$1&lt;År1,0,G23*(1-VLOOKUP($A24,[1]Hugst!$R$5:$W$9,MATCH(ROUNDUP((H$1)/10,0)*10,[1]Hugst!$R$4:$W$4,0))))</f>
        <v>369.68727776026782</v>
      </c>
      <c r="I24">
        <f ca="1">IF($C24-I$1&lt;År1,0,H23*(1-VLOOKUP($A24,[1]Hugst!$R$5:$W$9,MATCH(ROUNDUP((I$1)/10,0)*10,[1]Hugst!$R$4:$W$4,0))))</f>
        <v>370.18170480279792</v>
      </c>
      <c r="J24">
        <f ca="1">IF($C24-J$1&lt;År1,0,I23*(1-VLOOKUP($A24,[1]Hugst!$R$5:$W$9,MATCH(ROUNDUP((J$1)/10,0)*10,[1]Hugst!$R$4:$W$4,0))))</f>
        <v>370.67861640333882</v>
      </c>
      <c r="K24">
        <f ca="1">IF($C24-K$1&lt;År1,0,J23*(1-VLOOKUP($A24,[1]Hugst!$R$5:$W$9,MATCH(ROUNDUP((K$1)/10,0)*10,[1]Hugst!$R$4:$W$4,0))))</f>
        <v>371.17802504708953</v>
      </c>
      <c r="L24">
        <f ca="1">IF($C24-L$1&lt;År1,0,K23*(1-VLOOKUP($A24,[1]Hugst!$R$5:$W$9,MATCH(ROUNDUP((L$1)/10,0)*10,[1]Hugst!$R$4:$W$4,0))))</f>
        <v>371.679943282019</v>
      </c>
      <c r="M24">
        <f ca="1">IF($C24-M$1&lt;År1,0,L23*(1-VLOOKUP($A24,[1]Hugst!$R$5:$W$9,MATCH(ROUNDUP((M$1)/10,0)*10,[1]Hugst!$R$4:$W$4,0))))</f>
        <v>372.18438371913368</v>
      </c>
      <c r="N24">
        <f ca="1">IF($C24-N$1&lt;År1,0,M23*(1-VLOOKUP($A24,[1]Hugst!$R$5:$W$9,MATCH(ROUNDUP((N$1)/10,0)*10,[1]Hugst!$R$4:$W$4,0))))</f>
        <v>372.69135903281409</v>
      </c>
      <c r="O24">
        <f ca="1">IF($C24-O$1&lt;År1,0,N23*(1-VLOOKUP($A24,[1]Hugst!$R$5:$W$9,MATCH(ROUNDUP((O$1)/10,0)*10,[1]Hugst!$R$4:$W$4,0))))</f>
        <v>373.2008819611379</v>
      </c>
      <c r="P24">
        <f ca="1">IF($C24-P$1&lt;År1,0,O23*(1-VLOOKUP($A24,[1]Hugst!$R$5:$W$9,MATCH(ROUNDUP((P$1)/10,0)*10,[1]Hugst!$R$4:$W$4,0))))</f>
        <v>373.71296530619003</v>
      </c>
      <c r="Q24">
        <f ca="1">IF($C24-Q$1&lt;År1,0,P23*(1-VLOOKUP($A24,[1]Hugst!$R$5:$W$9,MATCH(ROUNDUP((Q$1)/10,0)*10,[1]Hugst!$R$4:$W$4,0))))</f>
        <v>374.22762193437535</v>
      </c>
      <c r="R24">
        <f ca="1">IF($C24-R$1&lt;År1,0,Q23*(1-VLOOKUP($A24,[1]Hugst!$R$5:$W$9,MATCH(ROUNDUP((R$1)/10,0)*10,[1]Hugst!$R$4:$W$4,0))))</f>
        <v>596.71456174648119</v>
      </c>
      <c r="S24">
        <f ca="1">IF($C24-S$1&lt;År1,0,R23*(1-VLOOKUP($A24,[1]Hugst!$R$5:$W$9,MATCH(ROUNDUP((S$1)/10,0)*10,[1]Hugst!$R$4:$W$4,0))))</f>
        <v>597.23440379914155</v>
      </c>
      <c r="T24">
        <f ca="1">IF($C24-T$1&lt;År1,0,S23*(1-VLOOKUP($A24,[1]Hugst!$R$5:$W$9,MATCH(ROUNDUP((T$1)/10,0)*10,[1]Hugst!$R$4:$W$4,0))))</f>
        <v>597.75685812343352</v>
      </c>
      <c r="U24">
        <f ca="1">IF($C24-U$1&lt;År1,0,T23*(1-VLOOKUP($A24,[1]Hugst!$R$5:$W$9,MATCH(ROUNDUP((U$1)/10,0)*10,[1]Hugst!$R$4:$W$4,0))))</f>
        <v>598.28193784633402</v>
      </c>
      <c r="V24">
        <f ca="1">IF($C24-V$1&lt;År1,0,U23*(1-VLOOKUP($A24,[1]Hugst!$R$5:$W$9,MATCH(ROUNDUP((V$1)/10,0)*10,[1]Hugst!$R$4:$W$4,0))))</f>
        <v>598.80965616080709</v>
      </c>
      <c r="W24">
        <f ca="1">IF($C24-W$1&lt;År1,0,V23*(1-VLOOKUP($A24,[1]Hugst!$R$5:$W$9,MATCH(ROUNDUP((W$1)/10,0)*10,[1]Hugst!$R$4:$W$4,0))))</f>
        <v>599.34002632610714</v>
      </c>
      <c r="X24">
        <f ca="1">IF($C24-X$1&lt;År1,0,W23*(1-VLOOKUP($A24,[1]Hugst!$R$5:$W$9,MATCH(ROUNDUP((X$1)/10,0)*10,[1]Hugst!$R$4:$W$4,0))))</f>
        <v>599.87306166811823</v>
      </c>
      <c r="Y24">
        <f ca="1">IF($C24-Y$1&lt;År1,0,X23*(1-VLOOKUP($A24,[1]Hugst!$R$5:$W$9,MATCH(ROUNDUP((Y$1)/10,0)*10,[1]Hugst!$R$4:$W$4,0))))</f>
        <v>600.40877557968702</v>
      </c>
      <c r="Z24">
        <f ca="1">IF($C24-Z$1&lt;År1,0,Y23*(1-VLOOKUP($A24,[1]Hugst!$R$5:$W$9,MATCH(ROUNDUP((Z$1)/10,0)*10,[1]Hugst!$R$4:$W$4,0))))</f>
        <v>600.94718152096243</v>
      </c>
      <c r="AA24">
        <f ca="1">IF($C24-AA$1&lt;År1,0,Z23*(1-VLOOKUP($A24,[1]Hugst!$R$5:$W$9,MATCH(ROUNDUP((AA$1)/10,0)*10,[1]Hugst!$R$4:$W$4,0))))</f>
        <v>601.48829301972796</v>
      </c>
      <c r="AB24">
        <f ca="1">IF($C24-AB$1&lt;År1,0,AA23*(1-VLOOKUP($A24,[1]Hugst!$R$5:$W$9,MATCH(ROUNDUP((AB$1)/10,0)*10,[1]Hugst!$R$4:$W$4,0))))</f>
        <v>602.03212367175934</v>
      </c>
      <c r="AC24">
        <f>IF($C24-AC$1&lt;År1,0,AB23*(1-VLOOKUP($A24,[1]Hugst!$R$5:$W$9,MATCH(ROUNDUP((AC$1)/10,0)*10,[1]Hugst!$R$4:$W$4,0))))</f>
        <v>0</v>
      </c>
      <c r="AD24">
        <f>IF($C24-AD$1&lt;År1,0,AC23*(1-VLOOKUP($A24,[1]Hugst!$R$5:$W$9,MATCH(ROUNDUP((AD$1)/10,0)*10,[1]Hugst!$R$4:$W$4,0))))</f>
        <v>0</v>
      </c>
      <c r="AE24">
        <f>IF($C24-AE$1&lt;År1,0,AD23*(1-VLOOKUP($A24,[1]Hugst!$R$5:$W$9,MATCH(ROUNDUP((AE$1)/10,0)*10,[1]Hugst!$R$4:$W$4,0))))</f>
        <v>0</v>
      </c>
      <c r="AF24">
        <f>IF($C24-AF$1&lt;År1,0,AE23*(1-VLOOKUP($A24,[1]Hugst!$R$5:$W$9,MATCH(ROUNDUP((AF$1)/10,0)*10,[1]Hugst!$R$4:$W$4,0))))</f>
        <v>0</v>
      </c>
      <c r="AG24">
        <f>IF($C24-AG$1&lt;År1,0,AF23*(1-VLOOKUP($A24,[1]Hugst!$R$5:$W$9,MATCH(ROUNDUP((AG$1)/10,0)*10,[1]Hugst!$R$4:$W$4,0))))</f>
        <v>0</v>
      </c>
      <c r="AH24">
        <f>IF($C24-AH$1&lt;År1,0,AG23*(1-VLOOKUP($A24,[1]Hugst!$R$5:$W$9,MATCH(ROUNDUP((AH$1)/10,0)*10,[1]Hugst!$R$4:$W$4,0))))</f>
        <v>0</v>
      </c>
      <c r="AI24">
        <f>IF($C24-AI$1&lt;År1,0,AH23*(1-VLOOKUP($A24,[1]Hugst!$R$5:$W$9,MATCH(ROUNDUP((AI$1)/10,0)*10,[1]Hugst!$R$4:$W$4,0))))</f>
        <v>0</v>
      </c>
      <c r="AJ24">
        <f>IF($C24-AJ$1&lt;År1,0,AI23*(1-VLOOKUP($A24,[1]Hugst!$R$5:$W$9,MATCH(ROUNDUP((AJ$1)/10,0)*10,[1]Hugst!$R$4:$W$4,0))))</f>
        <v>0</v>
      </c>
    </row>
    <row r="25" spans="1:38" x14ac:dyDescent="0.25">
      <c r="A25" t="s">
        <v>176</v>
      </c>
      <c r="B25" t="s">
        <v>23</v>
      </c>
      <c r="C25">
        <v>2043</v>
      </c>
      <c r="D25" cm="1">
        <f t="array" ref="D25">(IF(B25="Vestdanmark",Skovbrug!$C$22-(Skovbrug!$C$22)*(1-Skovbrug!$C$9)^(C25-Skovbrug!$B$12),Skovbrug!$F$22-(Skovbrug!$F$22)*(1-Skovbrug!$C$9)^(C25-Skovbrug!$B$12)))*VLOOKUP(A25,Skovbrug!$A$13:$D$17,IF('Skovbrug-alder'!C25&lt;=År2,3,4),FALSE)
-IF(C25&gt;2020,SUM(INDEX($C$1:$D$311,MATCH(1,(2020=$C$1:$C$311)*(B25=$B$1:$B$311)*(A25=$A$1:$A$311),0),2):D24),0)</f>
        <v>96.922483766748428</v>
      </c>
      <c r="E25">
        <f t="shared" ca="1" si="0"/>
        <v>0</v>
      </c>
      <c r="F25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368.21878006304479</v>
      </c>
      <c r="G25">
        <f ca="1">IF($C25-G$1&lt;År1,0,F24*(1-VLOOKUP($A25,[1]Hugst!$R$5:$W$9,MATCH(ROUNDUP((G$1)/10,0)*10,[1]Hugst!$R$4:$W$4,0))))</f>
        <v>368.70582772016525</v>
      </c>
      <c r="H25">
        <f ca="1">IF($C25-H$1&lt;År1,0,G24*(1-VLOOKUP($A25,[1]Hugst!$R$5:$W$9,MATCH(ROUNDUP((H$1)/10,0)*10,[1]Hugst!$R$4:$W$4,0))))</f>
        <v>369.19532285294991</v>
      </c>
      <c r="I25">
        <f ca="1">IF($C25-I$1&lt;År1,0,H24*(1-VLOOKUP($A25,[1]Hugst!$R$5:$W$9,MATCH(ROUNDUP((I$1)/10,0)*10,[1]Hugst!$R$4:$W$4,0))))</f>
        <v>369.68727776026782</v>
      </c>
      <c r="J25">
        <f ca="1">IF($C25-J$1&lt;År1,0,I24*(1-VLOOKUP($A25,[1]Hugst!$R$5:$W$9,MATCH(ROUNDUP((J$1)/10,0)*10,[1]Hugst!$R$4:$W$4,0))))</f>
        <v>370.18170480279792</v>
      </c>
      <c r="K25">
        <f ca="1">IF($C25-K$1&lt;År1,0,J24*(1-VLOOKUP($A25,[1]Hugst!$R$5:$W$9,MATCH(ROUNDUP((K$1)/10,0)*10,[1]Hugst!$R$4:$W$4,0))))</f>
        <v>370.67861640333882</v>
      </c>
      <c r="L25">
        <f ca="1">IF($C25-L$1&lt;År1,0,K24*(1-VLOOKUP($A25,[1]Hugst!$R$5:$W$9,MATCH(ROUNDUP((L$1)/10,0)*10,[1]Hugst!$R$4:$W$4,0))))</f>
        <v>371.17802504708953</v>
      </c>
      <c r="M25">
        <f ca="1">IF($C25-M$1&lt;År1,0,L24*(1-VLOOKUP($A25,[1]Hugst!$R$5:$W$9,MATCH(ROUNDUP((M$1)/10,0)*10,[1]Hugst!$R$4:$W$4,0))))</f>
        <v>371.679943282019</v>
      </c>
      <c r="N25">
        <f ca="1">IF($C25-N$1&lt;År1,0,M24*(1-VLOOKUP($A25,[1]Hugst!$R$5:$W$9,MATCH(ROUNDUP((N$1)/10,0)*10,[1]Hugst!$R$4:$W$4,0))))</f>
        <v>372.18438371913368</v>
      </c>
      <c r="O25">
        <f ca="1">IF($C25-O$1&lt;År1,0,N24*(1-VLOOKUP($A25,[1]Hugst!$R$5:$W$9,MATCH(ROUNDUP((O$1)/10,0)*10,[1]Hugst!$R$4:$W$4,0))))</f>
        <v>372.69135903281409</v>
      </c>
      <c r="P25">
        <f ca="1">IF($C25-P$1&lt;År1,0,O24*(1-VLOOKUP($A25,[1]Hugst!$R$5:$W$9,MATCH(ROUNDUP((P$1)/10,0)*10,[1]Hugst!$R$4:$W$4,0))))</f>
        <v>373.2008819611379</v>
      </c>
      <c r="Q25">
        <f ca="1">IF($C25-Q$1&lt;År1,0,P24*(1-VLOOKUP($A25,[1]Hugst!$R$5:$W$9,MATCH(ROUNDUP((Q$1)/10,0)*10,[1]Hugst!$R$4:$W$4,0))))</f>
        <v>373.71296530619003</v>
      </c>
      <c r="R25">
        <f ca="1">IF($C25-R$1&lt;År1,0,Q24*(1-VLOOKUP($A25,[1]Hugst!$R$5:$W$9,MATCH(ROUNDUP((R$1)/10,0)*10,[1]Hugst!$R$4:$W$4,0))))</f>
        <v>374.22762193437535</v>
      </c>
      <c r="S25">
        <f ca="1">IF($C25-S$1&lt;År1,0,R24*(1-VLOOKUP($A25,[1]Hugst!$R$5:$W$9,MATCH(ROUNDUP((S$1)/10,0)*10,[1]Hugst!$R$4:$W$4,0))))</f>
        <v>596.71456174648119</v>
      </c>
      <c r="T25">
        <f ca="1">IF($C25-T$1&lt;År1,0,S24*(1-VLOOKUP($A25,[1]Hugst!$R$5:$W$9,MATCH(ROUNDUP((T$1)/10,0)*10,[1]Hugst!$R$4:$W$4,0))))</f>
        <v>597.23440379914155</v>
      </c>
      <c r="U25">
        <f ca="1">IF($C25-U$1&lt;År1,0,T24*(1-VLOOKUP($A25,[1]Hugst!$R$5:$W$9,MATCH(ROUNDUP((U$1)/10,0)*10,[1]Hugst!$R$4:$W$4,0))))</f>
        <v>597.75685812343352</v>
      </c>
      <c r="V25">
        <f ca="1">IF($C25-V$1&lt;År1,0,U24*(1-VLOOKUP($A25,[1]Hugst!$R$5:$W$9,MATCH(ROUNDUP((V$1)/10,0)*10,[1]Hugst!$R$4:$W$4,0))))</f>
        <v>598.28193784633402</v>
      </c>
      <c r="W25">
        <f ca="1">IF($C25-W$1&lt;År1,0,V24*(1-VLOOKUP($A25,[1]Hugst!$R$5:$W$9,MATCH(ROUNDUP((W$1)/10,0)*10,[1]Hugst!$R$4:$W$4,0))))</f>
        <v>598.80965616080709</v>
      </c>
      <c r="X25">
        <f ca="1">IF($C25-X$1&lt;År1,0,W24*(1-VLOOKUP($A25,[1]Hugst!$R$5:$W$9,MATCH(ROUNDUP((X$1)/10,0)*10,[1]Hugst!$R$4:$W$4,0))))</f>
        <v>599.34002632610714</v>
      </c>
      <c r="Y25">
        <f ca="1">IF($C25-Y$1&lt;År1,0,X24*(1-VLOOKUP($A25,[1]Hugst!$R$5:$W$9,MATCH(ROUNDUP((Y$1)/10,0)*10,[1]Hugst!$R$4:$W$4,0))))</f>
        <v>599.87306166811823</v>
      </c>
      <c r="Z25">
        <f ca="1">IF($C25-Z$1&lt;År1,0,Y24*(1-VLOOKUP($A25,[1]Hugst!$R$5:$W$9,MATCH(ROUNDUP((Z$1)/10,0)*10,[1]Hugst!$R$4:$W$4,0))))</f>
        <v>600.40877557968702</v>
      </c>
      <c r="AA25">
        <f ca="1">IF($C25-AA$1&lt;År1,0,Z24*(1-VLOOKUP($A25,[1]Hugst!$R$5:$W$9,MATCH(ROUNDUP((AA$1)/10,0)*10,[1]Hugst!$R$4:$W$4,0))))</f>
        <v>600.94718152096243</v>
      </c>
      <c r="AB25">
        <f ca="1">IF($C25-AB$1&lt;År1,0,AA24*(1-VLOOKUP($A25,[1]Hugst!$R$5:$W$9,MATCH(ROUNDUP((AB$1)/10,0)*10,[1]Hugst!$R$4:$W$4,0))))</f>
        <v>601.48829301972796</v>
      </c>
      <c r="AC25">
        <f ca="1">IF($C25-AC$1&lt;År1,0,AB24*(1-VLOOKUP($A25,[1]Hugst!$R$5:$W$9,MATCH(ROUNDUP((AC$1)/10,0)*10,[1]Hugst!$R$4:$W$4,0))))</f>
        <v>602.03212367175934</v>
      </c>
      <c r="AD25">
        <f>IF($C25-AD$1&lt;År1,0,AC24*(1-VLOOKUP($A25,[1]Hugst!$R$5:$W$9,MATCH(ROUNDUP((AD$1)/10,0)*10,[1]Hugst!$R$4:$W$4,0))))</f>
        <v>0</v>
      </c>
      <c r="AE25">
        <f>IF($C25-AE$1&lt;År1,0,AD24*(1-VLOOKUP($A25,[1]Hugst!$R$5:$W$9,MATCH(ROUNDUP((AE$1)/10,0)*10,[1]Hugst!$R$4:$W$4,0))))</f>
        <v>0</v>
      </c>
      <c r="AF25">
        <f>IF($C25-AF$1&lt;År1,0,AE24*(1-VLOOKUP($A25,[1]Hugst!$R$5:$W$9,MATCH(ROUNDUP((AF$1)/10,0)*10,[1]Hugst!$R$4:$W$4,0))))</f>
        <v>0</v>
      </c>
      <c r="AG25">
        <f>IF($C25-AG$1&lt;År1,0,AF24*(1-VLOOKUP($A25,[1]Hugst!$R$5:$W$9,MATCH(ROUNDUP((AG$1)/10,0)*10,[1]Hugst!$R$4:$W$4,0))))</f>
        <v>0</v>
      </c>
      <c r="AH25">
        <f>IF($C25-AH$1&lt;År1,0,AG24*(1-VLOOKUP($A25,[1]Hugst!$R$5:$W$9,MATCH(ROUNDUP((AH$1)/10,0)*10,[1]Hugst!$R$4:$W$4,0))))</f>
        <v>0</v>
      </c>
      <c r="AI25">
        <f>IF($C25-AI$1&lt;År1,0,AH24*(1-VLOOKUP($A25,[1]Hugst!$R$5:$W$9,MATCH(ROUNDUP((AI$1)/10,0)*10,[1]Hugst!$R$4:$W$4,0))))</f>
        <v>0</v>
      </c>
      <c r="AJ25">
        <f>IF($C25-AJ$1&lt;År1,0,AI24*(1-VLOOKUP($A25,[1]Hugst!$R$5:$W$9,MATCH(ROUNDUP((AJ$1)/10,0)*10,[1]Hugst!$R$4:$W$4,0))))</f>
        <v>0</v>
      </c>
    </row>
    <row r="26" spans="1:38" x14ac:dyDescent="0.25">
      <c r="A26" t="s">
        <v>176</v>
      </c>
      <c r="B26" t="s">
        <v>23</v>
      </c>
      <c r="C26">
        <v>2044</v>
      </c>
      <c r="D26" cm="1">
        <f t="array" ref="D26">(IF(B26="Vestdanmark",Skovbrug!$C$22-(Skovbrug!$C$22)*(1-Skovbrug!$C$9)^(C26-Skovbrug!$B$12),Skovbrug!$F$22-(Skovbrug!$F$22)*(1-Skovbrug!$C$9)^(C26-Skovbrug!$B$12)))*VLOOKUP(A26,Skovbrug!$A$13:$D$17,IF('Skovbrug-alder'!C26&lt;=År2,3,4),FALSE)
-IF(C26&gt;2020,SUM(INDEX($C$1:$D$311,MATCH(1,(2020=$C$1:$C$311)*(B26=$B$1:$B$311)*(A26=$A$1:$A$311),0),2):D25),0)</f>
        <v>96.437871347915006</v>
      </c>
      <c r="E26">
        <f t="shared" ca="1" si="0"/>
        <v>0</v>
      </c>
      <c r="F26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367.73416764421137</v>
      </c>
      <c r="G26">
        <f ca="1">IF($C26-G$1&lt;År1,0,F25*(1-VLOOKUP($A26,[1]Hugst!$R$5:$W$9,MATCH(ROUNDUP((G$1)/10,0)*10,[1]Hugst!$R$4:$W$4,0))))</f>
        <v>368.21878006304479</v>
      </c>
      <c r="H26">
        <f ca="1">IF($C26-H$1&lt;År1,0,G25*(1-VLOOKUP($A26,[1]Hugst!$R$5:$W$9,MATCH(ROUNDUP((H$1)/10,0)*10,[1]Hugst!$R$4:$W$4,0))))</f>
        <v>368.70582772016525</v>
      </c>
      <c r="I26">
        <f ca="1">IF($C26-I$1&lt;År1,0,H25*(1-VLOOKUP($A26,[1]Hugst!$R$5:$W$9,MATCH(ROUNDUP((I$1)/10,0)*10,[1]Hugst!$R$4:$W$4,0))))</f>
        <v>369.19532285294991</v>
      </c>
      <c r="J26">
        <f ca="1">IF($C26-J$1&lt;År1,0,I25*(1-VLOOKUP($A26,[1]Hugst!$R$5:$W$9,MATCH(ROUNDUP((J$1)/10,0)*10,[1]Hugst!$R$4:$W$4,0))))</f>
        <v>369.68727776026782</v>
      </c>
      <c r="K26">
        <f ca="1">IF($C26-K$1&lt;År1,0,J25*(1-VLOOKUP($A26,[1]Hugst!$R$5:$W$9,MATCH(ROUNDUP((K$1)/10,0)*10,[1]Hugst!$R$4:$W$4,0))))</f>
        <v>370.18170480279792</v>
      </c>
      <c r="L26">
        <f ca="1">IF($C26-L$1&lt;År1,0,K25*(1-VLOOKUP($A26,[1]Hugst!$R$5:$W$9,MATCH(ROUNDUP((L$1)/10,0)*10,[1]Hugst!$R$4:$W$4,0))))</f>
        <v>370.67861640333882</v>
      </c>
      <c r="M26">
        <f ca="1">IF($C26-M$1&lt;År1,0,L25*(1-VLOOKUP($A26,[1]Hugst!$R$5:$W$9,MATCH(ROUNDUP((M$1)/10,0)*10,[1]Hugst!$R$4:$W$4,0))))</f>
        <v>371.17802504708953</v>
      </c>
      <c r="N26">
        <f ca="1">IF($C26-N$1&lt;År1,0,M25*(1-VLOOKUP($A26,[1]Hugst!$R$5:$W$9,MATCH(ROUNDUP((N$1)/10,0)*10,[1]Hugst!$R$4:$W$4,0))))</f>
        <v>371.679943282019</v>
      </c>
      <c r="O26">
        <f ca="1">IF($C26-O$1&lt;År1,0,N25*(1-VLOOKUP($A26,[1]Hugst!$R$5:$W$9,MATCH(ROUNDUP((O$1)/10,0)*10,[1]Hugst!$R$4:$W$4,0))))</f>
        <v>372.18438371913368</v>
      </c>
      <c r="P26">
        <f ca="1">IF($C26-P$1&lt;År1,0,O25*(1-VLOOKUP($A26,[1]Hugst!$R$5:$W$9,MATCH(ROUNDUP((P$1)/10,0)*10,[1]Hugst!$R$4:$W$4,0))))</f>
        <v>372.69135903281409</v>
      </c>
      <c r="Q26">
        <f ca="1">IF($C26-Q$1&lt;År1,0,P25*(1-VLOOKUP($A26,[1]Hugst!$R$5:$W$9,MATCH(ROUNDUP((Q$1)/10,0)*10,[1]Hugst!$R$4:$W$4,0))))</f>
        <v>373.2008819611379</v>
      </c>
      <c r="R26">
        <f ca="1">IF($C26-R$1&lt;År1,0,Q25*(1-VLOOKUP($A26,[1]Hugst!$R$5:$W$9,MATCH(ROUNDUP((R$1)/10,0)*10,[1]Hugst!$R$4:$W$4,0))))</f>
        <v>373.71296530619003</v>
      </c>
      <c r="S26">
        <f ca="1">IF($C26-S$1&lt;År1,0,R25*(1-VLOOKUP($A26,[1]Hugst!$R$5:$W$9,MATCH(ROUNDUP((S$1)/10,0)*10,[1]Hugst!$R$4:$W$4,0))))</f>
        <v>374.22762193437535</v>
      </c>
      <c r="T26">
        <f ca="1">IF($C26-T$1&lt;År1,0,S25*(1-VLOOKUP($A26,[1]Hugst!$R$5:$W$9,MATCH(ROUNDUP((T$1)/10,0)*10,[1]Hugst!$R$4:$W$4,0))))</f>
        <v>596.71456174648119</v>
      </c>
      <c r="U26">
        <f ca="1">IF($C26-U$1&lt;År1,0,T25*(1-VLOOKUP($A26,[1]Hugst!$R$5:$W$9,MATCH(ROUNDUP((U$1)/10,0)*10,[1]Hugst!$R$4:$W$4,0))))</f>
        <v>597.23440379914155</v>
      </c>
      <c r="V26">
        <f ca="1">IF($C26-V$1&lt;År1,0,U25*(1-VLOOKUP($A26,[1]Hugst!$R$5:$W$9,MATCH(ROUNDUP((V$1)/10,0)*10,[1]Hugst!$R$4:$W$4,0))))</f>
        <v>597.75685812343352</v>
      </c>
      <c r="W26">
        <f ca="1">IF($C26-W$1&lt;År1,0,V25*(1-VLOOKUP($A26,[1]Hugst!$R$5:$W$9,MATCH(ROUNDUP((W$1)/10,0)*10,[1]Hugst!$R$4:$W$4,0))))</f>
        <v>598.28193784633402</v>
      </c>
      <c r="X26">
        <f ca="1">IF($C26-X$1&lt;År1,0,W25*(1-VLOOKUP($A26,[1]Hugst!$R$5:$W$9,MATCH(ROUNDUP((X$1)/10,0)*10,[1]Hugst!$R$4:$W$4,0))))</f>
        <v>598.80965616080709</v>
      </c>
      <c r="Y26">
        <f ca="1">IF($C26-Y$1&lt;År1,0,X25*(1-VLOOKUP($A26,[1]Hugst!$R$5:$W$9,MATCH(ROUNDUP((Y$1)/10,0)*10,[1]Hugst!$R$4:$W$4,0))))</f>
        <v>599.34002632610714</v>
      </c>
      <c r="Z26">
        <f ca="1">IF($C26-Z$1&lt;År1,0,Y25*(1-VLOOKUP($A26,[1]Hugst!$R$5:$W$9,MATCH(ROUNDUP((Z$1)/10,0)*10,[1]Hugst!$R$4:$W$4,0))))</f>
        <v>599.87306166811823</v>
      </c>
      <c r="AA26">
        <f ca="1">IF($C26-AA$1&lt;År1,0,Z25*(1-VLOOKUP($A26,[1]Hugst!$R$5:$W$9,MATCH(ROUNDUP((AA$1)/10,0)*10,[1]Hugst!$R$4:$W$4,0))))</f>
        <v>600.40877557968702</v>
      </c>
      <c r="AB26">
        <f ca="1">IF($C26-AB$1&lt;År1,0,AA25*(1-VLOOKUP($A26,[1]Hugst!$R$5:$W$9,MATCH(ROUNDUP((AB$1)/10,0)*10,[1]Hugst!$R$4:$W$4,0))))</f>
        <v>600.94718152096243</v>
      </c>
      <c r="AC26">
        <f ca="1">IF($C26-AC$1&lt;År1,0,AB25*(1-VLOOKUP($A26,[1]Hugst!$R$5:$W$9,MATCH(ROUNDUP((AC$1)/10,0)*10,[1]Hugst!$R$4:$W$4,0))))</f>
        <v>601.48829301972796</v>
      </c>
      <c r="AD26">
        <f ca="1">IF($C26-AD$1&lt;År1,0,AC25*(1-VLOOKUP($A26,[1]Hugst!$R$5:$W$9,MATCH(ROUNDUP((AD$1)/10,0)*10,[1]Hugst!$R$4:$W$4,0))))</f>
        <v>602.03212367175934</v>
      </c>
      <c r="AE26">
        <f>IF($C26-AE$1&lt;År1,0,AD25*(1-VLOOKUP($A26,[1]Hugst!$R$5:$W$9,MATCH(ROUNDUP((AE$1)/10,0)*10,[1]Hugst!$R$4:$W$4,0))))</f>
        <v>0</v>
      </c>
      <c r="AF26">
        <f>IF($C26-AF$1&lt;År1,0,AE25*(1-VLOOKUP($A26,[1]Hugst!$R$5:$W$9,MATCH(ROUNDUP((AF$1)/10,0)*10,[1]Hugst!$R$4:$W$4,0))))</f>
        <v>0</v>
      </c>
      <c r="AG26">
        <f>IF($C26-AG$1&lt;År1,0,AF25*(1-VLOOKUP($A26,[1]Hugst!$R$5:$W$9,MATCH(ROUNDUP((AG$1)/10,0)*10,[1]Hugst!$R$4:$W$4,0))))</f>
        <v>0</v>
      </c>
      <c r="AH26">
        <f>IF($C26-AH$1&lt;År1,0,AG25*(1-VLOOKUP($A26,[1]Hugst!$R$5:$W$9,MATCH(ROUNDUP((AH$1)/10,0)*10,[1]Hugst!$R$4:$W$4,0))))</f>
        <v>0</v>
      </c>
      <c r="AI26">
        <f>IF($C26-AI$1&lt;År1,0,AH25*(1-VLOOKUP($A26,[1]Hugst!$R$5:$W$9,MATCH(ROUNDUP((AI$1)/10,0)*10,[1]Hugst!$R$4:$W$4,0))))</f>
        <v>0</v>
      </c>
      <c r="AJ26">
        <f>IF($C26-AJ$1&lt;År1,0,AI25*(1-VLOOKUP($A26,[1]Hugst!$R$5:$W$9,MATCH(ROUNDUP((AJ$1)/10,0)*10,[1]Hugst!$R$4:$W$4,0))))</f>
        <v>0</v>
      </c>
    </row>
    <row r="27" spans="1:38" x14ac:dyDescent="0.25">
      <c r="A27" t="s">
        <v>176</v>
      </c>
      <c r="B27" t="s">
        <v>23</v>
      </c>
      <c r="C27">
        <v>2045</v>
      </c>
      <c r="D27" cm="1">
        <f t="array" ref="D27">(IF(B27="Vestdanmark",Skovbrug!$C$22-(Skovbrug!$C$22)*(1-Skovbrug!$C$9)^(C27-Skovbrug!$B$12),Skovbrug!$F$22-(Skovbrug!$F$22)*(1-Skovbrug!$C$9)^(C27-Skovbrug!$B$12)))*VLOOKUP(A27,Skovbrug!$A$13:$D$17,IF('Skovbrug-alder'!C27&lt;=År2,3,4),FALSE)
-IF(C27&gt;2020,SUM(INDEX($C$1:$D$311,MATCH(1,(2020=$C$1:$C$311)*(B27=$B$1:$B$311)*(A27=$A$1:$A$311),0),2):D26),0)</f>
        <v>95.955681991175425</v>
      </c>
      <c r="E27">
        <f t="shared" ca="1" si="0"/>
        <v>0</v>
      </c>
      <c r="F27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367.25197828747179</v>
      </c>
      <c r="G27">
        <f ca="1">IF($C27-G$1&lt;År1,0,F26*(1-VLOOKUP($A27,[1]Hugst!$R$5:$W$9,MATCH(ROUNDUP((G$1)/10,0)*10,[1]Hugst!$R$4:$W$4,0))))</f>
        <v>367.73416764421137</v>
      </c>
      <c r="H27">
        <f ca="1">IF($C27-H$1&lt;År1,0,G26*(1-VLOOKUP($A27,[1]Hugst!$R$5:$W$9,MATCH(ROUNDUP((H$1)/10,0)*10,[1]Hugst!$R$4:$W$4,0))))</f>
        <v>368.21878006304479</v>
      </c>
      <c r="I27">
        <f ca="1">IF($C27-I$1&lt;År1,0,H26*(1-VLOOKUP($A27,[1]Hugst!$R$5:$W$9,MATCH(ROUNDUP((I$1)/10,0)*10,[1]Hugst!$R$4:$W$4,0))))</f>
        <v>368.70582772016525</v>
      </c>
      <c r="J27">
        <f ca="1">IF($C27-J$1&lt;År1,0,I26*(1-VLOOKUP($A27,[1]Hugst!$R$5:$W$9,MATCH(ROUNDUP((J$1)/10,0)*10,[1]Hugst!$R$4:$W$4,0))))</f>
        <v>369.19532285294991</v>
      </c>
      <c r="K27">
        <f ca="1">IF($C27-K$1&lt;År1,0,J26*(1-VLOOKUP($A27,[1]Hugst!$R$5:$W$9,MATCH(ROUNDUP((K$1)/10,0)*10,[1]Hugst!$R$4:$W$4,0))))</f>
        <v>369.68727776026782</v>
      </c>
      <c r="L27">
        <f ca="1">IF($C27-L$1&lt;År1,0,K26*(1-VLOOKUP($A27,[1]Hugst!$R$5:$W$9,MATCH(ROUNDUP((L$1)/10,0)*10,[1]Hugst!$R$4:$W$4,0))))</f>
        <v>370.18170480279792</v>
      </c>
      <c r="M27">
        <f ca="1">IF($C27-M$1&lt;År1,0,L26*(1-VLOOKUP($A27,[1]Hugst!$R$5:$W$9,MATCH(ROUNDUP((M$1)/10,0)*10,[1]Hugst!$R$4:$W$4,0))))</f>
        <v>370.67861640333882</v>
      </c>
      <c r="N27">
        <f ca="1">IF($C27-N$1&lt;År1,0,M26*(1-VLOOKUP($A27,[1]Hugst!$R$5:$W$9,MATCH(ROUNDUP((N$1)/10,0)*10,[1]Hugst!$R$4:$W$4,0))))</f>
        <v>371.17802504708953</v>
      </c>
      <c r="O27">
        <f ca="1">IF($C27-O$1&lt;År1,0,N26*(1-VLOOKUP($A27,[1]Hugst!$R$5:$W$9,MATCH(ROUNDUP((O$1)/10,0)*10,[1]Hugst!$R$4:$W$4,0))))</f>
        <v>371.679943282019</v>
      </c>
      <c r="P27">
        <f ca="1">IF($C27-P$1&lt;År1,0,O26*(1-VLOOKUP($A27,[1]Hugst!$R$5:$W$9,MATCH(ROUNDUP((P$1)/10,0)*10,[1]Hugst!$R$4:$W$4,0))))</f>
        <v>372.18438371913368</v>
      </c>
      <c r="Q27">
        <f ca="1">IF($C27-Q$1&lt;År1,0,P26*(1-VLOOKUP($A27,[1]Hugst!$R$5:$W$9,MATCH(ROUNDUP((Q$1)/10,0)*10,[1]Hugst!$R$4:$W$4,0))))</f>
        <v>372.69135903281409</v>
      </c>
      <c r="R27">
        <f ca="1">IF($C27-R$1&lt;År1,0,Q26*(1-VLOOKUP($A27,[1]Hugst!$R$5:$W$9,MATCH(ROUNDUP((R$1)/10,0)*10,[1]Hugst!$R$4:$W$4,0))))</f>
        <v>373.2008819611379</v>
      </c>
      <c r="S27">
        <f ca="1">IF($C27-S$1&lt;År1,0,R26*(1-VLOOKUP($A27,[1]Hugst!$R$5:$W$9,MATCH(ROUNDUP((S$1)/10,0)*10,[1]Hugst!$R$4:$W$4,0))))</f>
        <v>373.71296530619003</v>
      </c>
      <c r="T27">
        <f ca="1">IF($C27-T$1&lt;År1,0,S26*(1-VLOOKUP($A27,[1]Hugst!$R$5:$W$9,MATCH(ROUNDUP((T$1)/10,0)*10,[1]Hugst!$R$4:$W$4,0))))</f>
        <v>374.22762193437535</v>
      </c>
      <c r="U27">
        <f ca="1">IF($C27-U$1&lt;År1,0,T26*(1-VLOOKUP($A27,[1]Hugst!$R$5:$W$9,MATCH(ROUNDUP((U$1)/10,0)*10,[1]Hugst!$R$4:$W$4,0))))</f>
        <v>596.71456174648119</v>
      </c>
      <c r="V27">
        <f ca="1">IF($C27-V$1&lt;År1,0,U26*(1-VLOOKUP($A27,[1]Hugst!$R$5:$W$9,MATCH(ROUNDUP((V$1)/10,0)*10,[1]Hugst!$R$4:$W$4,0))))</f>
        <v>597.23440379914155</v>
      </c>
      <c r="W27">
        <f ca="1">IF($C27-W$1&lt;År1,0,V26*(1-VLOOKUP($A27,[1]Hugst!$R$5:$W$9,MATCH(ROUNDUP((W$1)/10,0)*10,[1]Hugst!$R$4:$W$4,0))))</f>
        <v>597.75685812343352</v>
      </c>
      <c r="X27">
        <f ca="1">IF($C27-X$1&lt;År1,0,W26*(1-VLOOKUP($A27,[1]Hugst!$R$5:$W$9,MATCH(ROUNDUP((X$1)/10,0)*10,[1]Hugst!$R$4:$W$4,0))))</f>
        <v>598.28193784633402</v>
      </c>
      <c r="Y27">
        <f ca="1">IF($C27-Y$1&lt;År1,0,X26*(1-VLOOKUP($A27,[1]Hugst!$R$5:$W$9,MATCH(ROUNDUP((Y$1)/10,0)*10,[1]Hugst!$R$4:$W$4,0))))</f>
        <v>598.80965616080709</v>
      </c>
      <c r="Z27">
        <f ca="1">IF($C27-Z$1&lt;År1,0,Y26*(1-VLOOKUP($A27,[1]Hugst!$R$5:$W$9,MATCH(ROUNDUP((Z$1)/10,0)*10,[1]Hugst!$R$4:$W$4,0))))</f>
        <v>599.34002632610714</v>
      </c>
      <c r="AA27">
        <f ca="1">IF($C27-AA$1&lt;År1,0,Z26*(1-VLOOKUP($A27,[1]Hugst!$R$5:$W$9,MATCH(ROUNDUP((AA$1)/10,0)*10,[1]Hugst!$R$4:$W$4,0))))</f>
        <v>599.87306166811823</v>
      </c>
      <c r="AB27">
        <f ca="1">IF($C27-AB$1&lt;År1,0,AA26*(1-VLOOKUP($A27,[1]Hugst!$R$5:$W$9,MATCH(ROUNDUP((AB$1)/10,0)*10,[1]Hugst!$R$4:$W$4,0))))</f>
        <v>600.40877557968702</v>
      </c>
      <c r="AC27">
        <f ca="1">IF($C27-AC$1&lt;År1,0,AB26*(1-VLOOKUP($A27,[1]Hugst!$R$5:$W$9,MATCH(ROUNDUP((AC$1)/10,0)*10,[1]Hugst!$R$4:$W$4,0))))</f>
        <v>600.94718152096243</v>
      </c>
      <c r="AD27">
        <f ca="1">IF($C27-AD$1&lt;År1,0,AC26*(1-VLOOKUP($A27,[1]Hugst!$R$5:$W$9,MATCH(ROUNDUP((AD$1)/10,0)*10,[1]Hugst!$R$4:$W$4,0))))</f>
        <v>601.48829301972796</v>
      </c>
      <c r="AE27">
        <f ca="1">IF($C27-AE$1&lt;År1,0,AD26*(1-VLOOKUP($A27,[1]Hugst!$R$5:$W$9,MATCH(ROUNDUP((AE$1)/10,0)*10,[1]Hugst!$R$4:$W$4,0))))</f>
        <v>602.03212367175934</v>
      </c>
      <c r="AF27">
        <f>IF($C27-AF$1&lt;År1,0,AE26*(1-VLOOKUP($A27,[1]Hugst!$R$5:$W$9,MATCH(ROUNDUP((AF$1)/10,0)*10,[1]Hugst!$R$4:$W$4,0))))</f>
        <v>0</v>
      </c>
      <c r="AG27">
        <f>IF($C27-AG$1&lt;År1,0,AF26*(1-VLOOKUP($A27,[1]Hugst!$R$5:$W$9,MATCH(ROUNDUP((AG$1)/10,0)*10,[1]Hugst!$R$4:$W$4,0))))</f>
        <v>0</v>
      </c>
      <c r="AH27">
        <f>IF($C27-AH$1&lt;År1,0,AG26*(1-VLOOKUP($A27,[1]Hugst!$R$5:$W$9,MATCH(ROUNDUP((AH$1)/10,0)*10,[1]Hugst!$R$4:$W$4,0))))</f>
        <v>0</v>
      </c>
      <c r="AI27">
        <f>IF($C27-AI$1&lt;År1,0,AH26*(1-VLOOKUP($A27,[1]Hugst!$R$5:$W$9,MATCH(ROUNDUP((AI$1)/10,0)*10,[1]Hugst!$R$4:$W$4,0))))</f>
        <v>0</v>
      </c>
      <c r="AJ27">
        <f>IF($C27-AJ$1&lt;År1,0,AI26*(1-VLOOKUP($A27,[1]Hugst!$R$5:$W$9,MATCH(ROUNDUP((AJ$1)/10,0)*10,[1]Hugst!$R$4:$W$4,0))))</f>
        <v>0</v>
      </c>
    </row>
    <row r="28" spans="1:38" x14ac:dyDescent="0.25">
      <c r="A28" t="s">
        <v>176</v>
      </c>
      <c r="B28" t="s">
        <v>23</v>
      </c>
      <c r="C28">
        <v>2046</v>
      </c>
      <c r="D28" cm="1">
        <f t="array" ref="D28">(IF(B28="Vestdanmark",Skovbrug!$C$22-(Skovbrug!$C$22)*(1-Skovbrug!$C$9)^(C28-Skovbrug!$B$12),Skovbrug!$F$22-(Skovbrug!$F$22)*(1-Skovbrug!$C$9)^(C28-Skovbrug!$B$12)))*VLOOKUP(A28,Skovbrug!$A$13:$D$17,IF('Skovbrug-alder'!C28&lt;=År2,3,4),FALSE)
-IF(C28&gt;2020,SUM(INDEX($C$1:$D$311,MATCH(1,(2020=$C$1:$C$311)*(B28=$B$1:$B$311)*(A28=$A$1:$A$311),0),2):D27),0)</f>
        <v>95.47590358122261</v>
      </c>
      <c r="E28">
        <f t="shared" ca="1" si="0"/>
        <v>0</v>
      </c>
      <c r="F2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366.77219987751897</v>
      </c>
      <c r="G28">
        <f ca="1">IF($C28-G$1&lt;År1,0,F27*(1-VLOOKUP($A28,[1]Hugst!$R$5:$W$9,MATCH(ROUNDUP((G$1)/10,0)*10,[1]Hugst!$R$4:$W$4,0))))</f>
        <v>367.25197828747179</v>
      </c>
      <c r="H28">
        <f ca="1">IF($C28-H$1&lt;År1,0,G27*(1-VLOOKUP($A28,[1]Hugst!$R$5:$W$9,MATCH(ROUNDUP((H$1)/10,0)*10,[1]Hugst!$R$4:$W$4,0))))</f>
        <v>367.73416764421137</v>
      </c>
      <c r="I28">
        <f ca="1">IF($C28-I$1&lt;År1,0,H27*(1-VLOOKUP($A28,[1]Hugst!$R$5:$W$9,MATCH(ROUNDUP((I$1)/10,0)*10,[1]Hugst!$R$4:$W$4,0))))</f>
        <v>368.21878006304479</v>
      </c>
      <c r="J28">
        <f ca="1">IF($C28-J$1&lt;År1,0,I27*(1-VLOOKUP($A28,[1]Hugst!$R$5:$W$9,MATCH(ROUNDUP((J$1)/10,0)*10,[1]Hugst!$R$4:$W$4,0))))</f>
        <v>368.70582772016525</v>
      </c>
      <c r="K28">
        <f ca="1">IF($C28-K$1&lt;År1,0,J27*(1-VLOOKUP($A28,[1]Hugst!$R$5:$W$9,MATCH(ROUNDUP((K$1)/10,0)*10,[1]Hugst!$R$4:$W$4,0))))</f>
        <v>369.19532285294991</v>
      </c>
      <c r="L28">
        <f ca="1">IF($C28-L$1&lt;År1,0,K27*(1-VLOOKUP($A28,[1]Hugst!$R$5:$W$9,MATCH(ROUNDUP((L$1)/10,0)*10,[1]Hugst!$R$4:$W$4,0))))</f>
        <v>369.68727776026782</v>
      </c>
      <c r="M28">
        <f ca="1">IF($C28-M$1&lt;År1,0,L27*(1-VLOOKUP($A28,[1]Hugst!$R$5:$W$9,MATCH(ROUNDUP((M$1)/10,0)*10,[1]Hugst!$R$4:$W$4,0))))</f>
        <v>370.18170480279792</v>
      </c>
      <c r="N28">
        <f ca="1">IF($C28-N$1&lt;År1,0,M27*(1-VLOOKUP($A28,[1]Hugst!$R$5:$W$9,MATCH(ROUNDUP((N$1)/10,0)*10,[1]Hugst!$R$4:$W$4,0))))</f>
        <v>370.67861640333882</v>
      </c>
      <c r="O28">
        <f ca="1">IF($C28-O$1&lt;År1,0,N27*(1-VLOOKUP($A28,[1]Hugst!$R$5:$W$9,MATCH(ROUNDUP((O$1)/10,0)*10,[1]Hugst!$R$4:$W$4,0))))</f>
        <v>371.17802504708953</v>
      </c>
      <c r="P28">
        <f ca="1">IF($C28-P$1&lt;År1,0,O27*(1-VLOOKUP($A28,[1]Hugst!$R$5:$W$9,MATCH(ROUNDUP((P$1)/10,0)*10,[1]Hugst!$R$4:$W$4,0))))</f>
        <v>371.679943282019</v>
      </c>
      <c r="Q28">
        <f ca="1">IF($C28-Q$1&lt;År1,0,P27*(1-VLOOKUP($A28,[1]Hugst!$R$5:$W$9,MATCH(ROUNDUP((Q$1)/10,0)*10,[1]Hugst!$R$4:$W$4,0))))</f>
        <v>372.18438371913368</v>
      </c>
      <c r="R28">
        <f ca="1">IF($C28-R$1&lt;År1,0,Q27*(1-VLOOKUP($A28,[1]Hugst!$R$5:$W$9,MATCH(ROUNDUP((R$1)/10,0)*10,[1]Hugst!$R$4:$W$4,0))))</f>
        <v>372.69135903281409</v>
      </c>
      <c r="S28">
        <f ca="1">IF($C28-S$1&lt;År1,0,R27*(1-VLOOKUP($A28,[1]Hugst!$R$5:$W$9,MATCH(ROUNDUP((S$1)/10,0)*10,[1]Hugst!$R$4:$W$4,0))))</f>
        <v>373.2008819611379</v>
      </c>
      <c r="T28">
        <f ca="1">IF($C28-T$1&lt;År1,0,S27*(1-VLOOKUP($A28,[1]Hugst!$R$5:$W$9,MATCH(ROUNDUP((T$1)/10,0)*10,[1]Hugst!$R$4:$W$4,0))))</f>
        <v>373.71296530619003</v>
      </c>
      <c r="U28">
        <f ca="1">IF($C28-U$1&lt;År1,0,T27*(1-VLOOKUP($A28,[1]Hugst!$R$5:$W$9,MATCH(ROUNDUP((U$1)/10,0)*10,[1]Hugst!$R$4:$W$4,0))))</f>
        <v>374.22762193437535</v>
      </c>
      <c r="V28">
        <f ca="1">IF($C28-V$1&lt;År1,0,U27*(1-VLOOKUP($A28,[1]Hugst!$R$5:$W$9,MATCH(ROUNDUP((V$1)/10,0)*10,[1]Hugst!$R$4:$W$4,0))))</f>
        <v>596.71456174648119</v>
      </c>
      <c r="W28">
        <f ca="1">IF($C28-W$1&lt;År1,0,V27*(1-VLOOKUP($A28,[1]Hugst!$R$5:$W$9,MATCH(ROUNDUP((W$1)/10,0)*10,[1]Hugst!$R$4:$W$4,0))))</f>
        <v>597.23440379914155</v>
      </c>
      <c r="X28">
        <f ca="1">IF($C28-X$1&lt;År1,0,W27*(1-VLOOKUP($A28,[1]Hugst!$R$5:$W$9,MATCH(ROUNDUP((X$1)/10,0)*10,[1]Hugst!$R$4:$W$4,0))))</f>
        <v>597.75685812343352</v>
      </c>
      <c r="Y28">
        <f ca="1">IF($C28-Y$1&lt;År1,0,X27*(1-VLOOKUP($A28,[1]Hugst!$R$5:$W$9,MATCH(ROUNDUP((Y$1)/10,0)*10,[1]Hugst!$R$4:$W$4,0))))</f>
        <v>598.28193784633402</v>
      </c>
      <c r="Z28">
        <f ca="1">IF($C28-Z$1&lt;År1,0,Y27*(1-VLOOKUP($A28,[1]Hugst!$R$5:$W$9,MATCH(ROUNDUP((Z$1)/10,0)*10,[1]Hugst!$R$4:$W$4,0))))</f>
        <v>598.80965616080709</v>
      </c>
      <c r="AA28">
        <f ca="1">IF($C28-AA$1&lt;År1,0,Z27*(1-VLOOKUP($A28,[1]Hugst!$R$5:$W$9,MATCH(ROUNDUP((AA$1)/10,0)*10,[1]Hugst!$R$4:$W$4,0))))</f>
        <v>599.34002632610714</v>
      </c>
      <c r="AB28">
        <f ca="1">IF($C28-AB$1&lt;År1,0,AA27*(1-VLOOKUP($A28,[1]Hugst!$R$5:$W$9,MATCH(ROUNDUP((AB$1)/10,0)*10,[1]Hugst!$R$4:$W$4,0))))</f>
        <v>599.87306166811823</v>
      </c>
      <c r="AC28">
        <f ca="1">IF($C28-AC$1&lt;År1,0,AB27*(1-VLOOKUP($A28,[1]Hugst!$R$5:$W$9,MATCH(ROUNDUP((AC$1)/10,0)*10,[1]Hugst!$R$4:$W$4,0))))</f>
        <v>600.40877557968702</v>
      </c>
      <c r="AD28">
        <f ca="1">IF($C28-AD$1&lt;År1,0,AC27*(1-VLOOKUP($A28,[1]Hugst!$R$5:$W$9,MATCH(ROUNDUP((AD$1)/10,0)*10,[1]Hugst!$R$4:$W$4,0))))</f>
        <v>600.94718152096243</v>
      </c>
      <c r="AE28">
        <f ca="1">IF($C28-AE$1&lt;År1,0,AD27*(1-VLOOKUP($A28,[1]Hugst!$R$5:$W$9,MATCH(ROUNDUP((AE$1)/10,0)*10,[1]Hugst!$R$4:$W$4,0))))</f>
        <v>601.48829301972796</v>
      </c>
      <c r="AF28">
        <f ca="1">IF($C28-AF$1&lt;År1,0,AE27*(1-VLOOKUP($A28,[1]Hugst!$R$5:$W$9,MATCH(ROUNDUP((AF$1)/10,0)*10,[1]Hugst!$R$4:$W$4,0))))</f>
        <v>602.03212367175934</v>
      </c>
      <c r="AG28">
        <f>IF($C28-AG$1&lt;År1,0,AF27*(1-VLOOKUP($A28,[1]Hugst!$R$5:$W$9,MATCH(ROUNDUP((AG$1)/10,0)*10,[1]Hugst!$R$4:$W$4,0))))</f>
        <v>0</v>
      </c>
      <c r="AH28">
        <f>IF($C28-AH$1&lt;År1,0,AG27*(1-VLOOKUP($A28,[1]Hugst!$R$5:$W$9,MATCH(ROUNDUP((AH$1)/10,0)*10,[1]Hugst!$R$4:$W$4,0))))</f>
        <v>0</v>
      </c>
      <c r="AI28">
        <f>IF($C28-AI$1&lt;År1,0,AH27*(1-VLOOKUP($A28,[1]Hugst!$R$5:$W$9,MATCH(ROUNDUP((AI$1)/10,0)*10,[1]Hugst!$R$4:$W$4,0))))</f>
        <v>0</v>
      </c>
      <c r="AJ28">
        <f>IF($C28-AJ$1&lt;År1,0,AI27*(1-VLOOKUP($A28,[1]Hugst!$R$5:$W$9,MATCH(ROUNDUP((AJ$1)/10,0)*10,[1]Hugst!$R$4:$W$4,0))))</f>
        <v>0</v>
      </c>
    </row>
    <row r="29" spans="1:38" x14ac:dyDescent="0.25">
      <c r="A29" t="s">
        <v>176</v>
      </c>
      <c r="B29" t="s">
        <v>23</v>
      </c>
      <c r="C29">
        <v>2047</v>
      </c>
      <c r="D29" cm="1">
        <f t="array" ref="D29">(IF(B29="Vestdanmark",Skovbrug!$C$22-(Skovbrug!$C$22)*(1-Skovbrug!$C$9)^(C29-Skovbrug!$B$12),Skovbrug!$F$22-(Skovbrug!$F$22)*(1-Skovbrug!$C$9)^(C29-Skovbrug!$B$12)))*VLOOKUP(A29,Skovbrug!$A$13:$D$17,IF('Skovbrug-alder'!C29&lt;=År2,3,4),FALSE)
-IF(C29&gt;2020,SUM(INDEX($C$1:$D$311,MATCH(1,(2020=$C$1:$C$311)*(B29=$B$1:$B$311)*(A29=$A$1:$A$311),0),2):D28),0)</f>
        <v>94.99852406331047</v>
      </c>
      <c r="E29">
        <f t="shared" ca="1" si="0"/>
        <v>0</v>
      </c>
      <c r="F29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366.29482035960683</v>
      </c>
      <c r="G29">
        <f ca="1">IF($C29-G$1&lt;År1,0,F28*(1-VLOOKUP($A29,[1]Hugst!$R$5:$W$9,MATCH(ROUNDUP((G$1)/10,0)*10,[1]Hugst!$R$4:$W$4,0))))</f>
        <v>366.77219987751897</v>
      </c>
      <c r="H29">
        <f ca="1">IF($C29-H$1&lt;År1,0,G28*(1-VLOOKUP($A29,[1]Hugst!$R$5:$W$9,MATCH(ROUNDUP((H$1)/10,0)*10,[1]Hugst!$R$4:$W$4,0))))</f>
        <v>367.25197828747179</v>
      </c>
      <c r="I29">
        <f ca="1">IF($C29-I$1&lt;År1,0,H28*(1-VLOOKUP($A29,[1]Hugst!$R$5:$W$9,MATCH(ROUNDUP((I$1)/10,0)*10,[1]Hugst!$R$4:$W$4,0))))</f>
        <v>367.73416764421137</v>
      </c>
      <c r="J29">
        <f ca="1">IF($C29-J$1&lt;År1,0,I28*(1-VLOOKUP($A29,[1]Hugst!$R$5:$W$9,MATCH(ROUNDUP((J$1)/10,0)*10,[1]Hugst!$R$4:$W$4,0))))</f>
        <v>368.21878006304479</v>
      </c>
      <c r="K29">
        <f ca="1">IF($C29-K$1&lt;År1,0,J28*(1-VLOOKUP($A29,[1]Hugst!$R$5:$W$9,MATCH(ROUNDUP((K$1)/10,0)*10,[1]Hugst!$R$4:$W$4,0))))</f>
        <v>368.70582772016525</v>
      </c>
      <c r="L29">
        <f ca="1">IF($C29-L$1&lt;År1,0,K28*(1-VLOOKUP($A29,[1]Hugst!$R$5:$W$9,MATCH(ROUNDUP((L$1)/10,0)*10,[1]Hugst!$R$4:$W$4,0))))</f>
        <v>369.19532285294991</v>
      </c>
      <c r="M29">
        <f ca="1">IF($C29-M$1&lt;År1,0,L28*(1-VLOOKUP($A29,[1]Hugst!$R$5:$W$9,MATCH(ROUNDUP((M$1)/10,0)*10,[1]Hugst!$R$4:$W$4,0))))</f>
        <v>369.68727776026782</v>
      </c>
      <c r="N29">
        <f ca="1">IF($C29-N$1&lt;År1,0,M28*(1-VLOOKUP($A29,[1]Hugst!$R$5:$W$9,MATCH(ROUNDUP((N$1)/10,0)*10,[1]Hugst!$R$4:$W$4,0))))</f>
        <v>370.18170480279792</v>
      </c>
      <c r="O29">
        <f ca="1">IF($C29-O$1&lt;År1,0,N28*(1-VLOOKUP($A29,[1]Hugst!$R$5:$W$9,MATCH(ROUNDUP((O$1)/10,0)*10,[1]Hugst!$R$4:$W$4,0))))</f>
        <v>370.67861640333882</v>
      </c>
      <c r="P29">
        <f ca="1">IF($C29-P$1&lt;År1,0,O28*(1-VLOOKUP($A29,[1]Hugst!$R$5:$W$9,MATCH(ROUNDUP((P$1)/10,0)*10,[1]Hugst!$R$4:$W$4,0))))</f>
        <v>371.17802504708953</v>
      </c>
      <c r="Q29">
        <f ca="1">IF($C29-Q$1&lt;År1,0,P28*(1-VLOOKUP($A29,[1]Hugst!$R$5:$W$9,MATCH(ROUNDUP((Q$1)/10,0)*10,[1]Hugst!$R$4:$W$4,0))))</f>
        <v>371.679943282019</v>
      </c>
      <c r="R29">
        <f ca="1">IF($C29-R$1&lt;År1,0,Q28*(1-VLOOKUP($A29,[1]Hugst!$R$5:$W$9,MATCH(ROUNDUP((R$1)/10,0)*10,[1]Hugst!$R$4:$W$4,0))))</f>
        <v>372.18438371913368</v>
      </c>
      <c r="S29">
        <f ca="1">IF($C29-S$1&lt;År1,0,R28*(1-VLOOKUP($A29,[1]Hugst!$R$5:$W$9,MATCH(ROUNDUP((S$1)/10,0)*10,[1]Hugst!$R$4:$W$4,0))))</f>
        <v>372.69135903281409</v>
      </c>
      <c r="T29">
        <f ca="1">IF($C29-T$1&lt;År1,0,S28*(1-VLOOKUP($A29,[1]Hugst!$R$5:$W$9,MATCH(ROUNDUP((T$1)/10,0)*10,[1]Hugst!$R$4:$W$4,0))))</f>
        <v>373.2008819611379</v>
      </c>
      <c r="U29">
        <f ca="1">IF($C29-U$1&lt;År1,0,T28*(1-VLOOKUP($A29,[1]Hugst!$R$5:$W$9,MATCH(ROUNDUP((U$1)/10,0)*10,[1]Hugst!$R$4:$W$4,0))))</f>
        <v>373.71296530619003</v>
      </c>
      <c r="V29">
        <f ca="1">IF($C29-V$1&lt;År1,0,U28*(1-VLOOKUP($A29,[1]Hugst!$R$5:$W$9,MATCH(ROUNDUP((V$1)/10,0)*10,[1]Hugst!$R$4:$W$4,0))))</f>
        <v>374.22762193437535</v>
      </c>
      <c r="W29">
        <f ca="1">IF($C29-W$1&lt;År1,0,V28*(1-VLOOKUP($A29,[1]Hugst!$R$5:$W$9,MATCH(ROUNDUP((W$1)/10,0)*10,[1]Hugst!$R$4:$W$4,0))))</f>
        <v>596.71456174648119</v>
      </c>
      <c r="X29">
        <f ca="1">IF($C29-X$1&lt;År1,0,W28*(1-VLOOKUP($A29,[1]Hugst!$R$5:$W$9,MATCH(ROUNDUP((X$1)/10,0)*10,[1]Hugst!$R$4:$W$4,0))))</f>
        <v>597.23440379914155</v>
      </c>
      <c r="Y29">
        <f ca="1">IF($C29-Y$1&lt;År1,0,X28*(1-VLOOKUP($A29,[1]Hugst!$R$5:$W$9,MATCH(ROUNDUP((Y$1)/10,0)*10,[1]Hugst!$R$4:$W$4,0))))</f>
        <v>597.75685812343352</v>
      </c>
      <c r="Z29">
        <f ca="1">IF($C29-Z$1&lt;År1,0,Y28*(1-VLOOKUP($A29,[1]Hugst!$R$5:$W$9,MATCH(ROUNDUP((Z$1)/10,0)*10,[1]Hugst!$R$4:$W$4,0))))</f>
        <v>598.28193784633402</v>
      </c>
      <c r="AA29">
        <f ca="1">IF($C29-AA$1&lt;År1,0,Z28*(1-VLOOKUP($A29,[1]Hugst!$R$5:$W$9,MATCH(ROUNDUP((AA$1)/10,0)*10,[1]Hugst!$R$4:$W$4,0))))</f>
        <v>598.80965616080709</v>
      </c>
      <c r="AB29">
        <f ca="1">IF($C29-AB$1&lt;År1,0,AA28*(1-VLOOKUP($A29,[1]Hugst!$R$5:$W$9,MATCH(ROUNDUP((AB$1)/10,0)*10,[1]Hugst!$R$4:$W$4,0))))</f>
        <v>599.34002632610714</v>
      </c>
      <c r="AC29">
        <f ca="1">IF($C29-AC$1&lt;År1,0,AB28*(1-VLOOKUP($A29,[1]Hugst!$R$5:$W$9,MATCH(ROUNDUP((AC$1)/10,0)*10,[1]Hugst!$R$4:$W$4,0))))</f>
        <v>599.87306166811823</v>
      </c>
      <c r="AD29">
        <f ca="1">IF($C29-AD$1&lt;År1,0,AC28*(1-VLOOKUP($A29,[1]Hugst!$R$5:$W$9,MATCH(ROUNDUP((AD$1)/10,0)*10,[1]Hugst!$R$4:$W$4,0))))</f>
        <v>600.40877557968702</v>
      </c>
      <c r="AE29">
        <f ca="1">IF($C29-AE$1&lt;År1,0,AD28*(1-VLOOKUP($A29,[1]Hugst!$R$5:$W$9,MATCH(ROUNDUP((AE$1)/10,0)*10,[1]Hugst!$R$4:$W$4,0))))</f>
        <v>600.94718152096243</v>
      </c>
      <c r="AF29">
        <f ca="1">IF($C29-AF$1&lt;År1,0,AE28*(1-VLOOKUP($A29,[1]Hugst!$R$5:$W$9,MATCH(ROUNDUP((AF$1)/10,0)*10,[1]Hugst!$R$4:$W$4,0))))</f>
        <v>601.48829301972796</v>
      </c>
      <c r="AG29">
        <f ca="1">IF($C29-AG$1&lt;År1,0,AF28*(1-VLOOKUP($A29,[1]Hugst!$R$5:$W$9,MATCH(ROUNDUP((AG$1)/10,0)*10,[1]Hugst!$R$4:$W$4,0))))</f>
        <v>602.03212367175934</v>
      </c>
      <c r="AH29">
        <f>IF($C29-AH$1&lt;År1,0,AG28*(1-VLOOKUP($A29,[1]Hugst!$R$5:$W$9,MATCH(ROUNDUP((AH$1)/10,0)*10,[1]Hugst!$R$4:$W$4,0))))</f>
        <v>0</v>
      </c>
      <c r="AI29">
        <f>IF($C29-AI$1&lt;År1,0,AH28*(1-VLOOKUP($A29,[1]Hugst!$R$5:$W$9,MATCH(ROUNDUP((AI$1)/10,0)*10,[1]Hugst!$R$4:$W$4,0))))</f>
        <v>0</v>
      </c>
      <c r="AJ29">
        <f>IF($C29-AJ$1&lt;År1,0,AI28*(1-VLOOKUP($A29,[1]Hugst!$R$5:$W$9,MATCH(ROUNDUP((AJ$1)/10,0)*10,[1]Hugst!$R$4:$W$4,0))))</f>
        <v>0</v>
      </c>
    </row>
    <row r="30" spans="1:38" x14ac:dyDescent="0.25">
      <c r="A30" t="s">
        <v>176</v>
      </c>
      <c r="B30" t="s">
        <v>23</v>
      </c>
      <c r="C30">
        <v>2048</v>
      </c>
      <c r="D30" cm="1">
        <f t="array" ref="D30">(IF(B30="Vestdanmark",Skovbrug!$C$22-(Skovbrug!$C$22)*(1-Skovbrug!$C$9)^(C30-Skovbrug!$B$12),Skovbrug!$F$22-(Skovbrug!$F$22)*(1-Skovbrug!$C$9)^(C30-Skovbrug!$B$12)))*VLOOKUP(A30,Skovbrug!$A$13:$D$17,IF('Skovbrug-alder'!C30&lt;=År2,3,4),FALSE)
-IF(C30&gt;2020,SUM(INDEX($C$1:$D$311,MATCH(1,(2020=$C$1:$C$311)*(B30=$B$1:$B$311)*(A30=$A$1:$A$311),0),2):D29),0)</f>
        <v>94.523531442996955</v>
      </c>
      <c r="E30">
        <f t="shared" ca="1" si="0"/>
        <v>0</v>
      </c>
      <c r="F30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365.81982773929332</v>
      </c>
      <c r="G30">
        <f ca="1">IF($C30-G$1&lt;År1,0,F29*(1-VLOOKUP($A30,[1]Hugst!$R$5:$W$9,MATCH(ROUNDUP((G$1)/10,0)*10,[1]Hugst!$R$4:$W$4,0))))</f>
        <v>366.29482035960683</v>
      </c>
      <c r="H30">
        <f ca="1">IF($C30-H$1&lt;År1,0,G29*(1-VLOOKUP($A30,[1]Hugst!$R$5:$W$9,MATCH(ROUNDUP((H$1)/10,0)*10,[1]Hugst!$R$4:$W$4,0))))</f>
        <v>366.77219987751897</v>
      </c>
      <c r="I30">
        <f ca="1">IF($C30-I$1&lt;År1,0,H29*(1-VLOOKUP($A30,[1]Hugst!$R$5:$W$9,MATCH(ROUNDUP((I$1)/10,0)*10,[1]Hugst!$R$4:$W$4,0))))</f>
        <v>367.25197828747179</v>
      </c>
      <c r="J30">
        <f ca="1">IF($C30-J$1&lt;År1,0,I29*(1-VLOOKUP($A30,[1]Hugst!$R$5:$W$9,MATCH(ROUNDUP((J$1)/10,0)*10,[1]Hugst!$R$4:$W$4,0))))</f>
        <v>367.73416764421137</v>
      </c>
      <c r="K30">
        <f ca="1">IF($C30-K$1&lt;År1,0,J29*(1-VLOOKUP($A30,[1]Hugst!$R$5:$W$9,MATCH(ROUNDUP((K$1)/10,0)*10,[1]Hugst!$R$4:$W$4,0))))</f>
        <v>368.21878006304479</v>
      </c>
      <c r="L30">
        <f ca="1">IF($C30-L$1&lt;År1,0,K29*(1-VLOOKUP($A30,[1]Hugst!$R$5:$W$9,MATCH(ROUNDUP((L$1)/10,0)*10,[1]Hugst!$R$4:$W$4,0))))</f>
        <v>368.70582772016525</v>
      </c>
      <c r="M30">
        <f ca="1">IF($C30-M$1&lt;År1,0,L29*(1-VLOOKUP($A30,[1]Hugst!$R$5:$W$9,MATCH(ROUNDUP((M$1)/10,0)*10,[1]Hugst!$R$4:$W$4,0))))</f>
        <v>369.19532285294991</v>
      </c>
      <c r="N30">
        <f ca="1">IF($C30-N$1&lt;År1,0,M29*(1-VLOOKUP($A30,[1]Hugst!$R$5:$W$9,MATCH(ROUNDUP((N$1)/10,0)*10,[1]Hugst!$R$4:$W$4,0))))</f>
        <v>369.68727776026782</v>
      </c>
      <c r="O30">
        <f ca="1">IF($C30-O$1&lt;År1,0,N29*(1-VLOOKUP($A30,[1]Hugst!$R$5:$W$9,MATCH(ROUNDUP((O$1)/10,0)*10,[1]Hugst!$R$4:$W$4,0))))</f>
        <v>370.18170480279792</v>
      </c>
      <c r="P30">
        <f ca="1">IF($C30-P$1&lt;År1,0,O29*(1-VLOOKUP($A30,[1]Hugst!$R$5:$W$9,MATCH(ROUNDUP((P$1)/10,0)*10,[1]Hugst!$R$4:$W$4,0))))</f>
        <v>370.67861640333882</v>
      </c>
      <c r="Q30">
        <f ca="1">IF($C30-Q$1&lt;År1,0,P29*(1-VLOOKUP($A30,[1]Hugst!$R$5:$W$9,MATCH(ROUNDUP((Q$1)/10,0)*10,[1]Hugst!$R$4:$W$4,0))))</f>
        <v>371.17802504708953</v>
      </c>
      <c r="R30">
        <f ca="1">IF($C30-R$1&lt;År1,0,Q29*(1-VLOOKUP($A30,[1]Hugst!$R$5:$W$9,MATCH(ROUNDUP((R$1)/10,0)*10,[1]Hugst!$R$4:$W$4,0))))</f>
        <v>371.679943282019</v>
      </c>
      <c r="S30">
        <f ca="1">IF($C30-S$1&lt;År1,0,R29*(1-VLOOKUP($A30,[1]Hugst!$R$5:$W$9,MATCH(ROUNDUP((S$1)/10,0)*10,[1]Hugst!$R$4:$W$4,0))))</f>
        <v>372.18438371913368</v>
      </c>
      <c r="T30">
        <f ca="1">IF($C30-T$1&lt;År1,0,S29*(1-VLOOKUP($A30,[1]Hugst!$R$5:$W$9,MATCH(ROUNDUP((T$1)/10,0)*10,[1]Hugst!$R$4:$W$4,0))))</f>
        <v>372.69135903281409</v>
      </c>
      <c r="U30">
        <f ca="1">IF($C30-U$1&lt;År1,0,T29*(1-VLOOKUP($A30,[1]Hugst!$R$5:$W$9,MATCH(ROUNDUP((U$1)/10,0)*10,[1]Hugst!$R$4:$W$4,0))))</f>
        <v>373.2008819611379</v>
      </c>
      <c r="V30">
        <f ca="1">IF($C30-V$1&lt;År1,0,U29*(1-VLOOKUP($A30,[1]Hugst!$R$5:$W$9,MATCH(ROUNDUP((V$1)/10,0)*10,[1]Hugst!$R$4:$W$4,0))))</f>
        <v>373.71296530619003</v>
      </c>
      <c r="W30">
        <f ca="1">IF($C30-W$1&lt;År1,0,V29*(1-VLOOKUP($A30,[1]Hugst!$R$5:$W$9,MATCH(ROUNDUP((W$1)/10,0)*10,[1]Hugst!$R$4:$W$4,0))))</f>
        <v>374.22762193437535</v>
      </c>
      <c r="X30">
        <f ca="1">IF($C30-X$1&lt;År1,0,W29*(1-VLOOKUP($A30,[1]Hugst!$R$5:$W$9,MATCH(ROUNDUP((X$1)/10,0)*10,[1]Hugst!$R$4:$W$4,0))))</f>
        <v>596.71456174648119</v>
      </c>
      <c r="Y30">
        <f ca="1">IF($C30-Y$1&lt;År1,0,X29*(1-VLOOKUP($A30,[1]Hugst!$R$5:$W$9,MATCH(ROUNDUP((Y$1)/10,0)*10,[1]Hugst!$R$4:$W$4,0))))</f>
        <v>597.23440379914155</v>
      </c>
      <c r="Z30">
        <f ca="1">IF($C30-Z$1&lt;År1,0,Y29*(1-VLOOKUP($A30,[1]Hugst!$R$5:$W$9,MATCH(ROUNDUP((Z$1)/10,0)*10,[1]Hugst!$R$4:$W$4,0))))</f>
        <v>597.75685812343352</v>
      </c>
      <c r="AA30">
        <f ca="1">IF($C30-AA$1&lt;År1,0,Z29*(1-VLOOKUP($A30,[1]Hugst!$R$5:$W$9,MATCH(ROUNDUP((AA$1)/10,0)*10,[1]Hugst!$R$4:$W$4,0))))</f>
        <v>598.28193784633402</v>
      </c>
      <c r="AB30">
        <f ca="1">IF($C30-AB$1&lt;År1,0,AA29*(1-VLOOKUP($A30,[1]Hugst!$R$5:$W$9,MATCH(ROUNDUP((AB$1)/10,0)*10,[1]Hugst!$R$4:$W$4,0))))</f>
        <v>598.80965616080709</v>
      </c>
      <c r="AC30">
        <f ca="1">IF($C30-AC$1&lt;År1,0,AB29*(1-VLOOKUP($A30,[1]Hugst!$R$5:$W$9,MATCH(ROUNDUP((AC$1)/10,0)*10,[1]Hugst!$R$4:$W$4,0))))</f>
        <v>599.34002632610714</v>
      </c>
      <c r="AD30">
        <f ca="1">IF($C30-AD$1&lt;År1,0,AC29*(1-VLOOKUP($A30,[1]Hugst!$R$5:$W$9,MATCH(ROUNDUP((AD$1)/10,0)*10,[1]Hugst!$R$4:$W$4,0))))</f>
        <v>599.87306166811823</v>
      </c>
      <c r="AE30">
        <f ca="1">IF($C30-AE$1&lt;År1,0,AD29*(1-VLOOKUP($A30,[1]Hugst!$R$5:$W$9,MATCH(ROUNDUP((AE$1)/10,0)*10,[1]Hugst!$R$4:$W$4,0))))</f>
        <v>600.40877557968702</v>
      </c>
      <c r="AF30">
        <f ca="1">IF($C30-AF$1&lt;År1,0,AE29*(1-VLOOKUP($A30,[1]Hugst!$R$5:$W$9,MATCH(ROUNDUP((AF$1)/10,0)*10,[1]Hugst!$R$4:$W$4,0))))</f>
        <v>600.94718152096243</v>
      </c>
      <c r="AG30">
        <f ca="1">IF($C30-AG$1&lt;År1,0,AF29*(1-VLOOKUP($A30,[1]Hugst!$R$5:$W$9,MATCH(ROUNDUP((AG$1)/10,0)*10,[1]Hugst!$R$4:$W$4,0))))</f>
        <v>601.48829301972796</v>
      </c>
      <c r="AH30">
        <f ca="1">IF($C30-AH$1&lt;År1,0,AG29*(1-VLOOKUP($A30,[1]Hugst!$R$5:$W$9,MATCH(ROUNDUP((AH$1)/10,0)*10,[1]Hugst!$R$4:$W$4,0))))</f>
        <v>602.03212367175934</v>
      </c>
      <c r="AI30">
        <f>IF($C30-AI$1&lt;År1,0,AH29*(1-VLOOKUP($A30,[1]Hugst!$R$5:$W$9,MATCH(ROUNDUP((AI$1)/10,0)*10,[1]Hugst!$R$4:$W$4,0))))</f>
        <v>0</v>
      </c>
      <c r="AJ30">
        <f>IF($C30-AJ$1&lt;År1,0,AI29*(1-VLOOKUP($A30,[1]Hugst!$R$5:$W$9,MATCH(ROUNDUP((AJ$1)/10,0)*10,[1]Hugst!$R$4:$W$4,0))))</f>
        <v>0</v>
      </c>
    </row>
    <row r="31" spans="1:38" x14ac:dyDescent="0.25">
      <c r="A31" t="s">
        <v>176</v>
      </c>
      <c r="B31" t="s">
        <v>23</v>
      </c>
      <c r="C31">
        <v>2049</v>
      </c>
      <c r="D31" cm="1">
        <f t="array" ref="D31">(IF(B31="Vestdanmark",Skovbrug!$C$22-(Skovbrug!$C$22)*(1-Skovbrug!$C$9)^(C31-Skovbrug!$B$12),Skovbrug!$F$22-(Skovbrug!$F$22)*(1-Skovbrug!$C$9)^(C31-Skovbrug!$B$12)))*VLOOKUP(A31,Skovbrug!$A$13:$D$17,IF('Skovbrug-alder'!C31&lt;=År2,3,4),FALSE)
-IF(C31&gt;2020,SUM(INDEX($C$1:$D$311,MATCH(1,(2020=$C$1:$C$311)*(B31=$B$1:$B$311)*(A31=$A$1:$A$311),0),2):D30),0)</f>
        <v>94.050913785782086</v>
      </c>
      <c r="E31">
        <f t="shared" ca="1" si="0"/>
        <v>0</v>
      </c>
      <c r="F31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365.34721008207845</v>
      </c>
      <c r="G31">
        <f ca="1">IF($C31-G$1&lt;År1,0,F30*(1-VLOOKUP($A31,[1]Hugst!$R$5:$W$9,MATCH(ROUNDUP((G$1)/10,0)*10,[1]Hugst!$R$4:$W$4,0))))</f>
        <v>365.81982773929332</v>
      </c>
      <c r="H31">
        <f ca="1">IF($C31-H$1&lt;År1,0,G30*(1-VLOOKUP($A31,[1]Hugst!$R$5:$W$9,MATCH(ROUNDUP((H$1)/10,0)*10,[1]Hugst!$R$4:$W$4,0))))</f>
        <v>366.29482035960683</v>
      </c>
      <c r="I31">
        <f ca="1">IF($C31-I$1&lt;År1,0,H30*(1-VLOOKUP($A31,[1]Hugst!$R$5:$W$9,MATCH(ROUNDUP((I$1)/10,0)*10,[1]Hugst!$R$4:$W$4,0))))</f>
        <v>366.77219987751897</v>
      </c>
      <c r="J31">
        <f ca="1">IF($C31-J$1&lt;År1,0,I30*(1-VLOOKUP($A31,[1]Hugst!$R$5:$W$9,MATCH(ROUNDUP((J$1)/10,0)*10,[1]Hugst!$R$4:$W$4,0))))</f>
        <v>367.25197828747179</v>
      </c>
      <c r="K31">
        <f ca="1">IF($C31-K$1&lt;År1,0,J30*(1-VLOOKUP($A31,[1]Hugst!$R$5:$W$9,MATCH(ROUNDUP((K$1)/10,0)*10,[1]Hugst!$R$4:$W$4,0))))</f>
        <v>367.73416764421137</v>
      </c>
      <c r="L31">
        <f ca="1">IF($C31-L$1&lt;År1,0,K30*(1-VLOOKUP($A31,[1]Hugst!$R$5:$W$9,MATCH(ROUNDUP((L$1)/10,0)*10,[1]Hugst!$R$4:$W$4,0))))</f>
        <v>368.21878006304479</v>
      </c>
      <c r="M31">
        <f ca="1">IF($C31-M$1&lt;År1,0,L30*(1-VLOOKUP($A31,[1]Hugst!$R$5:$W$9,MATCH(ROUNDUP((M$1)/10,0)*10,[1]Hugst!$R$4:$W$4,0))))</f>
        <v>368.70582772016525</v>
      </c>
      <c r="N31">
        <f ca="1">IF($C31-N$1&lt;År1,0,M30*(1-VLOOKUP($A31,[1]Hugst!$R$5:$W$9,MATCH(ROUNDUP((N$1)/10,0)*10,[1]Hugst!$R$4:$W$4,0))))</f>
        <v>369.19532285294991</v>
      </c>
      <c r="O31">
        <f ca="1">IF($C31-O$1&lt;År1,0,N30*(1-VLOOKUP($A31,[1]Hugst!$R$5:$W$9,MATCH(ROUNDUP((O$1)/10,0)*10,[1]Hugst!$R$4:$W$4,0))))</f>
        <v>369.68727776026782</v>
      </c>
      <c r="P31">
        <f ca="1">IF($C31-P$1&lt;År1,0,O30*(1-VLOOKUP($A31,[1]Hugst!$R$5:$W$9,MATCH(ROUNDUP((P$1)/10,0)*10,[1]Hugst!$R$4:$W$4,0))))</f>
        <v>370.18170480279792</v>
      </c>
      <c r="Q31">
        <f ca="1">IF($C31-Q$1&lt;År1,0,P30*(1-VLOOKUP($A31,[1]Hugst!$R$5:$W$9,MATCH(ROUNDUP((Q$1)/10,0)*10,[1]Hugst!$R$4:$W$4,0))))</f>
        <v>370.67861640333882</v>
      </c>
      <c r="R31">
        <f ca="1">IF($C31-R$1&lt;År1,0,Q30*(1-VLOOKUP($A31,[1]Hugst!$R$5:$W$9,MATCH(ROUNDUP((R$1)/10,0)*10,[1]Hugst!$R$4:$W$4,0))))</f>
        <v>371.17802504708953</v>
      </c>
      <c r="S31">
        <f ca="1">IF($C31-S$1&lt;År1,0,R30*(1-VLOOKUP($A31,[1]Hugst!$R$5:$W$9,MATCH(ROUNDUP((S$1)/10,0)*10,[1]Hugst!$R$4:$W$4,0))))</f>
        <v>371.679943282019</v>
      </c>
      <c r="T31">
        <f ca="1">IF($C31-T$1&lt;År1,0,S30*(1-VLOOKUP($A31,[1]Hugst!$R$5:$W$9,MATCH(ROUNDUP((T$1)/10,0)*10,[1]Hugst!$R$4:$W$4,0))))</f>
        <v>372.18438371913368</v>
      </c>
      <c r="U31">
        <f ca="1">IF($C31-U$1&lt;År1,0,T30*(1-VLOOKUP($A31,[1]Hugst!$R$5:$W$9,MATCH(ROUNDUP((U$1)/10,0)*10,[1]Hugst!$R$4:$W$4,0))))</f>
        <v>372.69135903281409</v>
      </c>
      <c r="V31">
        <f ca="1">IF($C31-V$1&lt;År1,0,U30*(1-VLOOKUP($A31,[1]Hugst!$R$5:$W$9,MATCH(ROUNDUP((V$1)/10,0)*10,[1]Hugst!$R$4:$W$4,0))))</f>
        <v>373.2008819611379</v>
      </c>
      <c r="W31">
        <f ca="1">IF($C31-W$1&lt;År1,0,V30*(1-VLOOKUP($A31,[1]Hugst!$R$5:$W$9,MATCH(ROUNDUP((W$1)/10,0)*10,[1]Hugst!$R$4:$W$4,0))))</f>
        <v>373.71296530619003</v>
      </c>
      <c r="X31">
        <f ca="1">IF($C31-X$1&lt;År1,0,W30*(1-VLOOKUP($A31,[1]Hugst!$R$5:$W$9,MATCH(ROUNDUP((X$1)/10,0)*10,[1]Hugst!$R$4:$W$4,0))))</f>
        <v>374.22762193437535</v>
      </c>
      <c r="Y31">
        <f ca="1">IF($C31-Y$1&lt;År1,0,X30*(1-VLOOKUP($A31,[1]Hugst!$R$5:$W$9,MATCH(ROUNDUP((Y$1)/10,0)*10,[1]Hugst!$R$4:$W$4,0))))</f>
        <v>596.71456174648119</v>
      </c>
      <c r="Z31">
        <f ca="1">IF($C31-Z$1&lt;År1,0,Y30*(1-VLOOKUP($A31,[1]Hugst!$R$5:$W$9,MATCH(ROUNDUP((Z$1)/10,0)*10,[1]Hugst!$R$4:$W$4,0))))</f>
        <v>597.23440379914155</v>
      </c>
      <c r="AA31">
        <f ca="1">IF($C31-AA$1&lt;År1,0,Z30*(1-VLOOKUP($A31,[1]Hugst!$R$5:$W$9,MATCH(ROUNDUP((AA$1)/10,0)*10,[1]Hugst!$R$4:$W$4,0))))</f>
        <v>597.75685812343352</v>
      </c>
      <c r="AB31">
        <f ca="1">IF($C31-AB$1&lt;År1,0,AA30*(1-VLOOKUP($A31,[1]Hugst!$R$5:$W$9,MATCH(ROUNDUP((AB$1)/10,0)*10,[1]Hugst!$R$4:$W$4,0))))</f>
        <v>598.28193784633402</v>
      </c>
      <c r="AC31">
        <f ca="1">IF($C31-AC$1&lt;År1,0,AB30*(1-VLOOKUP($A31,[1]Hugst!$R$5:$W$9,MATCH(ROUNDUP((AC$1)/10,0)*10,[1]Hugst!$R$4:$W$4,0))))</f>
        <v>598.80965616080709</v>
      </c>
      <c r="AD31">
        <f ca="1">IF($C31-AD$1&lt;År1,0,AC30*(1-VLOOKUP($A31,[1]Hugst!$R$5:$W$9,MATCH(ROUNDUP((AD$1)/10,0)*10,[1]Hugst!$R$4:$W$4,0))))</f>
        <v>599.34002632610714</v>
      </c>
      <c r="AE31">
        <f ca="1">IF($C31-AE$1&lt;År1,0,AD30*(1-VLOOKUP($A31,[1]Hugst!$R$5:$W$9,MATCH(ROUNDUP((AE$1)/10,0)*10,[1]Hugst!$R$4:$W$4,0))))</f>
        <v>599.87306166811823</v>
      </c>
      <c r="AF31">
        <f ca="1">IF($C31-AF$1&lt;År1,0,AE30*(1-VLOOKUP($A31,[1]Hugst!$R$5:$W$9,MATCH(ROUNDUP((AF$1)/10,0)*10,[1]Hugst!$R$4:$W$4,0))))</f>
        <v>600.40877557968702</v>
      </c>
      <c r="AG31">
        <f ca="1">IF($C31-AG$1&lt;År1,0,AF30*(1-VLOOKUP($A31,[1]Hugst!$R$5:$W$9,MATCH(ROUNDUP((AG$1)/10,0)*10,[1]Hugst!$R$4:$W$4,0))))</f>
        <v>600.94718152096243</v>
      </c>
      <c r="AH31">
        <f ca="1">IF($C31-AH$1&lt;År1,0,AG30*(1-VLOOKUP($A31,[1]Hugst!$R$5:$W$9,MATCH(ROUNDUP((AH$1)/10,0)*10,[1]Hugst!$R$4:$W$4,0))))</f>
        <v>601.48829301972796</v>
      </c>
      <c r="AI31">
        <f ca="1">IF($C31-AI$1&lt;År1,0,AH30*(1-VLOOKUP($A31,[1]Hugst!$R$5:$W$9,MATCH(ROUNDUP((AI$1)/10,0)*10,[1]Hugst!$R$4:$W$4,0))))</f>
        <v>602.03212367175934</v>
      </c>
      <c r="AJ31">
        <f>IF($C31-AJ$1&lt;År1,0,AI30*(1-VLOOKUP($A31,[1]Hugst!$R$5:$W$9,MATCH(ROUNDUP((AJ$1)/10,0)*10,[1]Hugst!$R$4:$W$4,0))))</f>
        <v>0</v>
      </c>
    </row>
    <row r="32" spans="1:38" x14ac:dyDescent="0.25">
      <c r="A32" t="s">
        <v>176</v>
      </c>
      <c r="B32" t="s">
        <v>23</v>
      </c>
      <c r="C32">
        <v>2050</v>
      </c>
      <c r="D32" cm="1">
        <f t="array" ref="D32">(IF(B32="Vestdanmark",Skovbrug!$C$22-(Skovbrug!$C$22)*(1-Skovbrug!$C$9)^(C32-Skovbrug!$B$12),Skovbrug!$F$22-(Skovbrug!$F$22)*(1-Skovbrug!$C$9)^(C32-Skovbrug!$B$12)))*VLOOKUP(A32,Skovbrug!$A$13:$D$17,IF('Skovbrug-alder'!C32&lt;=År2,3,4),FALSE)
-IF(C32&gt;2020,SUM(INDEX($C$1:$D$311,MATCH(1,(2020=$C$1:$C$311)*(B32=$B$1:$B$311)*(A32=$A$1:$A$311),0),2):D31),0)</f>
        <v>93.580659216854656</v>
      </c>
      <c r="E32">
        <f t="shared" ca="1" si="0"/>
        <v>1.9854250887037779</v>
      </c>
      <c r="F32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366.8623806018548</v>
      </c>
      <c r="G32">
        <f ca="1">IF($C32-G$1&lt;År1,0,F31*(1-VLOOKUP($A32,[1]Hugst!$R$5:$W$9,MATCH(ROUNDUP((G$1)/10,0)*10,[1]Hugst!$R$4:$W$4,0))))</f>
        <v>365.34721008207845</v>
      </c>
      <c r="H32">
        <f ca="1">IF($C32-H$1&lt;År1,0,G31*(1-VLOOKUP($A32,[1]Hugst!$R$5:$W$9,MATCH(ROUNDUP((H$1)/10,0)*10,[1]Hugst!$R$4:$W$4,0))))</f>
        <v>365.81982773929332</v>
      </c>
      <c r="I32">
        <f ca="1">IF($C32-I$1&lt;År1,0,H31*(1-VLOOKUP($A32,[1]Hugst!$R$5:$W$9,MATCH(ROUNDUP((I$1)/10,0)*10,[1]Hugst!$R$4:$W$4,0))))</f>
        <v>366.29482035960683</v>
      </c>
      <c r="J32">
        <f ca="1">IF($C32-J$1&lt;År1,0,I31*(1-VLOOKUP($A32,[1]Hugst!$R$5:$W$9,MATCH(ROUNDUP((J$1)/10,0)*10,[1]Hugst!$R$4:$W$4,0))))</f>
        <v>366.77219987751897</v>
      </c>
      <c r="K32">
        <f ca="1">IF($C32-K$1&lt;År1,0,J31*(1-VLOOKUP($A32,[1]Hugst!$R$5:$W$9,MATCH(ROUNDUP((K$1)/10,0)*10,[1]Hugst!$R$4:$W$4,0))))</f>
        <v>367.25197828747179</v>
      </c>
      <c r="L32">
        <f ca="1">IF($C32-L$1&lt;År1,0,K31*(1-VLOOKUP($A32,[1]Hugst!$R$5:$W$9,MATCH(ROUNDUP((L$1)/10,0)*10,[1]Hugst!$R$4:$W$4,0))))</f>
        <v>367.73416764421137</v>
      </c>
      <c r="M32">
        <f ca="1">IF($C32-M$1&lt;År1,0,L31*(1-VLOOKUP($A32,[1]Hugst!$R$5:$W$9,MATCH(ROUNDUP((M$1)/10,0)*10,[1]Hugst!$R$4:$W$4,0))))</f>
        <v>368.21878006304479</v>
      </c>
      <c r="N32">
        <f ca="1">IF($C32-N$1&lt;År1,0,M31*(1-VLOOKUP($A32,[1]Hugst!$R$5:$W$9,MATCH(ROUNDUP((N$1)/10,0)*10,[1]Hugst!$R$4:$W$4,0))))</f>
        <v>368.70582772016525</v>
      </c>
      <c r="O32">
        <f ca="1">IF($C32-O$1&lt;År1,0,N31*(1-VLOOKUP($A32,[1]Hugst!$R$5:$W$9,MATCH(ROUNDUP((O$1)/10,0)*10,[1]Hugst!$R$4:$W$4,0))))</f>
        <v>369.19532285294991</v>
      </c>
      <c r="P32">
        <f ca="1">IF($C32-P$1&lt;År1,0,O31*(1-VLOOKUP($A32,[1]Hugst!$R$5:$W$9,MATCH(ROUNDUP((P$1)/10,0)*10,[1]Hugst!$R$4:$W$4,0))))</f>
        <v>369.68727776026782</v>
      </c>
      <c r="Q32">
        <f ca="1">IF($C32-Q$1&lt;År1,0,P31*(1-VLOOKUP($A32,[1]Hugst!$R$5:$W$9,MATCH(ROUNDUP((Q$1)/10,0)*10,[1]Hugst!$R$4:$W$4,0))))</f>
        <v>370.18170480279792</v>
      </c>
      <c r="R32">
        <f ca="1">IF($C32-R$1&lt;År1,0,Q31*(1-VLOOKUP($A32,[1]Hugst!$R$5:$W$9,MATCH(ROUNDUP((R$1)/10,0)*10,[1]Hugst!$R$4:$W$4,0))))</f>
        <v>370.67861640333882</v>
      </c>
      <c r="S32">
        <f ca="1">IF($C32-S$1&lt;År1,0,R31*(1-VLOOKUP($A32,[1]Hugst!$R$5:$W$9,MATCH(ROUNDUP((S$1)/10,0)*10,[1]Hugst!$R$4:$W$4,0))))</f>
        <v>371.17802504708953</v>
      </c>
      <c r="T32">
        <f ca="1">IF($C32-T$1&lt;År1,0,S31*(1-VLOOKUP($A32,[1]Hugst!$R$5:$W$9,MATCH(ROUNDUP((T$1)/10,0)*10,[1]Hugst!$R$4:$W$4,0))))</f>
        <v>371.679943282019</v>
      </c>
      <c r="U32">
        <f ca="1">IF($C32-U$1&lt;År1,0,T31*(1-VLOOKUP($A32,[1]Hugst!$R$5:$W$9,MATCH(ROUNDUP((U$1)/10,0)*10,[1]Hugst!$R$4:$W$4,0))))</f>
        <v>372.18438371913368</v>
      </c>
      <c r="V32">
        <f ca="1">IF($C32-V$1&lt;År1,0,U31*(1-VLOOKUP($A32,[1]Hugst!$R$5:$W$9,MATCH(ROUNDUP((V$1)/10,0)*10,[1]Hugst!$R$4:$W$4,0))))</f>
        <v>372.69135903281409</v>
      </c>
      <c r="W32">
        <f ca="1">IF($C32-W$1&lt;År1,0,V31*(1-VLOOKUP($A32,[1]Hugst!$R$5:$W$9,MATCH(ROUNDUP((W$1)/10,0)*10,[1]Hugst!$R$4:$W$4,0))))</f>
        <v>373.2008819611379</v>
      </c>
      <c r="X32">
        <f ca="1">IF($C32-X$1&lt;År1,0,W31*(1-VLOOKUP($A32,[1]Hugst!$R$5:$W$9,MATCH(ROUNDUP((X$1)/10,0)*10,[1]Hugst!$R$4:$W$4,0))))</f>
        <v>373.71296530619003</v>
      </c>
      <c r="Y32">
        <f ca="1">IF($C32-Y$1&lt;År1,0,X31*(1-VLOOKUP($A32,[1]Hugst!$R$5:$W$9,MATCH(ROUNDUP((Y$1)/10,0)*10,[1]Hugst!$R$4:$W$4,0))))</f>
        <v>374.22762193437535</v>
      </c>
      <c r="Z32">
        <f ca="1">IF($C32-Z$1&lt;År1,0,Y31*(1-VLOOKUP($A32,[1]Hugst!$R$5:$W$9,MATCH(ROUNDUP((Z$1)/10,0)*10,[1]Hugst!$R$4:$W$4,0))))</f>
        <v>596.71456174648119</v>
      </c>
      <c r="AA32">
        <f ca="1">IF($C32-AA$1&lt;År1,0,Z31*(1-VLOOKUP($A32,[1]Hugst!$R$5:$W$9,MATCH(ROUNDUP((AA$1)/10,0)*10,[1]Hugst!$R$4:$W$4,0))))</f>
        <v>597.23440379914155</v>
      </c>
      <c r="AB32">
        <f ca="1">IF($C32-AB$1&lt;År1,0,AA31*(1-VLOOKUP($A32,[1]Hugst!$R$5:$W$9,MATCH(ROUNDUP((AB$1)/10,0)*10,[1]Hugst!$R$4:$W$4,0))))</f>
        <v>597.75685812343352</v>
      </c>
      <c r="AC32">
        <f ca="1">IF($C32-AC$1&lt;År1,0,AB31*(1-VLOOKUP($A32,[1]Hugst!$R$5:$W$9,MATCH(ROUNDUP((AC$1)/10,0)*10,[1]Hugst!$R$4:$W$4,0))))</f>
        <v>598.28193784633402</v>
      </c>
      <c r="AD32">
        <f ca="1">IF($C32-AD$1&lt;År1,0,AC31*(1-VLOOKUP($A32,[1]Hugst!$R$5:$W$9,MATCH(ROUNDUP((AD$1)/10,0)*10,[1]Hugst!$R$4:$W$4,0))))</f>
        <v>598.80965616080709</v>
      </c>
      <c r="AE32">
        <f ca="1">IF($C32-AE$1&lt;År1,0,AD31*(1-VLOOKUP($A32,[1]Hugst!$R$5:$W$9,MATCH(ROUNDUP((AE$1)/10,0)*10,[1]Hugst!$R$4:$W$4,0))))</f>
        <v>599.34002632610714</v>
      </c>
      <c r="AF32">
        <f ca="1">IF($C32-AF$1&lt;År1,0,AE31*(1-VLOOKUP($A32,[1]Hugst!$R$5:$W$9,MATCH(ROUNDUP((AF$1)/10,0)*10,[1]Hugst!$R$4:$W$4,0))))</f>
        <v>599.87306166811823</v>
      </c>
      <c r="AG32">
        <f ca="1">IF($C32-AG$1&lt;År1,0,AF31*(1-VLOOKUP($A32,[1]Hugst!$R$5:$W$9,MATCH(ROUNDUP((AG$1)/10,0)*10,[1]Hugst!$R$4:$W$4,0))))</f>
        <v>600.40877557968702</v>
      </c>
      <c r="AH32">
        <f ca="1">IF($C32-AH$1&lt;År1,0,AG31*(1-VLOOKUP($A32,[1]Hugst!$R$5:$W$9,MATCH(ROUNDUP((AH$1)/10,0)*10,[1]Hugst!$R$4:$W$4,0))))</f>
        <v>600.94718152096243</v>
      </c>
      <c r="AI32">
        <f ca="1">IF($C32-AI$1&lt;År1,0,AH31*(1-VLOOKUP($A32,[1]Hugst!$R$5:$W$9,MATCH(ROUNDUP((AI$1)/10,0)*10,[1]Hugst!$R$4:$W$4,0))))</f>
        <v>601.48829301972796</v>
      </c>
      <c r="AJ32">
        <f ca="1">IF($C32-AJ$1&lt;År1,0,AI31*(1-VLOOKUP($A32,[1]Hugst!$R$5:$W$9,MATCH(ROUNDUP((AJ$1)/10,0)*10,[1]Hugst!$R$4:$W$4,0))))</f>
        <v>600.04669858305454</v>
      </c>
      <c r="AL32">
        <f ca="1">SUM(F32:AJ32)</f>
        <v>13982.526748851215</v>
      </c>
    </row>
    <row r="33" spans="1:36" x14ac:dyDescent="0.25">
      <c r="A33" t="s">
        <v>176</v>
      </c>
      <c r="B33" t="s">
        <v>24</v>
      </c>
      <c r="C33">
        <v>2020</v>
      </c>
      <c r="D33" cm="1">
        <f t="array" ref="D33">(IF(B33="Vestdanmark",Skovbrug!$C$22-(Skovbrug!$C$22)*(1-Skovbrug!$C$9)^(C33-Skovbrug!$B$12),Skovbrug!$F$22-(Skovbrug!$F$22)*(1-Skovbrug!$C$9)^(C33-Skovbrug!$B$12)))*VLOOKUP(A33,Skovbrug!$A$13:$D$17,IF('Skovbrug-alder'!C33&lt;=År2,3,4),FALSE)
-IF(C33&gt;2020,SUM(INDEX($C$1:$D$311,MATCH(1,(2020=$C$1:$C$311)*(B33=$B$1:$B$311)*(A33=$A$1:$A$311),0),2):D32),0)</f>
        <v>31.83636959423384</v>
      </c>
      <c r="E33">
        <f t="shared" si="0"/>
        <v>0</v>
      </c>
      <c r="F33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106.75219451005873</v>
      </c>
      <c r="G33">
        <f>IF($C33-G$1&lt;År1,0,F32*(1-VLOOKUP($A33,[1]Hugst!$R$5:$W$9,MATCH(ROUNDUP((G$1)/10,0)*10,[1]Hugst!$R$4:$W$4,0))))</f>
        <v>0</v>
      </c>
      <c r="H33">
        <f>IF($C33-H$1&lt;År1,0,G32*(1-VLOOKUP($A33,[1]Hugst!$R$5:$W$9,MATCH(ROUNDUP((H$1)/10,0)*10,[1]Hugst!$R$4:$W$4,0))))</f>
        <v>0</v>
      </c>
      <c r="I33">
        <f>IF($C33-I$1&lt;År1,0,H32*(1-VLOOKUP($A33,[1]Hugst!$R$5:$W$9,MATCH(ROUNDUP((I$1)/10,0)*10,[1]Hugst!$R$4:$W$4,0))))</f>
        <v>0</v>
      </c>
      <c r="J33">
        <f>IF($C33-J$1&lt;År1,0,I32*(1-VLOOKUP($A33,[1]Hugst!$R$5:$W$9,MATCH(ROUNDUP((J$1)/10,0)*10,[1]Hugst!$R$4:$W$4,0))))</f>
        <v>0</v>
      </c>
      <c r="K33">
        <f>IF($C33-K$1&lt;År1,0,J32*(1-VLOOKUP($A33,[1]Hugst!$R$5:$W$9,MATCH(ROUNDUP((K$1)/10,0)*10,[1]Hugst!$R$4:$W$4,0))))</f>
        <v>0</v>
      </c>
      <c r="L33">
        <f>IF($C33-L$1&lt;År1,0,K32*(1-VLOOKUP($A33,[1]Hugst!$R$5:$W$9,MATCH(ROUNDUP((L$1)/10,0)*10,[1]Hugst!$R$4:$W$4,0))))</f>
        <v>0</v>
      </c>
      <c r="M33">
        <f>IF($C33-M$1&lt;År1,0,L32*(1-VLOOKUP($A33,[1]Hugst!$R$5:$W$9,MATCH(ROUNDUP((M$1)/10,0)*10,[1]Hugst!$R$4:$W$4,0))))</f>
        <v>0</v>
      </c>
      <c r="N33">
        <f>IF($C33-N$1&lt;År1,0,M32*(1-VLOOKUP($A33,[1]Hugst!$R$5:$W$9,MATCH(ROUNDUP((N$1)/10,0)*10,[1]Hugst!$R$4:$W$4,0))))</f>
        <v>0</v>
      </c>
      <c r="O33">
        <f>IF($C33-O$1&lt;År1,0,N32*(1-VLOOKUP($A33,[1]Hugst!$R$5:$W$9,MATCH(ROUNDUP((O$1)/10,0)*10,[1]Hugst!$R$4:$W$4,0))))</f>
        <v>0</v>
      </c>
      <c r="P33">
        <f>IF($C33-P$1&lt;År1,0,O32*(1-VLOOKUP($A33,[1]Hugst!$R$5:$W$9,MATCH(ROUNDUP((P$1)/10,0)*10,[1]Hugst!$R$4:$W$4,0))))</f>
        <v>0</v>
      </c>
      <c r="Q33">
        <f>IF($C33-Q$1&lt;År1,0,P32*(1-VLOOKUP($A33,[1]Hugst!$R$5:$W$9,MATCH(ROUNDUP((Q$1)/10,0)*10,[1]Hugst!$R$4:$W$4,0))))</f>
        <v>0</v>
      </c>
      <c r="R33">
        <f>IF($C33-R$1&lt;År1,0,Q32*(1-VLOOKUP($A33,[1]Hugst!$R$5:$W$9,MATCH(ROUNDUP((R$1)/10,0)*10,[1]Hugst!$R$4:$W$4,0))))</f>
        <v>0</v>
      </c>
      <c r="S33">
        <f>IF($C33-S$1&lt;År1,0,R32*(1-VLOOKUP($A33,[1]Hugst!$R$5:$W$9,MATCH(ROUNDUP((S$1)/10,0)*10,[1]Hugst!$R$4:$W$4,0))))</f>
        <v>0</v>
      </c>
      <c r="T33">
        <f>IF($C33-T$1&lt;År1,0,S32*(1-VLOOKUP($A33,[1]Hugst!$R$5:$W$9,MATCH(ROUNDUP((T$1)/10,0)*10,[1]Hugst!$R$4:$W$4,0))))</f>
        <v>0</v>
      </c>
      <c r="U33">
        <f>IF($C33-U$1&lt;År1,0,T32*(1-VLOOKUP($A33,[1]Hugst!$R$5:$W$9,MATCH(ROUNDUP((U$1)/10,0)*10,[1]Hugst!$R$4:$W$4,0))))</f>
        <v>0</v>
      </c>
      <c r="V33">
        <f>IF($C33-V$1&lt;År1,0,U32*(1-VLOOKUP($A33,[1]Hugst!$R$5:$W$9,MATCH(ROUNDUP((V$1)/10,0)*10,[1]Hugst!$R$4:$W$4,0))))</f>
        <v>0</v>
      </c>
      <c r="W33">
        <f>IF($C33-W$1&lt;År1,0,V32*(1-VLOOKUP($A33,[1]Hugst!$R$5:$W$9,MATCH(ROUNDUP((W$1)/10,0)*10,[1]Hugst!$R$4:$W$4,0))))</f>
        <v>0</v>
      </c>
      <c r="X33">
        <f>IF($C33-X$1&lt;År1,0,W32*(1-VLOOKUP($A33,[1]Hugst!$R$5:$W$9,MATCH(ROUNDUP((X$1)/10,0)*10,[1]Hugst!$R$4:$W$4,0))))</f>
        <v>0</v>
      </c>
      <c r="Y33">
        <f>IF($C33-Y$1&lt;År1,0,X32*(1-VLOOKUP($A33,[1]Hugst!$R$5:$W$9,MATCH(ROUNDUP((Y$1)/10,0)*10,[1]Hugst!$R$4:$W$4,0))))</f>
        <v>0</v>
      </c>
      <c r="Z33">
        <f>IF($C33-Z$1&lt;År1,0,Y32*(1-VLOOKUP($A33,[1]Hugst!$R$5:$W$9,MATCH(ROUNDUP((Z$1)/10,0)*10,[1]Hugst!$R$4:$W$4,0))))</f>
        <v>0</v>
      </c>
      <c r="AA33">
        <f>IF($C33-AA$1&lt;År1,0,Z32*(1-VLOOKUP($A33,[1]Hugst!$R$5:$W$9,MATCH(ROUNDUP((AA$1)/10,0)*10,[1]Hugst!$R$4:$W$4,0))))</f>
        <v>0</v>
      </c>
      <c r="AB33">
        <f>IF($C33-AB$1&lt;År1,0,AA32*(1-VLOOKUP($A33,[1]Hugst!$R$5:$W$9,MATCH(ROUNDUP((AB$1)/10,0)*10,[1]Hugst!$R$4:$W$4,0))))</f>
        <v>0</v>
      </c>
      <c r="AC33">
        <f>IF($C33-AC$1&lt;År1,0,AB32*(1-VLOOKUP($A33,[1]Hugst!$R$5:$W$9,MATCH(ROUNDUP((AC$1)/10,0)*10,[1]Hugst!$R$4:$W$4,0))))</f>
        <v>0</v>
      </c>
      <c r="AD33">
        <f>IF($C33-AD$1&lt;År1,0,AC32*(1-VLOOKUP($A33,[1]Hugst!$R$5:$W$9,MATCH(ROUNDUP((AD$1)/10,0)*10,[1]Hugst!$R$4:$W$4,0))))</f>
        <v>0</v>
      </c>
      <c r="AE33">
        <f>IF($C33-AE$1&lt;År1,0,AD32*(1-VLOOKUP($A33,[1]Hugst!$R$5:$W$9,MATCH(ROUNDUP((AE$1)/10,0)*10,[1]Hugst!$R$4:$W$4,0))))</f>
        <v>0</v>
      </c>
      <c r="AF33">
        <f>IF($C33-AF$1&lt;År1,0,AE32*(1-VLOOKUP($A33,[1]Hugst!$R$5:$W$9,MATCH(ROUNDUP((AF$1)/10,0)*10,[1]Hugst!$R$4:$W$4,0))))</f>
        <v>0</v>
      </c>
      <c r="AG33">
        <f>IF($C33-AG$1&lt;År1,0,AF32*(1-VLOOKUP($A33,[1]Hugst!$R$5:$W$9,MATCH(ROUNDUP((AG$1)/10,0)*10,[1]Hugst!$R$4:$W$4,0))))</f>
        <v>0</v>
      </c>
      <c r="AH33">
        <f>IF($C33-AH$1&lt;År1,0,AG32*(1-VLOOKUP($A33,[1]Hugst!$R$5:$W$9,MATCH(ROUNDUP((AH$1)/10,0)*10,[1]Hugst!$R$4:$W$4,0))))</f>
        <v>0</v>
      </c>
      <c r="AI33">
        <f>IF($C33-AI$1&lt;År1,0,AH32*(1-VLOOKUP($A33,[1]Hugst!$R$5:$W$9,MATCH(ROUNDUP((AI$1)/10,0)*10,[1]Hugst!$R$4:$W$4,0))))</f>
        <v>0</v>
      </c>
      <c r="AJ33">
        <f>IF($C33-AJ$1&lt;År1,0,AI32*(1-VLOOKUP($A33,[1]Hugst!$R$5:$W$9,MATCH(ROUNDUP((AJ$1)/10,0)*10,[1]Hugst!$R$4:$W$4,0))))</f>
        <v>0</v>
      </c>
    </row>
    <row r="34" spans="1:36" x14ac:dyDescent="0.25">
      <c r="A34" t="s">
        <v>176</v>
      </c>
      <c r="B34" t="s">
        <v>24</v>
      </c>
      <c r="C34">
        <v>2021</v>
      </c>
      <c r="D34" cm="1">
        <f t="array" ref="D34">(IF(B34="Vestdanmark",Skovbrug!$C$22-(Skovbrug!$C$22)*(1-Skovbrug!$C$9)^(C34-Skovbrug!$B$12),Skovbrug!$F$22-(Skovbrug!$F$22)*(1-Skovbrug!$C$9)^(C34-Skovbrug!$B$12)))*VLOOKUP(A34,Skovbrug!$A$13:$D$17,IF('Skovbrug-alder'!C34&lt;=År2,3,4),FALSE)
-IF(C34&gt;2020,SUM(INDEX($C$1:$D$311,MATCH(1,(2020=$C$1:$C$311)*(B34=$B$1:$B$311)*(A34=$A$1:$A$311),0),2):D33),0)</f>
        <v>31.677187746262643</v>
      </c>
      <c r="E34">
        <f t="shared" ca="1" si="0"/>
        <v>0</v>
      </c>
      <c r="F34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106.59301266208753</v>
      </c>
      <c r="G34">
        <f ca="1">IF($C34-G$1&lt;År1,0,F33*(1-VLOOKUP($A34,[1]Hugst!$R$5:$W$9,MATCH(ROUNDUP((G$1)/10,0)*10,[1]Hugst!$R$4:$W$4,0))))</f>
        <v>106.75219451005873</v>
      </c>
      <c r="H34">
        <f>IF($C34-H$1&lt;År1,0,G33*(1-VLOOKUP($A34,[1]Hugst!$R$5:$W$9,MATCH(ROUNDUP((H$1)/10,0)*10,[1]Hugst!$R$4:$W$4,0))))</f>
        <v>0</v>
      </c>
      <c r="I34">
        <f>IF($C34-I$1&lt;År1,0,H33*(1-VLOOKUP($A34,[1]Hugst!$R$5:$W$9,MATCH(ROUNDUP((I$1)/10,0)*10,[1]Hugst!$R$4:$W$4,0))))</f>
        <v>0</v>
      </c>
      <c r="J34">
        <f>IF($C34-J$1&lt;År1,0,I33*(1-VLOOKUP($A34,[1]Hugst!$R$5:$W$9,MATCH(ROUNDUP((J$1)/10,0)*10,[1]Hugst!$R$4:$W$4,0))))</f>
        <v>0</v>
      </c>
      <c r="K34">
        <f>IF($C34-K$1&lt;År1,0,J33*(1-VLOOKUP($A34,[1]Hugst!$R$5:$W$9,MATCH(ROUNDUP((K$1)/10,0)*10,[1]Hugst!$R$4:$W$4,0))))</f>
        <v>0</v>
      </c>
      <c r="L34">
        <f>IF($C34-L$1&lt;År1,0,K33*(1-VLOOKUP($A34,[1]Hugst!$R$5:$W$9,MATCH(ROUNDUP((L$1)/10,0)*10,[1]Hugst!$R$4:$W$4,0))))</f>
        <v>0</v>
      </c>
      <c r="M34">
        <f>IF($C34-M$1&lt;År1,0,L33*(1-VLOOKUP($A34,[1]Hugst!$R$5:$W$9,MATCH(ROUNDUP((M$1)/10,0)*10,[1]Hugst!$R$4:$W$4,0))))</f>
        <v>0</v>
      </c>
      <c r="N34">
        <f>IF($C34-N$1&lt;År1,0,M33*(1-VLOOKUP($A34,[1]Hugst!$R$5:$W$9,MATCH(ROUNDUP((N$1)/10,0)*10,[1]Hugst!$R$4:$W$4,0))))</f>
        <v>0</v>
      </c>
      <c r="O34">
        <f>IF($C34-O$1&lt;År1,0,N33*(1-VLOOKUP($A34,[1]Hugst!$R$5:$W$9,MATCH(ROUNDUP((O$1)/10,0)*10,[1]Hugst!$R$4:$W$4,0))))</f>
        <v>0</v>
      </c>
      <c r="P34">
        <f>IF($C34-P$1&lt;År1,0,O33*(1-VLOOKUP($A34,[1]Hugst!$R$5:$W$9,MATCH(ROUNDUP((P$1)/10,0)*10,[1]Hugst!$R$4:$W$4,0))))</f>
        <v>0</v>
      </c>
      <c r="Q34">
        <f>IF($C34-Q$1&lt;År1,0,P33*(1-VLOOKUP($A34,[1]Hugst!$R$5:$W$9,MATCH(ROUNDUP((Q$1)/10,0)*10,[1]Hugst!$R$4:$W$4,0))))</f>
        <v>0</v>
      </c>
      <c r="R34">
        <f>IF($C34-R$1&lt;År1,0,Q33*(1-VLOOKUP($A34,[1]Hugst!$R$5:$W$9,MATCH(ROUNDUP((R$1)/10,0)*10,[1]Hugst!$R$4:$W$4,0))))</f>
        <v>0</v>
      </c>
      <c r="S34">
        <f>IF($C34-S$1&lt;År1,0,R33*(1-VLOOKUP($A34,[1]Hugst!$R$5:$W$9,MATCH(ROUNDUP((S$1)/10,0)*10,[1]Hugst!$R$4:$W$4,0))))</f>
        <v>0</v>
      </c>
      <c r="T34">
        <f>IF($C34-T$1&lt;År1,0,S33*(1-VLOOKUP($A34,[1]Hugst!$R$5:$W$9,MATCH(ROUNDUP((T$1)/10,0)*10,[1]Hugst!$R$4:$W$4,0))))</f>
        <v>0</v>
      </c>
      <c r="U34">
        <f>IF($C34-U$1&lt;År1,0,T33*(1-VLOOKUP($A34,[1]Hugst!$R$5:$W$9,MATCH(ROUNDUP((U$1)/10,0)*10,[1]Hugst!$R$4:$W$4,0))))</f>
        <v>0</v>
      </c>
      <c r="V34">
        <f>IF($C34-V$1&lt;År1,0,U33*(1-VLOOKUP($A34,[1]Hugst!$R$5:$W$9,MATCH(ROUNDUP((V$1)/10,0)*10,[1]Hugst!$R$4:$W$4,0))))</f>
        <v>0</v>
      </c>
      <c r="W34">
        <f>IF($C34-W$1&lt;År1,0,V33*(1-VLOOKUP($A34,[1]Hugst!$R$5:$W$9,MATCH(ROUNDUP((W$1)/10,0)*10,[1]Hugst!$R$4:$W$4,0))))</f>
        <v>0</v>
      </c>
      <c r="X34">
        <f>IF($C34-X$1&lt;År1,0,W33*(1-VLOOKUP($A34,[1]Hugst!$R$5:$W$9,MATCH(ROUNDUP((X$1)/10,0)*10,[1]Hugst!$R$4:$W$4,0))))</f>
        <v>0</v>
      </c>
      <c r="Y34">
        <f>IF($C34-Y$1&lt;År1,0,X33*(1-VLOOKUP($A34,[1]Hugst!$R$5:$W$9,MATCH(ROUNDUP((Y$1)/10,0)*10,[1]Hugst!$R$4:$W$4,0))))</f>
        <v>0</v>
      </c>
      <c r="Z34">
        <f>IF($C34-Z$1&lt;År1,0,Y33*(1-VLOOKUP($A34,[1]Hugst!$R$5:$W$9,MATCH(ROUNDUP((Z$1)/10,0)*10,[1]Hugst!$R$4:$W$4,0))))</f>
        <v>0</v>
      </c>
      <c r="AA34">
        <f>IF($C34-AA$1&lt;År1,0,Z33*(1-VLOOKUP($A34,[1]Hugst!$R$5:$W$9,MATCH(ROUNDUP((AA$1)/10,0)*10,[1]Hugst!$R$4:$W$4,0))))</f>
        <v>0</v>
      </c>
      <c r="AB34">
        <f>IF($C34-AB$1&lt;År1,0,AA33*(1-VLOOKUP($A34,[1]Hugst!$R$5:$W$9,MATCH(ROUNDUP((AB$1)/10,0)*10,[1]Hugst!$R$4:$W$4,0))))</f>
        <v>0</v>
      </c>
      <c r="AC34">
        <f>IF($C34-AC$1&lt;År1,0,AB33*(1-VLOOKUP($A34,[1]Hugst!$R$5:$W$9,MATCH(ROUNDUP((AC$1)/10,0)*10,[1]Hugst!$R$4:$W$4,0))))</f>
        <v>0</v>
      </c>
      <c r="AD34">
        <f>IF($C34-AD$1&lt;År1,0,AC33*(1-VLOOKUP($A34,[1]Hugst!$R$5:$W$9,MATCH(ROUNDUP((AD$1)/10,0)*10,[1]Hugst!$R$4:$W$4,0))))</f>
        <v>0</v>
      </c>
      <c r="AE34">
        <f>IF($C34-AE$1&lt;År1,0,AD33*(1-VLOOKUP($A34,[1]Hugst!$R$5:$W$9,MATCH(ROUNDUP((AE$1)/10,0)*10,[1]Hugst!$R$4:$W$4,0))))</f>
        <v>0</v>
      </c>
      <c r="AF34">
        <f>IF($C34-AF$1&lt;År1,0,AE33*(1-VLOOKUP($A34,[1]Hugst!$R$5:$W$9,MATCH(ROUNDUP((AF$1)/10,0)*10,[1]Hugst!$R$4:$W$4,0))))</f>
        <v>0</v>
      </c>
      <c r="AG34">
        <f>IF($C34-AG$1&lt;År1,0,AF33*(1-VLOOKUP($A34,[1]Hugst!$R$5:$W$9,MATCH(ROUNDUP((AG$1)/10,0)*10,[1]Hugst!$R$4:$W$4,0))))</f>
        <v>0</v>
      </c>
      <c r="AH34">
        <f>IF($C34-AH$1&lt;År1,0,AG33*(1-VLOOKUP($A34,[1]Hugst!$R$5:$W$9,MATCH(ROUNDUP((AH$1)/10,0)*10,[1]Hugst!$R$4:$W$4,0))))</f>
        <v>0</v>
      </c>
      <c r="AI34">
        <f>IF($C34-AI$1&lt;År1,0,AH33*(1-VLOOKUP($A34,[1]Hugst!$R$5:$W$9,MATCH(ROUNDUP((AI$1)/10,0)*10,[1]Hugst!$R$4:$W$4,0))))</f>
        <v>0</v>
      </c>
      <c r="AJ34">
        <f>IF($C34-AJ$1&lt;År1,0,AI33*(1-VLOOKUP($A34,[1]Hugst!$R$5:$W$9,MATCH(ROUNDUP((AJ$1)/10,0)*10,[1]Hugst!$R$4:$W$4,0))))</f>
        <v>0</v>
      </c>
    </row>
    <row r="35" spans="1:36" x14ac:dyDescent="0.25">
      <c r="A35" t="s">
        <v>176</v>
      </c>
      <c r="B35" t="s">
        <v>24</v>
      </c>
      <c r="C35">
        <v>2022</v>
      </c>
      <c r="D35" cm="1">
        <f t="array" ref="D35">(IF(B35="Vestdanmark",Skovbrug!$C$22-(Skovbrug!$C$22)*(1-Skovbrug!$C$9)^(C35-Skovbrug!$B$12),Skovbrug!$F$22-(Skovbrug!$F$22)*(1-Skovbrug!$C$9)^(C35-Skovbrug!$B$12)))*VLOOKUP(A35,Skovbrug!$A$13:$D$17,IF('Skovbrug-alder'!C35&lt;=År2,3,4),FALSE)
-IF(C35&gt;2020,SUM(INDEX($C$1:$D$311,MATCH(1,(2020=$C$1:$C$311)*(B35=$B$1:$B$311)*(A35=$A$1:$A$311),0),2):D34),0)</f>
        <v>31.518801807531425</v>
      </c>
      <c r="E35">
        <f t="shared" ca="1" si="0"/>
        <v>0</v>
      </c>
      <c r="F35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106.4346267233563</v>
      </c>
      <c r="G35">
        <f ca="1">IF($C35-G$1&lt;År1,0,F34*(1-VLOOKUP($A35,[1]Hugst!$R$5:$W$9,MATCH(ROUNDUP((G$1)/10,0)*10,[1]Hugst!$R$4:$W$4,0))))</f>
        <v>106.59301266208753</v>
      </c>
      <c r="H35">
        <f ca="1">IF($C35-H$1&lt;År1,0,G34*(1-VLOOKUP($A35,[1]Hugst!$R$5:$W$9,MATCH(ROUNDUP((H$1)/10,0)*10,[1]Hugst!$R$4:$W$4,0))))</f>
        <v>106.75219451005873</v>
      </c>
      <c r="I35">
        <f>IF($C35-I$1&lt;År1,0,H34*(1-VLOOKUP($A35,[1]Hugst!$R$5:$W$9,MATCH(ROUNDUP((I$1)/10,0)*10,[1]Hugst!$R$4:$W$4,0))))</f>
        <v>0</v>
      </c>
      <c r="J35">
        <f>IF($C35-J$1&lt;År1,0,I34*(1-VLOOKUP($A35,[1]Hugst!$R$5:$W$9,MATCH(ROUNDUP((J$1)/10,0)*10,[1]Hugst!$R$4:$W$4,0))))</f>
        <v>0</v>
      </c>
      <c r="K35">
        <f>IF($C35-K$1&lt;År1,0,J34*(1-VLOOKUP($A35,[1]Hugst!$R$5:$W$9,MATCH(ROUNDUP((K$1)/10,0)*10,[1]Hugst!$R$4:$W$4,0))))</f>
        <v>0</v>
      </c>
      <c r="L35">
        <f>IF($C35-L$1&lt;År1,0,K34*(1-VLOOKUP($A35,[1]Hugst!$R$5:$W$9,MATCH(ROUNDUP((L$1)/10,0)*10,[1]Hugst!$R$4:$W$4,0))))</f>
        <v>0</v>
      </c>
      <c r="M35">
        <f>IF($C35-M$1&lt;År1,0,L34*(1-VLOOKUP($A35,[1]Hugst!$R$5:$W$9,MATCH(ROUNDUP((M$1)/10,0)*10,[1]Hugst!$R$4:$W$4,0))))</f>
        <v>0</v>
      </c>
      <c r="N35">
        <f>IF($C35-N$1&lt;År1,0,M34*(1-VLOOKUP($A35,[1]Hugst!$R$5:$W$9,MATCH(ROUNDUP((N$1)/10,0)*10,[1]Hugst!$R$4:$W$4,0))))</f>
        <v>0</v>
      </c>
      <c r="O35">
        <f>IF($C35-O$1&lt;År1,0,N34*(1-VLOOKUP($A35,[1]Hugst!$R$5:$W$9,MATCH(ROUNDUP((O$1)/10,0)*10,[1]Hugst!$R$4:$W$4,0))))</f>
        <v>0</v>
      </c>
      <c r="P35">
        <f>IF($C35-P$1&lt;År1,0,O34*(1-VLOOKUP($A35,[1]Hugst!$R$5:$W$9,MATCH(ROUNDUP((P$1)/10,0)*10,[1]Hugst!$R$4:$W$4,0))))</f>
        <v>0</v>
      </c>
      <c r="Q35">
        <f>IF($C35-Q$1&lt;År1,0,P34*(1-VLOOKUP($A35,[1]Hugst!$R$5:$W$9,MATCH(ROUNDUP((Q$1)/10,0)*10,[1]Hugst!$R$4:$W$4,0))))</f>
        <v>0</v>
      </c>
      <c r="R35">
        <f>IF($C35-R$1&lt;År1,0,Q34*(1-VLOOKUP($A35,[1]Hugst!$R$5:$W$9,MATCH(ROUNDUP((R$1)/10,0)*10,[1]Hugst!$R$4:$W$4,0))))</f>
        <v>0</v>
      </c>
      <c r="S35">
        <f>IF($C35-S$1&lt;År1,0,R34*(1-VLOOKUP($A35,[1]Hugst!$R$5:$W$9,MATCH(ROUNDUP((S$1)/10,0)*10,[1]Hugst!$R$4:$W$4,0))))</f>
        <v>0</v>
      </c>
      <c r="T35">
        <f>IF($C35-T$1&lt;År1,0,S34*(1-VLOOKUP($A35,[1]Hugst!$R$5:$W$9,MATCH(ROUNDUP((T$1)/10,0)*10,[1]Hugst!$R$4:$W$4,0))))</f>
        <v>0</v>
      </c>
      <c r="U35">
        <f>IF($C35-U$1&lt;År1,0,T34*(1-VLOOKUP($A35,[1]Hugst!$R$5:$W$9,MATCH(ROUNDUP((U$1)/10,0)*10,[1]Hugst!$R$4:$W$4,0))))</f>
        <v>0</v>
      </c>
      <c r="V35">
        <f>IF($C35-V$1&lt;År1,0,U34*(1-VLOOKUP($A35,[1]Hugst!$R$5:$W$9,MATCH(ROUNDUP((V$1)/10,0)*10,[1]Hugst!$R$4:$W$4,0))))</f>
        <v>0</v>
      </c>
      <c r="W35">
        <f>IF($C35-W$1&lt;År1,0,V34*(1-VLOOKUP($A35,[1]Hugst!$R$5:$W$9,MATCH(ROUNDUP((W$1)/10,0)*10,[1]Hugst!$R$4:$W$4,0))))</f>
        <v>0</v>
      </c>
      <c r="X35">
        <f>IF($C35-X$1&lt;År1,0,W34*(1-VLOOKUP($A35,[1]Hugst!$R$5:$W$9,MATCH(ROUNDUP((X$1)/10,0)*10,[1]Hugst!$R$4:$W$4,0))))</f>
        <v>0</v>
      </c>
      <c r="Y35">
        <f>IF($C35-Y$1&lt;År1,0,X34*(1-VLOOKUP($A35,[1]Hugst!$R$5:$W$9,MATCH(ROUNDUP((Y$1)/10,0)*10,[1]Hugst!$R$4:$W$4,0))))</f>
        <v>0</v>
      </c>
      <c r="Z35">
        <f>IF($C35-Z$1&lt;År1,0,Y34*(1-VLOOKUP($A35,[1]Hugst!$R$5:$W$9,MATCH(ROUNDUP((Z$1)/10,0)*10,[1]Hugst!$R$4:$W$4,0))))</f>
        <v>0</v>
      </c>
      <c r="AA35">
        <f>IF($C35-AA$1&lt;År1,0,Z34*(1-VLOOKUP($A35,[1]Hugst!$R$5:$W$9,MATCH(ROUNDUP((AA$1)/10,0)*10,[1]Hugst!$R$4:$W$4,0))))</f>
        <v>0</v>
      </c>
      <c r="AB35">
        <f>IF($C35-AB$1&lt;År1,0,AA34*(1-VLOOKUP($A35,[1]Hugst!$R$5:$W$9,MATCH(ROUNDUP((AB$1)/10,0)*10,[1]Hugst!$R$4:$W$4,0))))</f>
        <v>0</v>
      </c>
      <c r="AC35">
        <f>IF($C35-AC$1&lt;År1,0,AB34*(1-VLOOKUP($A35,[1]Hugst!$R$5:$W$9,MATCH(ROUNDUP((AC$1)/10,0)*10,[1]Hugst!$R$4:$W$4,0))))</f>
        <v>0</v>
      </c>
      <c r="AD35">
        <f>IF($C35-AD$1&lt;År1,0,AC34*(1-VLOOKUP($A35,[1]Hugst!$R$5:$W$9,MATCH(ROUNDUP((AD$1)/10,0)*10,[1]Hugst!$R$4:$W$4,0))))</f>
        <v>0</v>
      </c>
      <c r="AE35">
        <f>IF($C35-AE$1&lt;År1,0,AD34*(1-VLOOKUP($A35,[1]Hugst!$R$5:$W$9,MATCH(ROUNDUP((AE$1)/10,0)*10,[1]Hugst!$R$4:$W$4,0))))</f>
        <v>0</v>
      </c>
      <c r="AF35">
        <f>IF($C35-AF$1&lt;År1,0,AE34*(1-VLOOKUP($A35,[1]Hugst!$R$5:$W$9,MATCH(ROUNDUP((AF$1)/10,0)*10,[1]Hugst!$R$4:$W$4,0))))</f>
        <v>0</v>
      </c>
      <c r="AG35">
        <f>IF($C35-AG$1&lt;År1,0,AF34*(1-VLOOKUP($A35,[1]Hugst!$R$5:$W$9,MATCH(ROUNDUP((AG$1)/10,0)*10,[1]Hugst!$R$4:$W$4,0))))</f>
        <v>0</v>
      </c>
      <c r="AH35">
        <f>IF($C35-AH$1&lt;År1,0,AG34*(1-VLOOKUP($A35,[1]Hugst!$R$5:$W$9,MATCH(ROUNDUP((AH$1)/10,0)*10,[1]Hugst!$R$4:$W$4,0))))</f>
        <v>0</v>
      </c>
      <c r="AI35">
        <f>IF($C35-AI$1&lt;År1,0,AH34*(1-VLOOKUP($A35,[1]Hugst!$R$5:$W$9,MATCH(ROUNDUP((AI$1)/10,0)*10,[1]Hugst!$R$4:$W$4,0))))</f>
        <v>0</v>
      </c>
      <c r="AJ35">
        <f>IF($C35-AJ$1&lt;År1,0,AI34*(1-VLOOKUP($A35,[1]Hugst!$R$5:$W$9,MATCH(ROUNDUP((AJ$1)/10,0)*10,[1]Hugst!$R$4:$W$4,0))))</f>
        <v>0</v>
      </c>
    </row>
    <row r="36" spans="1:36" x14ac:dyDescent="0.25">
      <c r="A36" t="s">
        <v>176</v>
      </c>
      <c r="B36" t="s">
        <v>24</v>
      </c>
      <c r="C36">
        <v>2023</v>
      </c>
      <c r="D36" cm="1">
        <f t="array" ref="D36">(IF(B36="Vestdanmark",Skovbrug!$C$22-(Skovbrug!$C$22)*(1-Skovbrug!$C$9)^(C36-Skovbrug!$B$12),Skovbrug!$F$22-(Skovbrug!$F$22)*(1-Skovbrug!$C$9)^(C36-Skovbrug!$B$12)))*VLOOKUP(A36,Skovbrug!$A$13:$D$17,IF('Skovbrug-alder'!C36&lt;=År2,3,4),FALSE)
-IF(C36&gt;2020,SUM(INDEX($C$1:$D$311,MATCH(1,(2020=$C$1:$C$311)*(B36=$B$1:$B$311)*(A36=$A$1:$A$311),0),2):D35),0)</f>
        <v>31.36120779849297</v>
      </c>
      <c r="E36">
        <f t="shared" ca="1" si="0"/>
        <v>0</v>
      </c>
      <c r="F36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106.27703271431785</v>
      </c>
      <c r="G36">
        <f ca="1">IF($C36-G$1&lt;År1,0,F35*(1-VLOOKUP($A36,[1]Hugst!$R$5:$W$9,MATCH(ROUNDUP((G$1)/10,0)*10,[1]Hugst!$R$4:$W$4,0))))</f>
        <v>106.4346267233563</v>
      </c>
      <c r="H36">
        <f ca="1">IF($C36-H$1&lt;År1,0,G35*(1-VLOOKUP($A36,[1]Hugst!$R$5:$W$9,MATCH(ROUNDUP((H$1)/10,0)*10,[1]Hugst!$R$4:$W$4,0))))</f>
        <v>106.59301266208753</v>
      </c>
      <c r="I36">
        <f ca="1">IF($C36-I$1&lt;År1,0,H35*(1-VLOOKUP($A36,[1]Hugst!$R$5:$W$9,MATCH(ROUNDUP((I$1)/10,0)*10,[1]Hugst!$R$4:$W$4,0))))</f>
        <v>106.75219451005873</v>
      </c>
      <c r="J36">
        <f>IF($C36-J$1&lt;År1,0,I35*(1-VLOOKUP($A36,[1]Hugst!$R$5:$W$9,MATCH(ROUNDUP((J$1)/10,0)*10,[1]Hugst!$R$4:$W$4,0))))</f>
        <v>0</v>
      </c>
      <c r="K36">
        <f>IF($C36-K$1&lt;År1,0,J35*(1-VLOOKUP($A36,[1]Hugst!$R$5:$W$9,MATCH(ROUNDUP((K$1)/10,0)*10,[1]Hugst!$R$4:$W$4,0))))</f>
        <v>0</v>
      </c>
      <c r="L36">
        <f>IF($C36-L$1&lt;År1,0,K35*(1-VLOOKUP($A36,[1]Hugst!$R$5:$W$9,MATCH(ROUNDUP((L$1)/10,0)*10,[1]Hugst!$R$4:$W$4,0))))</f>
        <v>0</v>
      </c>
      <c r="M36">
        <f>IF($C36-M$1&lt;År1,0,L35*(1-VLOOKUP($A36,[1]Hugst!$R$5:$W$9,MATCH(ROUNDUP((M$1)/10,0)*10,[1]Hugst!$R$4:$W$4,0))))</f>
        <v>0</v>
      </c>
      <c r="N36">
        <f>IF($C36-N$1&lt;År1,0,M35*(1-VLOOKUP($A36,[1]Hugst!$R$5:$W$9,MATCH(ROUNDUP((N$1)/10,0)*10,[1]Hugst!$R$4:$W$4,0))))</f>
        <v>0</v>
      </c>
      <c r="O36">
        <f>IF($C36-O$1&lt;År1,0,N35*(1-VLOOKUP($A36,[1]Hugst!$R$5:$W$9,MATCH(ROUNDUP((O$1)/10,0)*10,[1]Hugst!$R$4:$W$4,0))))</f>
        <v>0</v>
      </c>
      <c r="P36">
        <f>IF($C36-P$1&lt;År1,0,O35*(1-VLOOKUP($A36,[1]Hugst!$R$5:$W$9,MATCH(ROUNDUP((P$1)/10,0)*10,[1]Hugst!$R$4:$W$4,0))))</f>
        <v>0</v>
      </c>
      <c r="Q36">
        <f>IF($C36-Q$1&lt;År1,0,P35*(1-VLOOKUP($A36,[1]Hugst!$R$5:$W$9,MATCH(ROUNDUP((Q$1)/10,0)*10,[1]Hugst!$R$4:$W$4,0))))</f>
        <v>0</v>
      </c>
      <c r="R36">
        <f>IF($C36-R$1&lt;År1,0,Q35*(1-VLOOKUP($A36,[1]Hugst!$R$5:$W$9,MATCH(ROUNDUP((R$1)/10,0)*10,[1]Hugst!$R$4:$W$4,0))))</f>
        <v>0</v>
      </c>
      <c r="S36">
        <f>IF($C36-S$1&lt;År1,0,R35*(1-VLOOKUP($A36,[1]Hugst!$R$5:$W$9,MATCH(ROUNDUP((S$1)/10,0)*10,[1]Hugst!$R$4:$W$4,0))))</f>
        <v>0</v>
      </c>
      <c r="T36">
        <f>IF($C36-T$1&lt;År1,0,S35*(1-VLOOKUP($A36,[1]Hugst!$R$5:$W$9,MATCH(ROUNDUP((T$1)/10,0)*10,[1]Hugst!$R$4:$W$4,0))))</f>
        <v>0</v>
      </c>
      <c r="U36">
        <f>IF($C36-U$1&lt;År1,0,T35*(1-VLOOKUP($A36,[1]Hugst!$R$5:$W$9,MATCH(ROUNDUP((U$1)/10,0)*10,[1]Hugst!$R$4:$W$4,0))))</f>
        <v>0</v>
      </c>
      <c r="V36">
        <f>IF($C36-V$1&lt;År1,0,U35*(1-VLOOKUP($A36,[1]Hugst!$R$5:$W$9,MATCH(ROUNDUP((V$1)/10,0)*10,[1]Hugst!$R$4:$W$4,0))))</f>
        <v>0</v>
      </c>
      <c r="W36">
        <f>IF($C36-W$1&lt;År1,0,V35*(1-VLOOKUP($A36,[1]Hugst!$R$5:$W$9,MATCH(ROUNDUP((W$1)/10,0)*10,[1]Hugst!$R$4:$W$4,0))))</f>
        <v>0</v>
      </c>
      <c r="X36">
        <f>IF($C36-X$1&lt;År1,0,W35*(1-VLOOKUP($A36,[1]Hugst!$R$5:$W$9,MATCH(ROUNDUP((X$1)/10,0)*10,[1]Hugst!$R$4:$W$4,0))))</f>
        <v>0</v>
      </c>
      <c r="Y36">
        <f>IF($C36-Y$1&lt;År1,0,X35*(1-VLOOKUP($A36,[1]Hugst!$R$5:$W$9,MATCH(ROUNDUP((Y$1)/10,0)*10,[1]Hugst!$R$4:$W$4,0))))</f>
        <v>0</v>
      </c>
      <c r="Z36">
        <f>IF($C36-Z$1&lt;År1,0,Y35*(1-VLOOKUP($A36,[1]Hugst!$R$5:$W$9,MATCH(ROUNDUP((Z$1)/10,0)*10,[1]Hugst!$R$4:$W$4,0))))</f>
        <v>0</v>
      </c>
      <c r="AA36">
        <f>IF($C36-AA$1&lt;År1,0,Z35*(1-VLOOKUP($A36,[1]Hugst!$R$5:$W$9,MATCH(ROUNDUP((AA$1)/10,0)*10,[1]Hugst!$R$4:$W$4,0))))</f>
        <v>0</v>
      </c>
      <c r="AB36">
        <f>IF($C36-AB$1&lt;År1,0,AA35*(1-VLOOKUP($A36,[1]Hugst!$R$5:$W$9,MATCH(ROUNDUP((AB$1)/10,0)*10,[1]Hugst!$R$4:$W$4,0))))</f>
        <v>0</v>
      </c>
      <c r="AC36">
        <f>IF($C36-AC$1&lt;År1,0,AB35*(1-VLOOKUP($A36,[1]Hugst!$R$5:$W$9,MATCH(ROUNDUP((AC$1)/10,0)*10,[1]Hugst!$R$4:$W$4,0))))</f>
        <v>0</v>
      </c>
      <c r="AD36">
        <f>IF($C36-AD$1&lt;År1,0,AC35*(1-VLOOKUP($A36,[1]Hugst!$R$5:$W$9,MATCH(ROUNDUP((AD$1)/10,0)*10,[1]Hugst!$R$4:$W$4,0))))</f>
        <v>0</v>
      </c>
      <c r="AE36">
        <f>IF($C36-AE$1&lt;År1,0,AD35*(1-VLOOKUP($A36,[1]Hugst!$R$5:$W$9,MATCH(ROUNDUP((AE$1)/10,0)*10,[1]Hugst!$R$4:$W$4,0))))</f>
        <v>0</v>
      </c>
      <c r="AF36">
        <f>IF($C36-AF$1&lt;År1,0,AE35*(1-VLOOKUP($A36,[1]Hugst!$R$5:$W$9,MATCH(ROUNDUP((AF$1)/10,0)*10,[1]Hugst!$R$4:$W$4,0))))</f>
        <v>0</v>
      </c>
      <c r="AG36">
        <f>IF($C36-AG$1&lt;År1,0,AF35*(1-VLOOKUP($A36,[1]Hugst!$R$5:$W$9,MATCH(ROUNDUP((AG$1)/10,0)*10,[1]Hugst!$R$4:$W$4,0))))</f>
        <v>0</v>
      </c>
      <c r="AH36">
        <f>IF($C36-AH$1&lt;År1,0,AG35*(1-VLOOKUP($A36,[1]Hugst!$R$5:$W$9,MATCH(ROUNDUP((AH$1)/10,0)*10,[1]Hugst!$R$4:$W$4,0))))</f>
        <v>0</v>
      </c>
      <c r="AI36">
        <f>IF($C36-AI$1&lt;År1,0,AH35*(1-VLOOKUP($A36,[1]Hugst!$R$5:$W$9,MATCH(ROUNDUP((AI$1)/10,0)*10,[1]Hugst!$R$4:$W$4,0))))</f>
        <v>0</v>
      </c>
      <c r="AJ36">
        <f>IF($C36-AJ$1&lt;År1,0,AI35*(1-VLOOKUP($A36,[1]Hugst!$R$5:$W$9,MATCH(ROUNDUP((AJ$1)/10,0)*10,[1]Hugst!$R$4:$W$4,0))))</f>
        <v>0</v>
      </c>
    </row>
    <row r="37" spans="1:36" x14ac:dyDescent="0.25">
      <c r="A37" t="s">
        <v>176</v>
      </c>
      <c r="B37" t="s">
        <v>24</v>
      </c>
      <c r="C37">
        <v>2024</v>
      </c>
      <c r="D37" cm="1">
        <f t="array" ref="D37">(IF(B37="Vestdanmark",Skovbrug!$C$22-(Skovbrug!$C$22)*(1-Skovbrug!$C$9)^(C37-Skovbrug!$B$12),Skovbrug!$F$22-(Skovbrug!$F$22)*(1-Skovbrug!$C$9)^(C37-Skovbrug!$B$12)))*VLOOKUP(A37,Skovbrug!$A$13:$D$17,IF('Skovbrug-alder'!C37&lt;=År2,3,4),FALSE)
-IF(C37&gt;2020,SUM(INDEX($C$1:$D$311,MATCH(1,(2020=$C$1:$C$311)*(B37=$B$1:$B$311)*(A37=$A$1:$A$311),0),2):D36),0)</f>
        <v>31.204401759501366</v>
      </c>
      <c r="E37">
        <f t="shared" ca="1" si="0"/>
        <v>0</v>
      </c>
      <c r="F37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106.12022667532625</v>
      </c>
      <c r="G37">
        <f ca="1">IF($C37-G$1&lt;År1,0,F36*(1-VLOOKUP($A37,[1]Hugst!$R$5:$W$9,MATCH(ROUNDUP((G$1)/10,0)*10,[1]Hugst!$R$4:$W$4,0))))</f>
        <v>106.27703271431785</v>
      </c>
      <c r="H37">
        <f ca="1">IF($C37-H$1&lt;År1,0,G36*(1-VLOOKUP($A37,[1]Hugst!$R$5:$W$9,MATCH(ROUNDUP((H$1)/10,0)*10,[1]Hugst!$R$4:$W$4,0))))</f>
        <v>106.4346267233563</v>
      </c>
      <c r="I37">
        <f ca="1">IF($C37-I$1&lt;År1,0,H36*(1-VLOOKUP($A37,[1]Hugst!$R$5:$W$9,MATCH(ROUNDUP((I$1)/10,0)*10,[1]Hugst!$R$4:$W$4,0))))</f>
        <v>106.59301266208753</v>
      </c>
      <c r="J37">
        <f ca="1">IF($C37-J$1&lt;År1,0,I36*(1-VLOOKUP($A37,[1]Hugst!$R$5:$W$9,MATCH(ROUNDUP((J$1)/10,0)*10,[1]Hugst!$R$4:$W$4,0))))</f>
        <v>106.75219451005873</v>
      </c>
      <c r="K37">
        <f>IF($C37-K$1&lt;År1,0,J36*(1-VLOOKUP($A37,[1]Hugst!$R$5:$W$9,MATCH(ROUNDUP((K$1)/10,0)*10,[1]Hugst!$R$4:$W$4,0))))</f>
        <v>0</v>
      </c>
      <c r="L37">
        <f>IF($C37-L$1&lt;År1,0,K36*(1-VLOOKUP($A37,[1]Hugst!$R$5:$W$9,MATCH(ROUNDUP((L$1)/10,0)*10,[1]Hugst!$R$4:$W$4,0))))</f>
        <v>0</v>
      </c>
      <c r="M37">
        <f>IF($C37-M$1&lt;År1,0,L36*(1-VLOOKUP($A37,[1]Hugst!$R$5:$W$9,MATCH(ROUNDUP((M$1)/10,0)*10,[1]Hugst!$R$4:$W$4,0))))</f>
        <v>0</v>
      </c>
      <c r="N37">
        <f>IF($C37-N$1&lt;År1,0,M36*(1-VLOOKUP($A37,[1]Hugst!$R$5:$W$9,MATCH(ROUNDUP((N$1)/10,0)*10,[1]Hugst!$R$4:$W$4,0))))</f>
        <v>0</v>
      </c>
      <c r="O37">
        <f>IF($C37-O$1&lt;År1,0,N36*(1-VLOOKUP($A37,[1]Hugst!$R$5:$W$9,MATCH(ROUNDUP((O$1)/10,0)*10,[1]Hugst!$R$4:$W$4,0))))</f>
        <v>0</v>
      </c>
      <c r="P37">
        <f>IF($C37-P$1&lt;År1,0,O36*(1-VLOOKUP($A37,[1]Hugst!$R$5:$W$9,MATCH(ROUNDUP((P$1)/10,0)*10,[1]Hugst!$R$4:$W$4,0))))</f>
        <v>0</v>
      </c>
      <c r="Q37">
        <f>IF($C37-Q$1&lt;År1,0,P36*(1-VLOOKUP($A37,[1]Hugst!$R$5:$W$9,MATCH(ROUNDUP((Q$1)/10,0)*10,[1]Hugst!$R$4:$W$4,0))))</f>
        <v>0</v>
      </c>
      <c r="R37">
        <f>IF($C37-R$1&lt;År1,0,Q36*(1-VLOOKUP($A37,[1]Hugst!$R$5:$W$9,MATCH(ROUNDUP((R$1)/10,0)*10,[1]Hugst!$R$4:$W$4,0))))</f>
        <v>0</v>
      </c>
      <c r="S37">
        <f>IF($C37-S$1&lt;År1,0,R36*(1-VLOOKUP($A37,[1]Hugst!$R$5:$W$9,MATCH(ROUNDUP((S$1)/10,0)*10,[1]Hugst!$R$4:$W$4,0))))</f>
        <v>0</v>
      </c>
      <c r="T37">
        <f>IF($C37-T$1&lt;År1,0,S36*(1-VLOOKUP($A37,[1]Hugst!$R$5:$W$9,MATCH(ROUNDUP((T$1)/10,0)*10,[1]Hugst!$R$4:$W$4,0))))</f>
        <v>0</v>
      </c>
      <c r="U37">
        <f>IF($C37-U$1&lt;År1,0,T36*(1-VLOOKUP($A37,[1]Hugst!$R$5:$W$9,MATCH(ROUNDUP((U$1)/10,0)*10,[1]Hugst!$R$4:$W$4,0))))</f>
        <v>0</v>
      </c>
      <c r="V37">
        <f>IF($C37-V$1&lt;År1,0,U36*(1-VLOOKUP($A37,[1]Hugst!$R$5:$W$9,MATCH(ROUNDUP((V$1)/10,0)*10,[1]Hugst!$R$4:$W$4,0))))</f>
        <v>0</v>
      </c>
      <c r="W37">
        <f>IF($C37-W$1&lt;År1,0,V36*(1-VLOOKUP($A37,[1]Hugst!$R$5:$W$9,MATCH(ROUNDUP((W$1)/10,0)*10,[1]Hugst!$R$4:$W$4,0))))</f>
        <v>0</v>
      </c>
      <c r="X37">
        <f>IF($C37-X$1&lt;År1,0,W36*(1-VLOOKUP($A37,[1]Hugst!$R$5:$W$9,MATCH(ROUNDUP((X$1)/10,0)*10,[1]Hugst!$R$4:$W$4,0))))</f>
        <v>0</v>
      </c>
      <c r="Y37">
        <f>IF($C37-Y$1&lt;År1,0,X36*(1-VLOOKUP($A37,[1]Hugst!$R$5:$W$9,MATCH(ROUNDUP((Y$1)/10,0)*10,[1]Hugst!$R$4:$W$4,0))))</f>
        <v>0</v>
      </c>
      <c r="Z37">
        <f>IF($C37-Z$1&lt;År1,0,Y36*(1-VLOOKUP($A37,[1]Hugst!$R$5:$W$9,MATCH(ROUNDUP((Z$1)/10,0)*10,[1]Hugst!$R$4:$W$4,0))))</f>
        <v>0</v>
      </c>
      <c r="AA37">
        <f>IF($C37-AA$1&lt;År1,0,Z36*(1-VLOOKUP($A37,[1]Hugst!$R$5:$W$9,MATCH(ROUNDUP((AA$1)/10,0)*10,[1]Hugst!$R$4:$W$4,0))))</f>
        <v>0</v>
      </c>
      <c r="AB37">
        <f>IF($C37-AB$1&lt;År1,0,AA36*(1-VLOOKUP($A37,[1]Hugst!$R$5:$W$9,MATCH(ROUNDUP((AB$1)/10,0)*10,[1]Hugst!$R$4:$W$4,0))))</f>
        <v>0</v>
      </c>
      <c r="AC37">
        <f>IF($C37-AC$1&lt;År1,0,AB36*(1-VLOOKUP($A37,[1]Hugst!$R$5:$W$9,MATCH(ROUNDUP((AC$1)/10,0)*10,[1]Hugst!$R$4:$W$4,0))))</f>
        <v>0</v>
      </c>
      <c r="AD37">
        <f>IF($C37-AD$1&lt;År1,0,AC36*(1-VLOOKUP($A37,[1]Hugst!$R$5:$W$9,MATCH(ROUNDUP((AD$1)/10,0)*10,[1]Hugst!$R$4:$W$4,0))))</f>
        <v>0</v>
      </c>
      <c r="AE37">
        <f>IF($C37-AE$1&lt;År1,0,AD36*(1-VLOOKUP($A37,[1]Hugst!$R$5:$W$9,MATCH(ROUNDUP((AE$1)/10,0)*10,[1]Hugst!$R$4:$W$4,0))))</f>
        <v>0</v>
      </c>
      <c r="AF37">
        <f>IF($C37-AF$1&lt;År1,0,AE36*(1-VLOOKUP($A37,[1]Hugst!$R$5:$W$9,MATCH(ROUNDUP((AF$1)/10,0)*10,[1]Hugst!$R$4:$W$4,0))))</f>
        <v>0</v>
      </c>
      <c r="AG37">
        <f>IF($C37-AG$1&lt;År1,0,AF36*(1-VLOOKUP($A37,[1]Hugst!$R$5:$W$9,MATCH(ROUNDUP((AG$1)/10,0)*10,[1]Hugst!$R$4:$W$4,0))))</f>
        <v>0</v>
      </c>
      <c r="AH37">
        <f>IF($C37-AH$1&lt;År1,0,AG36*(1-VLOOKUP($A37,[1]Hugst!$R$5:$W$9,MATCH(ROUNDUP((AH$1)/10,0)*10,[1]Hugst!$R$4:$W$4,0))))</f>
        <v>0</v>
      </c>
      <c r="AI37">
        <f>IF($C37-AI$1&lt;År1,0,AH36*(1-VLOOKUP($A37,[1]Hugst!$R$5:$W$9,MATCH(ROUNDUP((AI$1)/10,0)*10,[1]Hugst!$R$4:$W$4,0))))</f>
        <v>0</v>
      </c>
      <c r="AJ37">
        <f>IF($C37-AJ$1&lt;År1,0,AI36*(1-VLOOKUP($A37,[1]Hugst!$R$5:$W$9,MATCH(ROUNDUP((AJ$1)/10,0)*10,[1]Hugst!$R$4:$W$4,0))))</f>
        <v>0</v>
      </c>
    </row>
    <row r="38" spans="1:36" x14ac:dyDescent="0.25">
      <c r="A38" t="s">
        <v>176</v>
      </c>
      <c r="B38" t="s">
        <v>24</v>
      </c>
      <c r="C38">
        <v>2025</v>
      </c>
      <c r="D38" cm="1">
        <f t="array" ref="D38">(IF(B38="Vestdanmark",Skovbrug!$C$22-(Skovbrug!$C$22)*(1-Skovbrug!$C$9)^(C38-Skovbrug!$B$12),Skovbrug!$F$22-(Skovbrug!$F$22)*(1-Skovbrug!$C$9)^(C38-Skovbrug!$B$12)))*VLOOKUP(A38,Skovbrug!$A$13:$D$17,IF('Skovbrug-alder'!C38&lt;=År2,3,4),FALSE)
-IF(C38&gt;2020,SUM(INDEX($C$1:$D$311,MATCH(1,(2020=$C$1:$C$311)*(B38=$B$1:$B$311)*(A38=$A$1:$A$311),0),2):D37),0)</f>
        <v>31.048379750703305</v>
      </c>
      <c r="E38">
        <f t="shared" ca="1" si="0"/>
        <v>0</v>
      </c>
      <c r="F3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105.96420466652819</v>
      </c>
      <c r="G38">
        <f ca="1">IF($C38-G$1&lt;År1,0,F37*(1-VLOOKUP($A38,[1]Hugst!$R$5:$W$9,MATCH(ROUNDUP((G$1)/10,0)*10,[1]Hugst!$R$4:$W$4,0))))</f>
        <v>106.12022667532625</v>
      </c>
      <c r="H38">
        <f ca="1">IF($C38-H$1&lt;År1,0,G37*(1-VLOOKUP($A38,[1]Hugst!$R$5:$W$9,MATCH(ROUNDUP((H$1)/10,0)*10,[1]Hugst!$R$4:$W$4,0))))</f>
        <v>106.27703271431785</v>
      </c>
      <c r="I38">
        <f ca="1">IF($C38-I$1&lt;År1,0,H37*(1-VLOOKUP($A38,[1]Hugst!$R$5:$W$9,MATCH(ROUNDUP((I$1)/10,0)*10,[1]Hugst!$R$4:$W$4,0))))</f>
        <v>106.4346267233563</v>
      </c>
      <c r="J38">
        <f ca="1">IF($C38-J$1&lt;År1,0,I37*(1-VLOOKUP($A38,[1]Hugst!$R$5:$W$9,MATCH(ROUNDUP((J$1)/10,0)*10,[1]Hugst!$R$4:$W$4,0))))</f>
        <v>106.59301266208753</v>
      </c>
      <c r="K38">
        <f ca="1">IF($C38-K$1&lt;År1,0,J37*(1-VLOOKUP($A38,[1]Hugst!$R$5:$W$9,MATCH(ROUNDUP((K$1)/10,0)*10,[1]Hugst!$R$4:$W$4,0))))</f>
        <v>106.75219451005873</v>
      </c>
      <c r="L38">
        <f>IF($C38-L$1&lt;År1,0,K37*(1-VLOOKUP($A38,[1]Hugst!$R$5:$W$9,MATCH(ROUNDUP((L$1)/10,0)*10,[1]Hugst!$R$4:$W$4,0))))</f>
        <v>0</v>
      </c>
      <c r="M38">
        <f>IF($C38-M$1&lt;År1,0,L37*(1-VLOOKUP($A38,[1]Hugst!$R$5:$W$9,MATCH(ROUNDUP((M$1)/10,0)*10,[1]Hugst!$R$4:$W$4,0))))</f>
        <v>0</v>
      </c>
      <c r="N38">
        <f>IF($C38-N$1&lt;År1,0,M37*(1-VLOOKUP($A38,[1]Hugst!$R$5:$W$9,MATCH(ROUNDUP((N$1)/10,0)*10,[1]Hugst!$R$4:$W$4,0))))</f>
        <v>0</v>
      </c>
      <c r="O38">
        <f>IF($C38-O$1&lt;År1,0,N37*(1-VLOOKUP($A38,[1]Hugst!$R$5:$W$9,MATCH(ROUNDUP((O$1)/10,0)*10,[1]Hugst!$R$4:$W$4,0))))</f>
        <v>0</v>
      </c>
      <c r="P38">
        <f>IF($C38-P$1&lt;År1,0,O37*(1-VLOOKUP($A38,[1]Hugst!$R$5:$W$9,MATCH(ROUNDUP((P$1)/10,0)*10,[1]Hugst!$R$4:$W$4,0))))</f>
        <v>0</v>
      </c>
      <c r="Q38">
        <f>IF($C38-Q$1&lt;År1,0,P37*(1-VLOOKUP($A38,[1]Hugst!$R$5:$W$9,MATCH(ROUNDUP((Q$1)/10,0)*10,[1]Hugst!$R$4:$W$4,0))))</f>
        <v>0</v>
      </c>
      <c r="R38">
        <f>IF($C38-R$1&lt;År1,0,Q37*(1-VLOOKUP($A38,[1]Hugst!$R$5:$W$9,MATCH(ROUNDUP((R$1)/10,0)*10,[1]Hugst!$R$4:$W$4,0))))</f>
        <v>0</v>
      </c>
      <c r="S38">
        <f>IF($C38-S$1&lt;År1,0,R37*(1-VLOOKUP($A38,[1]Hugst!$R$5:$W$9,MATCH(ROUNDUP((S$1)/10,0)*10,[1]Hugst!$R$4:$W$4,0))))</f>
        <v>0</v>
      </c>
      <c r="T38">
        <f>IF($C38-T$1&lt;År1,0,S37*(1-VLOOKUP($A38,[1]Hugst!$R$5:$W$9,MATCH(ROUNDUP((T$1)/10,0)*10,[1]Hugst!$R$4:$W$4,0))))</f>
        <v>0</v>
      </c>
      <c r="U38">
        <f>IF($C38-U$1&lt;År1,0,T37*(1-VLOOKUP($A38,[1]Hugst!$R$5:$W$9,MATCH(ROUNDUP((U$1)/10,0)*10,[1]Hugst!$R$4:$W$4,0))))</f>
        <v>0</v>
      </c>
      <c r="V38">
        <f>IF($C38-V$1&lt;År1,0,U37*(1-VLOOKUP($A38,[1]Hugst!$R$5:$W$9,MATCH(ROUNDUP((V$1)/10,0)*10,[1]Hugst!$R$4:$W$4,0))))</f>
        <v>0</v>
      </c>
      <c r="W38">
        <f>IF($C38-W$1&lt;År1,0,V37*(1-VLOOKUP($A38,[1]Hugst!$R$5:$W$9,MATCH(ROUNDUP((W$1)/10,0)*10,[1]Hugst!$R$4:$W$4,0))))</f>
        <v>0</v>
      </c>
      <c r="X38">
        <f>IF($C38-X$1&lt;År1,0,W37*(1-VLOOKUP($A38,[1]Hugst!$R$5:$W$9,MATCH(ROUNDUP((X$1)/10,0)*10,[1]Hugst!$R$4:$W$4,0))))</f>
        <v>0</v>
      </c>
      <c r="Y38">
        <f>IF($C38-Y$1&lt;År1,0,X37*(1-VLOOKUP($A38,[1]Hugst!$R$5:$W$9,MATCH(ROUNDUP((Y$1)/10,0)*10,[1]Hugst!$R$4:$W$4,0))))</f>
        <v>0</v>
      </c>
      <c r="Z38">
        <f>IF($C38-Z$1&lt;År1,0,Y37*(1-VLOOKUP($A38,[1]Hugst!$R$5:$W$9,MATCH(ROUNDUP((Z$1)/10,0)*10,[1]Hugst!$R$4:$W$4,0))))</f>
        <v>0</v>
      </c>
      <c r="AA38">
        <f>IF($C38-AA$1&lt;År1,0,Z37*(1-VLOOKUP($A38,[1]Hugst!$R$5:$W$9,MATCH(ROUNDUP((AA$1)/10,0)*10,[1]Hugst!$R$4:$W$4,0))))</f>
        <v>0</v>
      </c>
      <c r="AB38">
        <f>IF($C38-AB$1&lt;År1,0,AA37*(1-VLOOKUP($A38,[1]Hugst!$R$5:$W$9,MATCH(ROUNDUP((AB$1)/10,0)*10,[1]Hugst!$R$4:$W$4,0))))</f>
        <v>0</v>
      </c>
      <c r="AC38">
        <f>IF($C38-AC$1&lt;År1,0,AB37*(1-VLOOKUP($A38,[1]Hugst!$R$5:$W$9,MATCH(ROUNDUP((AC$1)/10,0)*10,[1]Hugst!$R$4:$W$4,0))))</f>
        <v>0</v>
      </c>
      <c r="AD38">
        <f>IF($C38-AD$1&lt;År1,0,AC37*(1-VLOOKUP($A38,[1]Hugst!$R$5:$W$9,MATCH(ROUNDUP((AD$1)/10,0)*10,[1]Hugst!$R$4:$W$4,0))))</f>
        <v>0</v>
      </c>
      <c r="AE38">
        <f>IF($C38-AE$1&lt;År1,0,AD37*(1-VLOOKUP($A38,[1]Hugst!$R$5:$W$9,MATCH(ROUNDUP((AE$1)/10,0)*10,[1]Hugst!$R$4:$W$4,0))))</f>
        <v>0</v>
      </c>
      <c r="AF38">
        <f>IF($C38-AF$1&lt;År1,0,AE37*(1-VLOOKUP($A38,[1]Hugst!$R$5:$W$9,MATCH(ROUNDUP((AF$1)/10,0)*10,[1]Hugst!$R$4:$W$4,0))))</f>
        <v>0</v>
      </c>
      <c r="AG38">
        <f>IF($C38-AG$1&lt;År1,0,AF37*(1-VLOOKUP($A38,[1]Hugst!$R$5:$W$9,MATCH(ROUNDUP((AG$1)/10,0)*10,[1]Hugst!$R$4:$W$4,0))))</f>
        <v>0</v>
      </c>
      <c r="AH38">
        <f>IF($C38-AH$1&lt;År1,0,AG37*(1-VLOOKUP($A38,[1]Hugst!$R$5:$W$9,MATCH(ROUNDUP((AH$1)/10,0)*10,[1]Hugst!$R$4:$W$4,0))))</f>
        <v>0</v>
      </c>
      <c r="AI38">
        <f>IF($C38-AI$1&lt;År1,0,AH37*(1-VLOOKUP($A38,[1]Hugst!$R$5:$W$9,MATCH(ROUNDUP((AI$1)/10,0)*10,[1]Hugst!$R$4:$W$4,0))))</f>
        <v>0</v>
      </c>
      <c r="AJ38">
        <f>IF($C38-AJ$1&lt;År1,0,AI37*(1-VLOOKUP($A38,[1]Hugst!$R$5:$W$9,MATCH(ROUNDUP((AJ$1)/10,0)*10,[1]Hugst!$R$4:$W$4,0))))</f>
        <v>0</v>
      </c>
    </row>
    <row r="39" spans="1:36" x14ac:dyDescent="0.25">
      <c r="A39" t="s">
        <v>176</v>
      </c>
      <c r="B39" t="s">
        <v>24</v>
      </c>
      <c r="C39">
        <v>2026</v>
      </c>
      <c r="D39" cm="1">
        <f t="array" ref="D39">(IF(B39="Vestdanmark",Skovbrug!$C$22-(Skovbrug!$C$22)*(1-Skovbrug!$C$9)^(C39-Skovbrug!$B$12),Skovbrug!$F$22-(Skovbrug!$F$22)*(1-Skovbrug!$C$9)^(C39-Skovbrug!$B$12)))*VLOOKUP(A39,Skovbrug!$A$13:$D$17,IF('Skovbrug-alder'!C39&lt;=År2,3,4),FALSE)
-IF(C39&gt;2020,SUM(INDEX($C$1:$D$311,MATCH(1,(2020=$C$1:$C$311)*(B39=$B$1:$B$311)*(A39=$A$1:$A$311),0),2):D38),0)</f>
        <v>30.893137851951167</v>
      </c>
      <c r="E39">
        <f t="shared" ca="1" si="0"/>
        <v>0</v>
      </c>
      <c r="F39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105.80896276777605</v>
      </c>
      <c r="G39">
        <f ca="1">IF($C39-G$1&lt;År1,0,F38*(1-VLOOKUP($A39,[1]Hugst!$R$5:$W$9,MATCH(ROUNDUP((G$1)/10,0)*10,[1]Hugst!$R$4:$W$4,0))))</f>
        <v>105.96420466652819</v>
      </c>
      <c r="H39">
        <f ca="1">IF($C39-H$1&lt;År1,0,G38*(1-VLOOKUP($A39,[1]Hugst!$R$5:$W$9,MATCH(ROUNDUP((H$1)/10,0)*10,[1]Hugst!$R$4:$W$4,0))))</f>
        <v>106.12022667532625</v>
      </c>
      <c r="I39">
        <f ca="1">IF($C39-I$1&lt;År1,0,H38*(1-VLOOKUP($A39,[1]Hugst!$R$5:$W$9,MATCH(ROUNDUP((I$1)/10,0)*10,[1]Hugst!$R$4:$W$4,0))))</f>
        <v>106.27703271431785</v>
      </c>
      <c r="J39">
        <f ca="1">IF($C39-J$1&lt;År1,0,I38*(1-VLOOKUP($A39,[1]Hugst!$R$5:$W$9,MATCH(ROUNDUP((J$1)/10,0)*10,[1]Hugst!$R$4:$W$4,0))))</f>
        <v>106.4346267233563</v>
      </c>
      <c r="K39">
        <f ca="1">IF($C39-K$1&lt;År1,0,J38*(1-VLOOKUP($A39,[1]Hugst!$R$5:$W$9,MATCH(ROUNDUP((K$1)/10,0)*10,[1]Hugst!$R$4:$W$4,0))))</f>
        <v>106.59301266208753</v>
      </c>
      <c r="L39">
        <f ca="1">IF($C39-L$1&lt;År1,0,K38*(1-VLOOKUP($A39,[1]Hugst!$R$5:$W$9,MATCH(ROUNDUP((L$1)/10,0)*10,[1]Hugst!$R$4:$W$4,0))))</f>
        <v>106.75219451005873</v>
      </c>
      <c r="M39">
        <f>IF($C39-M$1&lt;År1,0,L38*(1-VLOOKUP($A39,[1]Hugst!$R$5:$W$9,MATCH(ROUNDUP((M$1)/10,0)*10,[1]Hugst!$R$4:$W$4,0))))</f>
        <v>0</v>
      </c>
      <c r="N39">
        <f>IF($C39-N$1&lt;År1,0,M38*(1-VLOOKUP($A39,[1]Hugst!$R$5:$W$9,MATCH(ROUNDUP((N$1)/10,0)*10,[1]Hugst!$R$4:$W$4,0))))</f>
        <v>0</v>
      </c>
      <c r="O39">
        <f>IF($C39-O$1&lt;År1,0,N38*(1-VLOOKUP($A39,[1]Hugst!$R$5:$W$9,MATCH(ROUNDUP((O$1)/10,0)*10,[1]Hugst!$R$4:$W$4,0))))</f>
        <v>0</v>
      </c>
      <c r="P39">
        <f>IF($C39-P$1&lt;År1,0,O38*(1-VLOOKUP($A39,[1]Hugst!$R$5:$W$9,MATCH(ROUNDUP((P$1)/10,0)*10,[1]Hugst!$R$4:$W$4,0))))</f>
        <v>0</v>
      </c>
      <c r="Q39">
        <f>IF($C39-Q$1&lt;År1,0,P38*(1-VLOOKUP($A39,[1]Hugst!$R$5:$W$9,MATCH(ROUNDUP((Q$1)/10,0)*10,[1]Hugst!$R$4:$W$4,0))))</f>
        <v>0</v>
      </c>
      <c r="R39">
        <f>IF($C39-R$1&lt;År1,0,Q38*(1-VLOOKUP($A39,[1]Hugst!$R$5:$W$9,MATCH(ROUNDUP((R$1)/10,0)*10,[1]Hugst!$R$4:$W$4,0))))</f>
        <v>0</v>
      </c>
      <c r="S39">
        <f>IF($C39-S$1&lt;År1,0,R38*(1-VLOOKUP($A39,[1]Hugst!$R$5:$W$9,MATCH(ROUNDUP((S$1)/10,0)*10,[1]Hugst!$R$4:$W$4,0))))</f>
        <v>0</v>
      </c>
      <c r="T39">
        <f>IF($C39-T$1&lt;År1,0,S38*(1-VLOOKUP($A39,[1]Hugst!$R$5:$W$9,MATCH(ROUNDUP((T$1)/10,0)*10,[1]Hugst!$R$4:$W$4,0))))</f>
        <v>0</v>
      </c>
      <c r="U39">
        <f>IF($C39-U$1&lt;År1,0,T38*(1-VLOOKUP($A39,[1]Hugst!$R$5:$W$9,MATCH(ROUNDUP((U$1)/10,0)*10,[1]Hugst!$R$4:$W$4,0))))</f>
        <v>0</v>
      </c>
      <c r="V39">
        <f>IF($C39-V$1&lt;År1,0,U38*(1-VLOOKUP($A39,[1]Hugst!$R$5:$W$9,MATCH(ROUNDUP((V$1)/10,0)*10,[1]Hugst!$R$4:$W$4,0))))</f>
        <v>0</v>
      </c>
      <c r="W39">
        <f>IF($C39-W$1&lt;År1,0,V38*(1-VLOOKUP($A39,[1]Hugst!$R$5:$W$9,MATCH(ROUNDUP((W$1)/10,0)*10,[1]Hugst!$R$4:$W$4,0))))</f>
        <v>0</v>
      </c>
      <c r="X39">
        <f>IF($C39-X$1&lt;År1,0,W38*(1-VLOOKUP($A39,[1]Hugst!$R$5:$W$9,MATCH(ROUNDUP((X$1)/10,0)*10,[1]Hugst!$R$4:$W$4,0))))</f>
        <v>0</v>
      </c>
      <c r="Y39">
        <f>IF($C39-Y$1&lt;År1,0,X38*(1-VLOOKUP($A39,[1]Hugst!$R$5:$W$9,MATCH(ROUNDUP((Y$1)/10,0)*10,[1]Hugst!$R$4:$W$4,0))))</f>
        <v>0</v>
      </c>
      <c r="Z39">
        <f>IF($C39-Z$1&lt;År1,0,Y38*(1-VLOOKUP($A39,[1]Hugst!$R$5:$W$9,MATCH(ROUNDUP((Z$1)/10,0)*10,[1]Hugst!$R$4:$W$4,0))))</f>
        <v>0</v>
      </c>
      <c r="AA39">
        <f>IF($C39-AA$1&lt;År1,0,Z38*(1-VLOOKUP($A39,[1]Hugst!$R$5:$W$9,MATCH(ROUNDUP((AA$1)/10,0)*10,[1]Hugst!$R$4:$W$4,0))))</f>
        <v>0</v>
      </c>
      <c r="AB39">
        <f>IF($C39-AB$1&lt;År1,0,AA38*(1-VLOOKUP($A39,[1]Hugst!$R$5:$W$9,MATCH(ROUNDUP((AB$1)/10,0)*10,[1]Hugst!$R$4:$W$4,0))))</f>
        <v>0</v>
      </c>
      <c r="AC39">
        <f>IF($C39-AC$1&lt;År1,0,AB38*(1-VLOOKUP($A39,[1]Hugst!$R$5:$W$9,MATCH(ROUNDUP((AC$1)/10,0)*10,[1]Hugst!$R$4:$W$4,0))))</f>
        <v>0</v>
      </c>
      <c r="AD39">
        <f>IF($C39-AD$1&lt;År1,0,AC38*(1-VLOOKUP($A39,[1]Hugst!$R$5:$W$9,MATCH(ROUNDUP((AD$1)/10,0)*10,[1]Hugst!$R$4:$W$4,0))))</f>
        <v>0</v>
      </c>
      <c r="AE39">
        <f>IF($C39-AE$1&lt;År1,0,AD38*(1-VLOOKUP($A39,[1]Hugst!$R$5:$W$9,MATCH(ROUNDUP((AE$1)/10,0)*10,[1]Hugst!$R$4:$W$4,0))))</f>
        <v>0</v>
      </c>
      <c r="AF39">
        <f>IF($C39-AF$1&lt;År1,0,AE38*(1-VLOOKUP($A39,[1]Hugst!$R$5:$W$9,MATCH(ROUNDUP((AF$1)/10,0)*10,[1]Hugst!$R$4:$W$4,0))))</f>
        <v>0</v>
      </c>
      <c r="AG39">
        <f>IF($C39-AG$1&lt;År1,0,AF38*(1-VLOOKUP($A39,[1]Hugst!$R$5:$W$9,MATCH(ROUNDUP((AG$1)/10,0)*10,[1]Hugst!$R$4:$W$4,0))))</f>
        <v>0</v>
      </c>
      <c r="AH39">
        <f>IF($C39-AH$1&lt;År1,0,AG38*(1-VLOOKUP($A39,[1]Hugst!$R$5:$W$9,MATCH(ROUNDUP((AH$1)/10,0)*10,[1]Hugst!$R$4:$W$4,0))))</f>
        <v>0</v>
      </c>
      <c r="AI39">
        <f>IF($C39-AI$1&lt;År1,0,AH38*(1-VLOOKUP($A39,[1]Hugst!$R$5:$W$9,MATCH(ROUNDUP((AI$1)/10,0)*10,[1]Hugst!$R$4:$W$4,0))))</f>
        <v>0</v>
      </c>
      <c r="AJ39">
        <f>IF($C39-AJ$1&lt;År1,0,AI38*(1-VLOOKUP($A39,[1]Hugst!$R$5:$W$9,MATCH(ROUNDUP((AJ$1)/10,0)*10,[1]Hugst!$R$4:$W$4,0))))</f>
        <v>0</v>
      </c>
    </row>
    <row r="40" spans="1:36" x14ac:dyDescent="0.25">
      <c r="A40" t="s">
        <v>176</v>
      </c>
      <c r="B40" t="s">
        <v>24</v>
      </c>
      <c r="C40">
        <v>2027</v>
      </c>
      <c r="D40" cm="1">
        <f t="array" ref="D40">(IF(B40="Vestdanmark",Skovbrug!$C$22-(Skovbrug!$C$22)*(1-Skovbrug!$C$9)^(C40-Skovbrug!$B$12),Skovbrug!$F$22-(Skovbrug!$F$22)*(1-Skovbrug!$C$9)^(C40-Skovbrug!$B$12)))*VLOOKUP(A40,Skovbrug!$A$13:$D$17,IF('Skovbrug-alder'!C40&lt;=År2,3,4),FALSE)
-IF(C40&gt;2020,SUM(INDEX($C$1:$D$311,MATCH(1,(2020=$C$1:$C$311)*(B40=$B$1:$B$311)*(A40=$A$1:$A$311),0),2):D39),0)</f>
        <v>30.738672162689909</v>
      </c>
      <c r="E40">
        <f t="shared" ca="1" si="0"/>
        <v>0</v>
      </c>
      <c r="F40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105.65449707851479</v>
      </c>
      <c r="G40">
        <f ca="1">IF($C40-G$1&lt;År1,0,F39*(1-VLOOKUP($A40,[1]Hugst!$R$5:$W$9,MATCH(ROUNDUP((G$1)/10,0)*10,[1]Hugst!$R$4:$W$4,0))))</f>
        <v>105.80896276777605</v>
      </c>
      <c r="H40">
        <f ca="1">IF($C40-H$1&lt;År1,0,G39*(1-VLOOKUP($A40,[1]Hugst!$R$5:$W$9,MATCH(ROUNDUP((H$1)/10,0)*10,[1]Hugst!$R$4:$W$4,0))))</f>
        <v>105.96420466652819</v>
      </c>
      <c r="I40">
        <f ca="1">IF($C40-I$1&lt;År1,0,H39*(1-VLOOKUP($A40,[1]Hugst!$R$5:$W$9,MATCH(ROUNDUP((I$1)/10,0)*10,[1]Hugst!$R$4:$W$4,0))))</f>
        <v>106.12022667532625</v>
      </c>
      <c r="J40">
        <f ca="1">IF($C40-J$1&lt;År1,0,I39*(1-VLOOKUP($A40,[1]Hugst!$R$5:$W$9,MATCH(ROUNDUP((J$1)/10,0)*10,[1]Hugst!$R$4:$W$4,0))))</f>
        <v>106.27703271431785</v>
      </c>
      <c r="K40">
        <f ca="1">IF($C40-K$1&lt;År1,0,J39*(1-VLOOKUP($A40,[1]Hugst!$R$5:$W$9,MATCH(ROUNDUP((K$1)/10,0)*10,[1]Hugst!$R$4:$W$4,0))))</f>
        <v>106.4346267233563</v>
      </c>
      <c r="L40">
        <f ca="1">IF($C40-L$1&lt;År1,0,K39*(1-VLOOKUP($A40,[1]Hugst!$R$5:$W$9,MATCH(ROUNDUP((L$1)/10,0)*10,[1]Hugst!$R$4:$W$4,0))))</f>
        <v>106.59301266208753</v>
      </c>
      <c r="M40">
        <f ca="1">IF($C40-M$1&lt;År1,0,L39*(1-VLOOKUP($A40,[1]Hugst!$R$5:$W$9,MATCH(ROUNDUP((M$1)/10,0)*10,[1]Hugst!$R$4:$W$4,0))))</f>
        <v>106.75219451005873</v>
      </c>
      <c r="N40">
        <f>IF($C40-N$1&lt;År1,0,M39*(1-VLOOKUP($A40,[1]Hugst!$R$5:$W$9,MATCH(ROUNDUP((N$1)/10,0)*10,[1]Hugst!$R$4:$W$4,0))))</f>
        <v>0</v>
      </c>
      <c r="O40">
        <f>IF($C40-O$1&lt;År1,0,N39*(1-VLOOKUP($A40,[1]Hugst!$R$5:$W$9,MATCH(ROUNDUP((O$1)/10,0)*10,[1]Hugst!$R$4:$W$4,0))))</f>
        <v>0</v>
      </c>
      <c r="P40">
        <f>IF($C40-P$1&lt;År1,0,O39*(1-VLOOKUP($A40,[1]Hugst!$R$5:$W$9,MATCH(ROUNDUP((P$1)/10,0)*10,[1]Hugst!$R$4:$W$4,0))))</f>
        <v>0</v>
      </c>
      <c r="Q40">
        <f>IF($C40-Q$1&lt;År1,0,P39*(1-VLOOKUP($A40,[1]Hugst!$R$5:$W$9,MATCH(ROUNDUP((Q$1)/10,0)*10,[1]Hugst!$R$4:$W$4,0))))</f>
        <v>0</v>
      </c>
      <c r="R40">
        <f>IF($C40-R$1&lt;År1,0,Q39*(1-VLOOKUP($A40,[1]Hugst!$R$5:$W$9,MATCH(ROUNDUP((R$1)/10,0)*10,[1]Hugst!$R$4:$W$4,0))))</f>
        <v>0</v>
      </c>
      <c r="S40">
        <f>IF($C40-S$1&lt;År1,0,R39*(1-VLOOKUP($A40,[1]Hugst!$R$5:$W$9,MATCH(ROUNDUP((S$1)/10,0)*10,[1]Hugst!$R$4:$W$4,0))))</f>
        <v>0</v>
      </c>
      <c r="T40">
        <f>IF($C40-T$1&lt;År1,0,S39*(1-VLOOKUP($A40,[1]Hugst!$R$5:$W$9,MATCH(ROUNDUP((T$1)/10,0)*10,[1]Hugst!$R$4:$W$4,0))))</f>
        <v>0</v>
      </c>
      <c r="U40">
        <f>IF($C40-U$1&lt;År1,0,T39*(1-VLOOKUP($A40,[1]Hugst!$R$5:$W$9,MATCH(ROUNDUP((U$1)/10,0)*10,[1]Hugst!$R$4:$W$4,0))))</f>
        <v>0</v>
      </c>
      <c r="V40">
        <f>IF($C40-V$1&lt;År1,0,U39*(1-VLOOKUP($A40,[1]Hugst!$R$5:$W$9,MATCH(ROUNDUP((V$1)/10,0)*10,[1]Hugst!$R$4:$W$4,0))))</f>
        <v>0</v>
      </c>
      <c r="W40">
        <f>IF($C40-W$1&lt;År1,0,V39*(1-VLOOKUP($A40,[1]Hugst!$R$5:$W$9,MATCH(ROUNDUP((W$1)/10,0)*10,[1]Hugst!$R$4:$W$4,0))))</f>
        <v>0</v>
      </c>
      <c r="X40">
        <f>IF($C40-X$1&lt;År1,0,W39*(1-VLOOKUP($A40,[1]Hugst!$R$5:$W$9,MATCH(ROUNDUP((X$1)/10,0)*10,[1]Hugst!$R$4:$W$4,0))))</f>
        <v>0</v>
      </c>
      <c r="Y40">
        <f>IF($C40-Y$1&lt;År1,0,X39*(1-VLOOKUP($A40,[1]Hugst!$R$5:$W$9,MATCH(ROUNDUP((Y$1)/10,0)*10,[1]Hugst!$R$4:$W$4,0))))</f>
        <v>0</v>
      </c>
      <c r="Z40">
        <f>IF($C40-Z$1&lt;År1,0,Y39*(1-VLOOKUP($A40,[1]Hugst!$R$5:$W$9,MATCH(ROUNDUP((Z$1)/10,0)*10,[1]Hugst!$R$4:$W$4,0))))</f>
        <v>0</v>
      </c>
      <c r="AA40">
        <f>IF($C40-AA$1&lt;År1,0,Z39*(1-VLOOKUP($A40,[1]Hugst!$R$5:$W$9,MATCH(ROUNDUP((AA$1)/10,0)*10,[1]Hugst!$R$4:$W$4,0))))</f>
        <v>0</v>
      </c>
      <c r="AB40">
        <f>IF($C40-AB$1&lt;År1,0,AA39*(1-VLOOKUP($A40,[1]Hugst!$R$5:$W$9,MATCH(ROUNDUP((AB$1)/10,0)*10,[1]Hugst!$R$4:$W$4,0))))</f>
        <v>0</v>
      </c>
      <c r="AC40">
        <f>IF($C40-AC$1&lt;År1,0,AB39*(1-VLOOKUP($A40,[1]Hugst!$R$5:$W$9,MATCH(ROUNDUP((AC$1)/10,0)*10,[1]Hugst!$R$4:$W$4,0))))</f>
        <v>0</v>
      </c>
      <c r="AD40">
        <f>IF($C40-AD$1&lt;År1,0,AC39*(1-VLOOKUP($A40,[1]Hugst!$R$5:$W$9,MATCH(ROUNDUP((AD$1)/10,0)*10,[1]Hugst!$R$4:$W$4,0))))</f>
        <v>0</v>
      </c>
      <c r="AE40">
        <f>IF($C40-AE$1&lt;År1,0,AD39*(1-VLOOKUP($A40,[1]Hugst!$R$5:$W$9,MATCH(ROUNDUP((AE$1)/10,0)*10,[1]Hugst!$R$4:$W$4,0))))</f>
        <v>0</v>
      </c>
      <c r="AF40">
        <f>IF($C40-AF$1&lt;År1,0,AE39*(1-VLOOKUP($A40,[1]Hugst!$R$5:$W$9,MATCH(ROUNDUP((AF$1)/10,0)*10,[1]Hugst!$R$4:$W$4,0))))</f>
        <v>0</v>
      </c>
      <c r="AG40">
        <f>IF($C40-AG$1&lt;År1,0,AF39*(1-VLOOKUP($A40,[1]Hugst!$R$5:$W$9,MATCH(ROUNDUP((AG$1)/10,0)*10,[1]Hugst!$R$4:$W$4,0))))</f>
        <v>0</v>
      </c>
      <c r="AH40">
        <f>IF($C40-AH$1&lt;År1,0,AG39*(1-VLOOKUP($A40,[1]Hugst!$R$5:$W$9,MATCH(ROUNDUP((AH$1)/10,0)*10,[1]Hugst!$R$4:$W$4,0))))</f>
        <v>0</v>
      </c>
      <c r="AI40">
        <f>IF($C40-AI$1&lt;År1,0,AH39*(1-VLOOKUP($A40,[1]Hugst!$R$5:$W$9,MATCH(ROUNDUP((AI$1)/10,0)*10,[1]Hugst!$R$4:$W$4,0))))</f>
        <v>0</v>
      </c>
      <c r="AJ40">
        <f>IF($C40-AJ$1&lt;År1,0,AI39*(1-VLOOKUP($A40,[1]Hugst!$R$5:$W$9,MATCH(ROUNDUP((AJ$1)/10,0)*10,[1]Hugst!$R$4:$W$4,0))))</f>
        <v>0</v>
      </c>
    </row>
    <row r="41" spans="1:36" x14ac:dyDescent="0.25">
      <c r="A41" t="s">
        <v>176</v>
      </c>
      <c r="B41" t="s">
        <v>24</v>
      </c>
      <c r="C41">
        <v>2028</v>
      </c>
      <c r="D41" cm="1">
        <f t="array" ref="D41">(IF(B41="Vestdanmark",Skovbrug!$C$22-(Skovbrug!$C$22)*(1-Skovbrug!$C$9)^(C41-Skovbrug!$B$12),Skovbrug!$F$22-(Skovbrug!$F$22)*(1-Skovbrug!$C$9)^(C41-Skovbrug!$B$12)))*VLOOKUP(A41,Skovbrug!$A$13:$D$17,IF('Skovbrug-alder'!C41&lt;=År2,3,4),FALSE)
-IF(C41&gt;2020,SUM(INDEX($C$1:$D$311,MATCH(1,(2020=$C$1:$C$311)*(B41=$B$1:$B$311)*(A41=$A$1:$A$311),0),2):D40),0)</f>
        <v>30.584978801877185</v>
      </c>
      <c r="E41">
        <f t="shared" ca="1" si="0"/>
        <v>0</v>
      </c>
      <c r="F41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105.50080371770207</v>
      </c>
      <c r="G41">
        <f ca="1">IF($C41-G$1&lt;År1,0,F40*(1-VLOOKUP($A41,[1]Hugst!$R$5:$W$9,MATCH(ROUNDUP((G$1)/10,0)*10,[1]Hugst!$R$4:$W$4,0))))</f>
        <v>105.65449707851479</v>
      </c>
      <c r="H41">
        <f ca="1">IF($C41-H$1&lt;År1,0,G40*(1-VLOOKUP($A41,[1]Hugst!$R$5:$W$9,MATCH(ROUNDUP((H$1)/10,0)*10,[1]Hugst!$R$4:$W$4,0))))</f>
        <v>105.80896276777605</v>
      </c>
      <c r="I41">
        <f ca="1">IF($C41-I$1&lt;År1,0,H40*(1-VLOOKUP($A41,[1]Hugst!$R$5:$W$9,MATCH(ROUNDUP((I$1)/10,0)*10,[1]Hugst!$R$4:$W$4,0))))</f>
        <v>105.96420466652819</v>
      </c>
      <c r="J41">
        <f ca="1">IF($C41-J$1&lt;År1,0,I40*(1-VLOOKUP($A41,[1]Hugst!$R$5:$W$9,MATCH(ROUNDUP((J$1)/10,0)*10,[1]Hugst!$R$4:$W$4,0))))</f>
        <v>106.12022667532625</v>
      </c>
      <c r="K41">
        <f ca="1">IF($C41-K$1&lt;År1,0,J40*(1-VLOOKUP($A41,[1]Hugst!$R$5:$W$9,MATCH(ROUNDUP((K$1)/10,0)*10,[1]Hugst!$R$4:$W$4,0))))</f>
        <v>106.27703271431785</v>
      </c>
      <c r="L41">
        <f ca="1">IF($C41-L$1&lt;År1,0,K40*(1-VLOOKUP($A41,[1]Hugst!$R$5:$W$9,MATCH(ROUNDUP((L$1)/10,0)*10,[1]Hugst!$R$4:$W$4,0))))</f>
        <v>106.4346267233563</v>
      </c>
      <c r="M41">
        <f ca="1">IF($C41-M$1&lt;År1,0,L40*(1-VLOOKUP($A41,[1]Hugst!$R$5:$W$9,MATCH(ROUNDUP((M$1)/10,0)*10,[1]Hugst!$R$4:$W$4,0))))</f>
        <v>106.59301266208753</v>
      </c>
      <c r="N41">
        <f ca="1">IF($C41-N$1&lt;År1,0,M40*(1-VLOOKUP($A41,[1]Hugst!$R$5:$W$9,MATCH(ROUNDUP((N$1)/10,0)*10,[1]Hugst!$R$4:$W$4,0))))</f>
        <v>106.75219451005873</v>
      </c>
      <c r="O41">
        <f>IF($C41-O$1&lt;År1,0,N40*(1-VLOOKUP($A41,[1]Hugst!$R$5:$W$9,MATCH(ROUNDUP((O$1)/10,0)*10,[1]Hugst!$R$4:$W$4,0))))</f>
        <v>0</v>
      </c>
      <c r="P41">
        <f>IF($C41-P$1&lt;År1,0,O40*(1-VLOOKUP($A41,[1]Hugst!$R$5:$W$9,MATCH(ROUNDUP((P$1)/10,0)*10,[1]Hugst!$R$4:$W$4,0))))</f>
        <v>0</v>
      </c>
      <c r="Q41">
        <f>IF($C41-Q$1&lt;År1,0,P40*(1-VLOOKUP($A41,[1]Hugst!$R$5:$W$9,MATCH(ROUNDUP((Q$1)/10,0)*10,[1]Hugst!$R$4:$W$4,0))))</f>
        <v>0</v>
      </c>
      <c r="R41">
        <f>IF($C41-R$1&lt;År1,0,Q40*(1-VLOOKUP($A41,[1]Hugst!$R$5:$W$9,MATCH(ROUNDUP((R$1)/10,0)*10,[1]Hugst!$R$4:$W$4,0))))</f>
        <v>0</v>
      </c>
      <c r="S41">
        <f>IF($C41-S$1&lt;År1,0,R40*(1-VLOOKUP($A41,[1]Hugst!$R$5:$W$9,MATCH(ROUNDUP((S$1)/10,0)*10,[1]Hugst!$R$4:$W$4,0))))</f>
        <v>0</v>
      </c>
      <c r="T41">
        <f>IF($C41-T$1&lt;År1,0,S40*(1-VLOOKUP($A41,[1]Hugst!$R$5:$W$9,MATCH(ROUNDUP((T$1)/10,0)*10,[1]Hugst!$R$4:$W$4,0))))</f>
        <v>0</v>
      </c>
      <c r="U41">
        <f>IF($C41-U$1&lt;År1,0,T40*(1-VLOOKUP($A41,[1]Hugst!$R$5:$W$9,MATCH(ROUNDUP((U$1)/10,0)*10,[1]Hugst!$R$4:$W$4,0))))</f>
        <v>0</v>
      </c>
      <c r="V41">
        <f>IF($C41-V$1&lt;År1,0,U40*(1-VLOOKUP($A41,[1]Hugst!$R$5:$W$9,MATCH(ROUNDUP((V$1)/10,0)*10,[1]Hugst!$R$4:$W$4,0))))</f>
        <v>0</v>
      </c>
      <c r="W41">
        <f>IF($C41-W$1&lt;År1,0,V40*(1-VLOOKUP($A41,[1]Hugst!$R$5:$W$9,MATCH(ROUNDUP((W$1)/10,0)*10,[1]Hugst!$R$4:$W$4,0))))</f>
        <v>0</v>
      </c>
      <c r="X41">
        <f>IF($C41-X$1&lt;År1,0,W40*(1-VLOOKUP($A41,[1]Hugst!$R$5:$W$9,MATCH(ROUNDUP((X$1)/10,0)*10,[1]Hugst!$R$4:$W$4,0))))</f>
        <v>0</v>
      </c>
      <c r="Y41">
        <f>IF($C41-Y$1&lt;År1,0,X40*(1-VLOOKUP($A41,[1]Hugst!$R$5:$W$9,MATCH(ROUNDUP((Y$1)/10,0)*10,[1]Hugst!$R$4:$W$4,0))))</f>
        <v>0</v>
      </c>
      <c r="Z41">
        <f>IF($C41-Z$1&lt;År1,0,Y40*(1-VLOOKUP($A41,[1]Hugst!$R$5:$W$9,MATCH(ROUNDUP((Z$1)/10,0)*10,[1]Hugst!$R$4:$W$4,0))))</f>
        <v>0</v>
      </c>
      <c r="AA41">
        <f>IF($C41-AA$1&lt;År1,0,Z40*(1-VLOOKUP($A41,[1]Hugst!$R$5:$W$9,MATCH(ROUNDUP((AA$1)/10,0)*10,[1]Hugst!$R$4:$W$4,0))))</f>
        <v>0</v>
      </c>
      <c r="AB41">
        <f>IF($C41-AB$1&lt;År1,0,AA40*(1-VLOOKUP($A41,[1]Hugst!$R$5:$W$9,MATCH(ROUNDUP((AB$1)/10,0)*10,[1]Hugst!$R$4:$W$4,0))))</f>
        <v>0</v>
      </c>
      <c r="AC41">
        <f>IF($C41-AC$1&lt;År1,0,AB40*(1-VLOOKUP($A41,[1]Hugst!$R$5:$W$9,MATCH(ROUNDUP((AC$1)/10,0)*10,[1]Hugst!$R$4:$W$4,0))))</f>
        <v>0</v>
      </c>
      <c r="AD41">
        <f>IF($C41-AD$1&lt;År1,0,AC40*(1-VLOOKUP($A41,[1]Hugst!$R$5:$W$9,MATCH(ROUNDUP((AD$1)/10,0)*10,[1]Hugst!$R$4:$W$4,0))))</f>
        <v>0</v>
      </c>
      <c r="AE41">
        <f>IF($C41-AE$1&lt;År1,0,AD40*(1-VLOOKUP($A41,[1]Hugst!$R$5:$W$9,MATCH(ROUNDUP((AE$1)/10,0)*10,[1]Hugst!$R$4:$W$4,0))))</f>
        <v>0</v>
      </c>
      <c r="AF41">
        <f>IF($C41-AF$1&lt;År1,0,AE40*(1-VLOOKUP($A41,[1]Hugst!$R$5:$W$9,MATCH(ROUNDUP((AF$1)/10,0)*10,[1]Hugst!$R$4:$W$4,0))))</f>
        <v>0</v>
      </c>
      <c r="AG41">
        <f>IF($C41-AG$1&lt;År1,0,AF40*(1-VLOOKUP($A41,[1]Hugst!$R$5:$W$9,MATCH(ROUNDUP((AG$1)/10,0)*10,[1]Hugst!$R$4:$W$4,0))))</f>
        <v>0</v>
      </c>
      <c r="AH41">
        <f>IF($C41-AH$1&lt;År1,0,AG40*(1-VLOOKUP($A41,[1]Hugst!$R$5:$W$9,MATCH(ROUNDUP((AH$1)/10,0)*10,[1]Hugst!$R$4:$W$4,0))))</f>
        <v>0</v>
      </c>
      <c r="AI41">
        <f>IF($C41-AI$1&lt;År1,0,AH40*(1-VLOOKUP($A41,[1]Hugst!$R$5:$W$9,MATCH(ROUNDUP((AI$1)/10,0)*10,[1]Hugst!$R$4:$W$4,0))))</f>
        <v>0</v>
      </c>
      <c r="AJ41">
        <f>IF($C41-AJ$1&lt;År1,0,AI40*(1-VLOOKUP($A41,[1]Hugst!$R$5:$W$9,MATCH(ROUNDUP((AJ$1)/10,0)*10,[1]Hugst!$R$4:$W$4,0))))</f>
        <v>0</v>
      </c>
    </row>
    <row r="42" spans="1:36" x14ac:dyDescent="0.25">
      <c r="A42" t="s">
        <v>176</v>
      </c>
      <c r="B42" t="s">
        <v>24</v>
      </c>
      <c r="C42">
        <v>2029</v>
      </c>
      <c r="D42" cm="1">
        <f t="array" ref="D42">(IF(B42="Vestdanmark",Skovbrug!$C$22-(Skovbrug!$C$22)*(1-Skovbrug!$C$9)^(C42-Skovbrug!$B$12),Skovbrug!$F$22-(Skovbrug!$F$22)*(1-Skovbrug!$C$9)^(C42-Skovbrug!$B$12)))*VLOOKUP(A42,Skovbrug!$A$13:$D$17,IF('Skovbrug-alder'!C42&lt;=År2,3,4),FALSE)
-IF(C42&gt;2020,SUM(INDEX($C$1:$D$311,MATCH(1,(2020=$C$1:$C$311)*(B42=$B$1:$B$311)*(A42=$A$1:$A$311),0),2):D41),0)</f>
        <v>30.432053907867498</v>
      </c>
      <c r="E42">
        <f t="shared" ca="1" si="0"/>
        <v>0</v>
      </c>
      <c r="F42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105.34787882369238</v>
      </c>
      <c r="G42">
        <f ca="1">IF($C42-G$1&lt;År1,0,F41*(1-VLOOKUP($A42,[1]Hugst!$R$5:$W$9,MATCH(ROUNDUP((G$1)/10,0)*10,[1]Hugst!$R$4:$W$4,0))))</f>
        <v>105.50080371770207</v>
      </c>
      <c r="H42">
        <f ca="1">IF($C42-H$1&lt;År1,0,G41*(1-VLOOKUP($A42,[1]Hugst!$R$5:$W$9,MATCH(ROUNDUP((H$1)/10,0)*10,[1]Hugst!$R$4:$W$4,0))))</f>
        <v>105.65449707851479</v>
      </c>
      <c r="I42">
        <f ca="1">IF($C42-I$1&lt;År1,0,H41*(1-VLOOKUP($A42,[1]Hugst!$R$5:$W$9,MATCH(ROUNDUP((I$1)/10,0)*10,[1]Hugst!$R$4:$W$4,0))))</f>
        <v>105.80896276777605</v>
      </c>
      <c r="J42">
        <f ca="1">IF($C42-J$1&lt;År1,0,I41*(1-VLOOKUP($A42,[1]Hugst!$R$5:$W$9,MATCH(ROUNDUP((J$1)/10,0)*10,[1]Hugst!$R$4:$W$4,0))))</f>
        <v>105.96420466652819</v>
      </c>
      <c r="K42">
        <f ca="1">IF($C42-K$1&lt;År1,0,J41*(1-VLOOKUP($A42,[1]Hugst!$R$5:$W$9,MATCH(ROUNDUP((K$1)/10,0)*10,[1]Hugst!$R$4:$W$4,0))))</f>
        <v>106.12022667532625</v>
      </c>
      <c r="L42">
        <f ca="1">IF($C42-L$1&lt;År1,0,K41*(1-VLOOKUP($A42,[1]Hugst!$R$5:$W$9,MATCH(ROUNDUP((L$1)/10,0)*10,[1]Hugst!$R$4:$W$4,0))))</f>
        <v>106.27703271431785</v>
      </c>
      <c r="M42">
        <f ca="1">IF($C42-M$1&lt;År1,0,L41*(1-VLOOKUP($A42,[1]Hugst!$R$5:$W$9,MATCH(ROUNDUP((M$1)/10,0)*10,[1]Hugst!$R$4:$W$4,0))))</f>
        <v>106.4346267233563</v>
      </c>
      <c r="N42">
        <f ca="1">IF($C42-N$1&lt;År1,0,M41*(1-VLOOKUP($A42,[1]Hugst!$R$5:$W$9,MATCH(ROUNDUP((N$1)/10,0)*10,[1]Hugst!$R$4:$W$4,0))))</f>
        <v>106.59301266208753</v>
      </c>
      <c r="O42">
        <f ca="1">IF($C42-O$1&lt;År1,0,N41*(1-VLOOKUP($A42,[1]Hugst!$R$5:$W$9,MATCH(ROUNDUP((O$1)/10,0)*10,[1]Hugst!$R$4:$W$4,0))))</f>
        <v>106.75219451005873</v>
      </c>
      <c r="P42">
        <f>IF($C42-P$1&lt;År1,0,O41*(1-VLOOKUP($A42,[1]Hugst!$R$5:$W$9,MATCH(ROUNDUP((P$1)/10,0)*10,[1]Hugst!$R$4:$W$4,0))))</f>
        <v>0</v>
      </c>
      <c r="Q42">
        <f>IF($C42-Q$1&lt;År1,0,P41*(1-VLOOKUP($A42,[1]Hugst!$R$5:$W$9,MATCH(ROUNDUP((Q$1)/10,0)*10,[1]Hugst!$R$4:$W$4,0))))</f>
        <v>0</v>
      </c>
      <c r="R42">
        <f>IF($C42-R$1&lt;År1,0,Q41*(1-VLOOKUP($A42,[1]Hugst!$R$5:$W$9,MATCH(ROUNDUP((R$1)/10,0)*10,[1]Hugst!$R$4:$W$4,0))))</f>
        <v>0</v>
      </c>
      <c r="S42">
        <f>IF($C42-S$1&lt;År1,0,R41*(1-VLOOKUP($A42,[1]Hugst!$R$5:$W$9,MATCH(ROUNDUP((S$1)/10,0)*10,[1]Hugst!$R$4:$W$4,0))))</f>
        <v>0</v>
      </c>
      <c r="T42">
        <f>IF($C42-T$1&lt;År1,0,S41*(1-VLOOKUP($A42,[1]Hugst!$R$5:$W$9,MATCH(ROUNDUP((T$1)/10,0)*10,[1]Hugst!$R$4:$W$4,0))))</f>
        <v>0</v>
      </c>
      <c r="U42">
        <f>IF($C42-U$1&lt;År1,0,T41*(1-VLOOKUP($A42,[1]Hugst!$R$5:$W$9,MATCH(ROUNDUP((U$1)/10,0)*10,[1]Hugst!$R$4:$W$4,0))))</f>
        <v>0</v>
      </c>
      <c r="V42">
        <f>IF($C42-V$1&lt;År1,0,U41*(1-VLOOKUP($A42,[1]Hugst!$R$5:$W$9,MATCH(ROUNDUP((V$1)/10,0)*10,[1]Hugst!$R$4:$W$4,0))))</f>
        <v>0</v>
      </c>
      <c r="W42">
        <f>IF($C42-W$1&lt;År1,0,V41*(1-VLOOKUP($A42,[1]Hugst!$R$5:$W$9,MATCH(ROUNDUP((W$1)/10,0)*10,[1]Hugst!$R$4:$W$4,0))))</f>
        <v>0</v>
      </c>
      <c r="X42">
        <f>IF($C42-X$1&lt;År1,0,W41*(1-VLOOKUP($A42,[1]Hugst!$R$5:$W$9,MATCH(ROUNDUP((X$1)/10,0)*10,[1]Hugst!$R$4:$W$4,0))))</f>
        <v>0</v>
      </c>
      <c r="Y42">
        <f>IF($C42-Y$1&lt;År1,0,X41*(1-VLOOKUP($A42,[1]Hugst!$R$5:$W$9,MATCH(ROUNDUP((Y$1)/10,0)*10,[1]Hugst!$R$4:$W$4,0))))</f>
        <v>0</v>
      </c>
      <c r="Z42">
        <f>IF($C42-Z$1&lt;År1,0,Y41*(1-VLOOKUP($A42,[1]Hugst!$R$5:$W$9,MATCH(ROUNDUP((Z$1)/10,0)*10,[1]Hugst!$R$4:$W$4,0))))</f>
        <v>0</v>
      </c>
      <c r="AA42">
        <f>IF($C42-AA$1&lt;År1,0,Z41*(1-VLOOKUP($A42,[1]Hugst!$R$5:$W$9,MATCH(ROUNDUP((AA$1)/10,0)*10,[1]Hugst!$R$4:$W$4,0))))</f>
        <v>0</v>
      </c>
      <c r="AB42">
        <f>IF($C42-AB$1&lt;År1,0,AA41*(1-VLOOKUP($A42,[1]Hugst!$R$5:$W$9,MATCH(ROUNDUP((AB$1)/10,0)*10,[1]Hugst!$R$4:$W$4,0))))</f>
        <v>0</v>
      </c>
      <c r="AC42">
        <f>IF($C42-AC$1&lt;År1,0,AB41*(1-VLOOKUP($A42,[1]Hugst!$R$5:$W$9,MATCH(ROUNDUP((AC$1)/10,0)*10,[1]Hugst!$R$4:$W$4,0))))</f>
        <v>0</v>
      </c>
      <c r="AD42">
        <f>IF($C42-AD$1&lt;År1,0,AC41*(1-VLOOKUP($A42,[1]Hugst!$R$5:$W$9,MATCH(ROUNDUP((AD$1)/10,0)*10,[1]Hugst!$R$4:$W$4,0))))</f>
        <v>0</v>
      </c>
      <c r="AE42">
        <f>IF($C42-AE$1&lt;År1,0,AD41*(1-VLOOKUP($A42,[1]Hugst!$R$5:$W$9,MATCH(ROUNDUP((AE$1)/10,0)*10,[1]Hugst!$R$4:$W$4,0))))</f>
        <v>0</v>
      </c>
      <c r="AF42">
        <f>IF($C42-AF$1&lt;År1,0,AE41*(1-VLOOKUP($A42,[1]Hugst!$R$5:$W$9,MATCH(ROUNDUP((AF$1)/10,0)*10,[1]Hugst!$R$4:$W$4,0))))</f>
        <v>0</v>
      </c>
      <c r="AG42">
        <f>IF($C42-AG$1&lt;År1,0,AF41*(1-VLOOKUP($A42,[1]Hugst!$R$5:$W$9,MATCH(ROUNDUP((AG$1)/10,0)*10,[1]Hugst!$R$4:$W$4,0))))</f>
        <v>0</v>
      </c>
      <c r="AH42">
        <f>IF($C42-AH$1&lt;År1,0,AG41*(1-VLOOKUP($A42,[1]Hugst!$R$5:$W$9,MATCH(ROUNDUP((AH$1)/10,0)*10,[1]Hugst!$R$4:$W$4,0))))</f>
        <v>0</v>
      </c>
      <c r="AI42">
        <f>IF($C42-AI$1&lt;År1,0,AH41*(1-VLOOKUP($A42,[1]Hugst!$R$5:$W$9,MATCH(ROUNDUP((AI$1)/10,0)*10,[1]Hugst!$R$4:$W$4,0))))</f>
        <v>0</v>
      </c>
      <c r="AJ42">
        <f>IF($C42-AJ$1&lt;År1,0,AI41*(1-VLOOKUP($A42,[1]Hugst!$R$5:$W$9,MATCH(ROUNDUP((AJ$1)/10,0)*10,[1]Hugst!$R$4:$W$4,0))))</f>
        <v>0</v>
      </c>
    </row>
    <row r="43" spans="1:36" x14ac:dyDescent="0.25">
      <c r="A43" t="s">
        <v>176</v>
      </c>
      <c r="B43" t="s">
        <v>24</v>
      </c>
      <c r="C43">
        <v>2030</v>
      </c>
      <c r="D43" cm="1">
        <f t="array" ref="D43">(IF(B43="Vestdanmark",Skovbrug!$C$22-(Skovbrug!$C$22)*(1-Skovbrug!$C$9)^(C43-Skovbrug!$B$12),Skovbrug!$F$22-(Skovbrug!$F$22)*(1-Skovbrug!$C$9)^(C43-Skovbrug!$B$12)))*VLOOKUP(A43,Skovbrug!$A$13:$D$17,IF('Skovbrug-alder'!C43&lt;=År2,3,4),FALSE)
-IF(C43&gt;2020,SUM(INDEX($C$1:$D$311,MATCH(1,(2020=$C$1:$C$311)*(B43=$B$1:$B$311)*(A43=$A$1:$A$311),0),2):D42),0)</f>
        <v>30.279893638328929</v>
      </c>
      <c r="E43">
        <f t="shared" ca="1" si="0"/>
        <v>0</v>
      </c>
      <c r="F43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105.19571855415381</v>
      </c>
      <c r="G43">
        <f ca="1">IF($C43-G$1&lt;År1,0,F42*(1-VLOOKUP($A43,[1]Hugst!$R$5:$W$9,MATCH(ROUNDUP((G$1)/10,0)*10,[1]Hugst!$R$4:$W$4,0))))</f>
        <v>105.34787882369238</v>
      </c>
      <c r="H43">
        <f ca="1">IF($C43-H$1&lt;År1,0,G42*(1-VLOOKUP($A43,[1]Hugst!$R$5:$W$9,MATCH(ROUNDUP((H$1)/10,0)*10,[1]Hugst!$R$4:$W$4,0))))</f>
        <v>105.50080371770207</v>
      </c>
      <c r="I43">
        <f ca="1">IF($C43-I$1&lt;År1,0,H42*(1-VLOOKUP($A43,[1]Hugst!$R$5:$W$9,MATCH(ROUNDUP((I$1)/10,0)*10,[1]Hugst!$R$4:$W$4,0))))</f>
        <v>105.65449707851479</v>
      </c>
      <c r="J43">
        <f ca="1">IF($C43-J$1&lt;År1,0,I42*(1-VLOOKUP($A43,[1]Hugst!$R$5:$W$9,MATCH(ROUNDUP((J$1)/10,0)*10,[1]Hugst!$R$4:$W$4,0))))</f>
        <v>105.80896276777605</v>
      </c>
      <c r="K43">
        <f ca="1">IF($C43-K$1&lt;År1,0,J42*(1-VLOOKUP($A43,[1]Hugst!$R$5:$W$9,MATCH(ROUNDUP((K$1)/10,0)*10,[1]Hugst!$R$4:$W$4,0))))</f>
        <v>105.96420466652819</v>
      </c>
      <c r="L43">
        <f ca="1">IF($C43-L$1&lt;År1,0,K42*(1-VLOOKUP($A43,[1]Hugst!$R$5:$W$9,MATCH(ROUNDUP((L$1)/10,0)*10,[1]Hugst!$R$4:$W$4,0))))</f>
        <v>106.12022667532625</v>
      </c>
      <c r="M43">
        <f ca="1">IF($C43-M$1&lt;År1,0,L42*(1-VLOOKUP($A43,[1]Hugst!$R$5:$W$9,MATCH(ROUNDUP((M$1)/10,0)*10,[1]Hugst!$R$4:$W$4,0))))</f>
        <v>106.27703271431785</v>
      </c>
      <c r="N43">
        <f ca="1">IF($C43-N$1&lt;År1,0,M42*(1-VLOOKUP($A43,[1]Hugst!$R$5:$W$9,MATCH(ROUNDUP((N$1)/10,0)*10,[1]Hugst!$R$4:$W$4,0))))</f>
        <v>106.4346267233563</v>
      </c>
      <c r="O43">
        <f ca="1">IF($C43-O$1&lt;År1,0,N42*(1-VLOOKUP($A43,[1]Hugst!$R$5:$W$9,MATCH(ROUNDUP((O$1)/10,0)*10,[1]Hugst!$R$4:$W$4,0))))</f>
        <v>106.59301266208753</v>
      </c>
      <c r="P43">
        <f ca="1">IF($C43-P$1&lt;År1,0,O42*(1-VLOOKUP($A43,[1]Hugst!$R$5:$W$9,MATCH(ROUNDUP((P$1)/10,0)*10,[1]Hugst!$R$4:$W$4,0))))</f>
        <v>106.75219451005873</v>
      </c>
      <c r="Q43">
        <f>IF($C43-Q$1&lt;År1,0,P42*(1-VLOOKUP($A43,[1]Hugst!$R$5:$W$9,MATCH(ROUNDUP((Q$1)/10,0)*10,[1]Hugst!$R$4:$W$4,0))))</f>
        <v>0</v>
      </c>
      <c r="R43">
        <f>IF($C43-R$1&lt;År1,0,Q42*(1-VLOOKUP($A43,[1]Hugst!$R$5:$W$9,MATCH(ROUNDUP((R$1)/10,0)*10,[1]Hugst!$R$4:$W$4,0))))</f>
        <v>0</v>
      </c>
      <c r="S43">
        <f>IF($C43-S$1&lt;År1,0,R42*(1-VLOOKUP($A43,[1]Hugst!$R$5:$W$9,MATCH(ROUNDUP((S$1)/10,0)*10,[1]Hugst!$R$4:$W$4,0))))</f>
        <v>0</v>
      </c>
      <c r="T43">
        <f>IF($C43-T$1&lt;År1,0,S42*(1-VLOOKUP($A43,[1]Hugst!$R$5:$W$9,MATCH(ROUNDUP((T$1)/10,0)*10,[1]Hugst!$R$4:$W$4,0))))</f>
        <v>0</v>
      </c>
      <c r="U43">
        <f>IF($C43-U$1&lt;År1,0,T42*(1-VLOOKUP($A43,[1]Hugst!$R$5:$W$9,MATCH(ROUNDUP((U$1)/10,0)*10,[1]Hugst!$R$4:$W$4,0))))</f>
        <v>0</v>
      </c>
      <c r="V43">
        <f>IF($C43-V$1&lt;År1,0,U42*(1-VLOOKUP($A43,[1]Hugst!$R$5:$W$9,MATCH(ROUNDUP((V$1)/10,0)*10,[1]Hugst!$R$4:$W$4,0))))</f>
        <v>0</v>
      </c>
      <c r="W43">
        <f>IF($C43-W$1&lt;År1,0,V42*(1-VLOOKUP($A43,[1]Hugst!$R$5:$W$9,MATCH(ROUNDUP((W$1)/10,0)*10,[1]Hugst!$R$4:$W$4,0))))</f>
        <v>0</v>
      </c>
      <c r="X43">
        <f>IF($C43-X$1&lt;År1,0,W42*(1-VLOOKUP($A43,[1]Hugst!$R$5:$W$9,MATCH(ROUNDUP((X$1)/10,0)*10,[1]Hugst!$R$4:$W$4,0))))</f>
        <v>0</v>
      </c>
      <c r="Y43">
        <f>IF($C43-Y$1&lt;År1,0,X42*(1-VLOOKUP($A43,[1]Hugst!$R$5:$W$9,MATCH(ROUNDUP((Y$1)/10,0)*10,[1]Hugst!$R$4:$W$4,0))))</f>
        <v>0</v>
      </c>
      <c r="Z43">
        <f>IF($C43-Z$1&lt;År1,0,Y42*(1-VLOOKUP($A43,[1]Hugst!$R$5:$W$9,MATCH(ROUNDUP((Z$1)/10,0)*10,[1]Hugst!$R$4:$W$4,0))))</f>
        <v>0</v>
      </c>
      <c r="AA43">
        <f>IF($C43-AA$1&lt;År1,0,Z42*(1-VLOOKUP($A43,[1]Hugst!$R$5:$W$9,MATCH(ROUNDUP((AA$1)/10,0)*10,[1]Hugst!$R$4:$W$4,0))))</f>
        <v>0</v>
      </c>
      <c r="AB43">
        <f>IF($C43-AB$1&lt;År1,0,AA42*(1-VLOOKUP($A43,[1]Hugst!$R$5:$W$9,MATCH(ROUNDUP((AB$1)/10,0)*10,[1]Hugst!$R$4:$W$4,0))))</f>
        <v>0</v>
      </c>
      <c r="AC43">
        <f>IF($C43-AC$1&lt;År1,0,AB42*(1-VLOOKUP($A43,[1]Hugst!$R$5:$W$9,MATCH(ROUNDUP((AC$1)/10,0)*10,[1]Hugst!$R$4:$W$4,0))))</f>
        <v>0</v>
      </c>
      <c r="AD43">
        <f>IF($C43-AD$1&lt;År1,0,AC42*(1-VLOOKUP($A43,[1]Hugst!$R$5:$W$9,MATCH(ROUNDUP((AD$1)/10,0)*10,[1]Hugst!$R$4:$W$4,0))))</f>
        <v>0</v>
      </c>
      <c r="AE43">
        <f>IF($C43-AE$1&lt;År1,0,AD42*(1-VLOOKUP($A43,[1]Hugst!$R$5:$W$9,MATCH(ROUNDUP((AE$1)/10,0)*10,[1]Hugst!$R$4:$W$4,0))))</f>
        <v>0</v>
      </c>
      <c r="AF43">
        <f>IF($C43-AF$1&lt;År1,0,AE42*(1-VLOOKUP($A43,[1]Hugst!$R$5:$W$9,MATCH(ROUNDUP((AF$1)/10,0)*10,[1]Hugst!$R$4:$W$4,0))))</f>
        <v>0</v>
      </c>
      <c r="AG43">
        <f>IF($C43-AG$1&lt;År1,0,AF42*(1-VLOOKUP($A43,[1]Hugst!$R$5:$W$9,MATCH(ROUNDUP((AG$1)/10,0)*10,[1]Hugst!$R$4:$W$4,0))))</f>
        <v>0</v>
      </c>
      <c r="AH43">
        <f>IF($C43-AH$1&lt;År1,0,AG42*(1-VLOOKUP($A43,[1]Hugst!$R$5:$W$9,MATCH(ROUNDUP((AH$1)/10,0)*10,[1]Hugst!$R$4:$W$4,0))))</f>
        <v>0</v>
      </c>
      <c r="AI43">
        <f>IF($C43-AI$1&lt;År1,0,AH42*(1-VLOOKUP($A43,[1]Hugst!$R$5:$W$9,MATCH(ROUNDUP((AI$1)/10,0)*10,[1]Hugst!$R$4:$W$4,0))))</f>
        <v>0</v>
      </c>
      <c r="AJ43">
        <f>IF($C43-AJ$1&lt;År1,0,AI42*(1-VLOOKUP($A43,[1]Hugst!$R$5:$W$9,MATCH(ROUNDUP((AJ$1)/10,0)*10,[1]Hugst!$R$4:$W$4,0))))</f>
        <v>0</v>
      </c>
    </row>
    <row r="44" spans="1:36" x14ac:dyDescent="0.25">
      <c r="A44" t="s">
        <v>176</v>
      </c>
      <c r="B44" t="s">
        <v>24</v>
      </c>
      <c r="C44">
        <v>2031</v>
      </c>
      <c r="D44" cm="1">
        <f t="array" ref="D44">(IF(B44="Vestdanmark",Skovbrug!$C$22-(Skovbrug!$C$22)*(1-Skovbrug!$C$9)^(C44-Skovbrug!$B$12),Skovbrug!$F$22-(Skovbrug!$F$22)*(1-Skovbrug!$C$9)^(C44-Skovbrug!$B$12)))*VLOOKUP(A44,Skovbrug!$A$13:$D$17,IF('Skovbrug-alder'!C44&lt;=År2,3,4),FALSE)
-IF(C44&gt;2020,SUM(INDEX($C$1:$D$311,MATCH(1,(2020=$C$1:$C$311)*(B44=$B$1:$B$311)*(A44=$A$1:$A$311),0),2):D43),0)</f>
        <v>30.128494170135696</v>
      </c>
      <c r="E44">
        <f t="shared" ca="1" si="0"/>
        <v>0</v>
      </c>
      <c r="F44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71.332197873839419</v>
      </c>
      <c r="G44">
        <f ca="1">IF($C44-G$1&lt;År1,0,F43*(1-VLOOKUP($A44,[1]Hugst!$R$5:$W$9,MATCH(ROUNDUP((G$1)/10,0)*10,[1]Hugst!$R$4:$W$4,0))))</f>
        <v>105.19571855415381</v>
      </c>
      <c r="H44">
        <f ca="1">IF($C44-H$1&lt;År1,0,G43*(1-VLOOKUP($A44,[1]Hugst!$R$5:$W$9,MATCH(ROUNDUP((H$1)/10,0)*10,[1]Hugst!$R$4:$W$4,0))))</f>
        <v>105.34787882369238</v>
      </c>
      <c r="I44">
        <f ca="1">IF($C44-I$1&lt;År1,0,H43*(1-VLOOKUP($A44,[1]Hugst!$R$5:$W$9,MATCH(ROUNDUP((I$1)/10,0)*10,[1]Hugst!$R$4:$W$4,0))))</f>
        <v>105.50080371770207</v>
      </c>
      <c r="J44">
        <f ca="1">IF($C44-J$1&lt;År1,0,I43*(1-VLOOKUP($A44,[1]Hugst!$R$5:$W$9,MATCH(ROUNDUP((J$1)/10,0)*10,[1]Hugst!$R$4:$W$4,0))))</f>
        <v>105.65449707851479</v>
      </c>
      <c r="K44">
        <f ca="1">IF($C44-K$1&lt;År1,0,J43*(1-VLOOKUP($A44,[1]Hugst!$R$5:$W$9,MATCH(ROUNDUP((K$1)/10,0)*10,[1]Hugst!$R$4:$W$4,0))))</f>
        <v>105.80896276777605</v>
      </c>
      <c r="L44">
        <f ca="1">IF($C44-L$1&lt;År1,0,K43*(1-VLOOKUP($A44,[1]Hugst!$R$5:$W$9,MATCH(ROUNDUP((L$1)/10,0)*10,[1]Hugst!$R$4:$W$4,0))))</f>
        <v>105.96420466652819</v>
      </c>
      <c r="M44">
        <f ca="1">IF($C44-M$1&lt;År1,0,L43*(1-VLOOKUP($A44,[1]Hugst!$R$5:$W$9,MATCH(ROUNDUP((M$1)/10,0)*10,[1]Hugst!$R$4:$W$4,0))))</f>
        <v>106.12022667532625</v>
      </c>
      <c r="N44">
        <f ca="1">IF($C44-N$1&lt;År1,0,M43*(1-VLOOKUP($A44,[1]Hugst!$R$5:$W$9,MATCH(ROUNDUP((N$1)/10,0)*10,[1]Hugst!$R$4:$W$4,0))))</f>
        <v>106.27703271431785</v>
      </c>
      <c r="O44">
        <f ca="1">IF($C44-O$1&lt;År1,0,N43*(1-VLOOKUP($A44,[1]Hugst!$R$5:$W$9,MATCH(ROUNDUP((O$1)/10,0)*10,[1]Hugst!$R$4:$W$4,0))))</f>
        <v>106.4346267233563</v>
      </c>
      <c r="P44">
        <f ca="1">IF($C44-P$1&lt;År1,0,O43*(1-VLOOKUP($A44,[1]Hugst!$R$5:$W$9,MATCH(ROUNDUP((P$1)/10,0)*10,[1]Hugst!$R$4:$W$4,0))))</f>
        <v>106.59301266208753</v>
      </c>
      <c r="Q44">
        <f ca="1">IF($C44-Q$1&lt;År1,0,P43*(1-VLOOKUP($A44,[1]Hugst!$R$5:$W$9,MATCH(ROUNDUP((Q$1)/10,0)*10,[1]Hugst!$R$4:$W$4,0))))</f>
        <v>106.75219451005873</v>
      </c>
      <c r="R44">
        <f>IF($C44-R$1&lt;År1,0,Q43*(1-VLOOKUP($A44,[1]Hugst!$R$5:$W$9,MATCH(ROUNDUP((R$1)/10,0)*10,[1]Hugst!$R$4:$W$4,0))))</f>
        <v>0</v>
      </c>
      <c r="S44">
        <f>IF($C44-S$1&lt;År1,0,R43*(1-VLOOKUP($A44,[1]Hugst!$R$5:$W$9,MATCH(ROUNDUP((S$1)/10,0)*10,[1]Hugst!$R$4:$W$4,0))))</f>
        <v>0</v>
      </c>
      <c r="T44">
        <f>IF($C44-T$1&lt;År1,0,S43*(1-VLOOKUP($A44,[1]Hugst!$R$5:$W$9,MATCH(ROUNDUP((T$1)/10,0)*10,[1]Hugst!$R$4:$W$4,0))))</f>
        <v>0</v>
      </c>
      <c r="U44">
        <f>IF($C44-U$1&lt;År1,0,T43*(1-VLOOKUP($A44,[1]Hugst!$R$5:$W$9,MATCH(ROUNDUP((U$1)/10,0)*10,[1]Hugst!$R$4:$W$4,0))))</f>
        <v>0</v>
      </c>
      <c r="V44">
        <f>IF($C44-V$1&lt;År1,0,U43*(1-VLOOKUP($A44,[1]Hugst!$R$5:$W$9,MATCH(ROUNDUP((V$1)/10,0)*10,[1]Hugst!$R$4:$W$4,0))))</f>
        <v>0</v>
      </c>
      <c r="W44">
        <f>IF($C44-W$1&lt;År1,0,V43*(1-VLOOKUP($A44,[1]Hugst!$R$5:$W$9,MATCH(ROUNDUP((W$1)/10,0)*10,[1]Hugst!$R$4:$W$4,0))))</f>
        <v>0</v>
      </c>
      <c r="X44">
        <f>IF($C44-X$1&lt;År1,0,W43*(1-VLOOKUP($A44,[1]Hugst!$R$5:$W$9,MATCH(ROUNDUP((X$1)/10,0)*10,[1]Hugst!$R$4:$W$4,0))))</f>
        <v>0</v>
      </c>
      <c r="Y44">
        <f>IF($C44-Y$1&lt;År1,0,X43*(1-VLOOKUP($A44,[1]Hugst!$R$5:$W$9,MATCH(ROUNDUP((Y$1)/10,0)*10,[1]Hugst!$R$4:$W$4,0))))</f>
        <v>0</v>
      </c>
      <c r="Z44">
        <f>IF($C44-Z$1&lt;År1,0,Y43*(1-VLOOKUP($A44,[1]Hugst!$R$5:$W$9,MATCH(ROUNDUP((Z$1)/10,0)*10,[1]Hugst!$R$4:$W$4,0))))</f>
        <v>0</v>
      </c>
      <c r="AA44">
        <f>IF($C44-AA$1&lt;År1,0,Z43*(1-VLOOKUP($A44,[1]Hugst!$R$5:$W$9,MATCH(ROUNDUP((AA$1)/10,0)*10,[1]Hugst!$R$4:$W$4,0))))</f>
        <v>0</v>
      </c>
      <c r="AB44">
        <f>IF($C44-AB$1&lt;År1,0,AA43*(1-VLOOKUP($A44,[1]Hugst!$R$5:$W$9,MATCH(ROUNDUP((AB$1)/10,0)*10,[1]Hugst!$R$4:$W$4,0))))</f>
        <v>0</v>
      </c>
      <c r="AC44">
        <f>IF($C44-AC$1&lt;År1,0,AB43*(1-VLOOKUP($A44,[1]Hugst!$R$5:$W$9,MATCH(ROUNDUP((AC$1)/10,0)*10,[1]Hugst!$R$4:$W$4,0))))</f>
        <v>0</v>
      </c>
      <c r="AD44">
        <f>IF($C44-AD$1&lt;År1,0,AC43*(1-VLOOKUP($A44,[1]Hugst!$R$5:$W$9,MATCH(ROUNDUP((AD$1)/10,0)*10,[1]Hugst!$R$4:$W$4,0))))</f>
        <v>0</v>
      </c>
      <c r="AE44">
        <f>IF($C44-AE$1&lt;År1,0,AD43*(1-VLOOKUP($A44,[1]Hugst!$R$5:$W$9,MATCH(ROUNDUP((AE$1)/10,0)*10,[1]Hugst!$R$4:$W$4,0))))</f>
        <v>0</v>
      </c>
      <c r="AF44">
        <f>IF($C44-AF$1&lt;År1,0,AE43*(1-VLOOKUP($A44,[1]Hugst!$R$5:$W$9,MATCH(ROUNDUP((AF$1)/10,0)*10,[1]Hugst!$R$4:$W$4,0))))</f>
        <v>0</v>
      </c>
      <c r="AG44">
        <f>IF($C44-AG$1&lt;År1,0,AF43*(1-VLOOKUP($A44,[1]Hugst!$R$5:$W$9,MATCH(ROUNDUP((AG$1)/10,0)*10,[1]Hugst!$R$4:$W$4,0))))</f>
        <v>0</v>
      </c>
      <c r="AH44">
        <f>IF($C44-AH$1&lt;År1,0,AG43*(1-VLOOKUP($A44,[1]Hugst!$R$5:$W$9,MATCH(ROUNDUP((AH$1)/10,0)*10,[1]Hugst!$R$4:$W$4,0))))</f>
        <v>0</v>
      </c>
      <c r="AI44">
        <f>IF($C44-AI$1&lt;År1,0,AH43*(1-VLOOKUP($A44,[1]Hugst!$R$5:$W$9,MATCH(ROUNDUP((AI$1)/10,0)*10,[1]Hugst!$R$4:$W$4,0))))</f>
        <v>0</v>
      </c>
      <c r="AJ44">
        <f>IF($C44-AJ$1&lt;År1,0,AI43*(1-VLOOKUP($A44,[1]Hugst!$R$5:$W$9,MATCH(ROUNDUP((AJ$1)/10,0)*10,[1]Hugst!$R$4:$W$4,0))))</f>
        <v>0</v>
      </c>
    </row>
    <row r="45" spans="1:36" x14ac:dyDescent="0.25">
      <c r="A45" t="s">
        <v>176</v>
      </c>
      <c r="B45" t="s">
        <v>24</v>
      </c>
      <c r="C45">
        <v>2032</v>
      </c>
      <c r="D45" cm="1">
        <f t="array" ref="D45">(IF(B45="Vestdanmark",Skovbrug!$C$22-(Skovbrug!$C$22)*(1-Skovbrug!$C$9)^(C45-Skovbrug!$B$12),Skovbrug!$F$22-(Skovbrug!$F$22)*(1-Skovbrug!$C$9)^(C45-Skovbrug!$B$12)))*VLOOKUP(A45,Skovbrug!$A$13:$D$17,IF('Skovbrug-alder'!C45&lt;=År2,3,4),FALSE)
-IF(C45&gt;2020,SUM(INDEX($C$1:$D$311,MATCH(1,(2020=$C$1:$C$311)*(B45=$B$1:$B$311)*(A45=$A$1:$A$311),0),2):D44),0)</f>
        <v>29.977851699286134</v>
      </c>
      <c r="E45">
        <f t="shared" ca="1" si="0"/>
        <v>0</v>
      </c>
      <c r="F45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71.181555402989858</v>
      </c>
      <c r="G45">
        <f ca="1">IF($C45-G$1&lt;År1,0,F44*(1-VLOOKUP($A45,[1]Hugst!$R$5:$W$9,MATCH(ROUNDUP((G$1)/10,0)*10,[1]Hugst!$R$4:$W$4,0))))</f>
        <v>71.332197873839419</v>
      </c>
      <c r="H45">
        <f ca="1">IF($C45-H$1&lt;År1,0,G44*(1-VLOOKUP($A45,[1]Hugst!$R$5:$W$9,MATCH(ROUNDUP((H$1)/10,0)*10,[1]Hugst!$R$4:$W$4,0))))</f>
        <v>105.19571855415381</v>
      </c>
      <c r="I45">
        <f ca="1">IF($C45-I$1&lt;År1,0,H44*(1-VLOOKUP($A45,[1]Hugst!$R$5:$W$9,MATCH(ROUNDUP((I$1)/10,0)*10,[1]Hugst!$R$4:$W$4,0))))</f>
        <v>105.34787882369238</v>
      </c>
      <c r="J45">
        <f ca="1">IF($C45-J$1&lt;År1,0,I44*(1-VLOOKUP($A45,[1]Hugst!$R$5:$W$9,MATCH(ROUNDUP((J$1)/10,0)*10,[1]Hugst!$R$4:$W$4,0))))</f>
        <v>105.50080371770207</v>
      </c>
      <c r="K45">
        <f ca="1">IF($C45-K$1&lt;År1,0,J44*(1-VLOOKUP($A45,[1]Hugst!$R$5:$W$9,MATCH(ROUNDUP((K$1)/10,0)*10,[1]Hugst!$R$4:$W$4,0))))</f>
        <v>105.65449707851479</v>
      </c>
      <c r="L45">
        <f ca="1">IF($C45-L$1&lt;År1,0,K44*(1-VLOOKUP($A45,[1]Hugst!$R$5:$W$9,MATCH(ROUNDUP((L$1)/10,0)*10,[1]Hugst!$R$4:$W$4,0))))</f>
        <v>105.80896276777605</v>
      </c>
      <c r="M45">
        <f ca="1">IF($C45-M$1&lt;År1,0,L44*(1-VLOOKUP($A45,[1]Hugst!$R$5:$W$9,MATCH(ROUNDUP((M$1)/10,0)*10,[1]Hugst!$R$4:$W$4,0))))</f>
        <v>105.96420466652819</v>
      </c>
      <c r="N45">
        <f ca="1">IF($C45-N$1&lt;År1,0,M44*(1-VLOOKUP($A45,[1]Hugst!$R$5:$W$9,MATCH(ROUNDUP((N$1)/10,0)*10,[1]Hugst!$R$4:$W$4,0))))</f>
        <v>106.12022667532625</v>
      </c>
      <c r="O45">
        <f ca="1">IF($C45-O$1&lt;År1,0,N44*(1-VLOOKUP($A45,[1]Hugst!$R$5:$W$9,MATCH(ROUNDUP((O$1)/10,0)*10,[1]Hugst!$R$4:$W$4,0))))</f>
        <v>106.27703271431785</v>
      </c>
      <c r="P45">
        <f ca="1">IF($C45-P$1&lt;År1,0,O44*(1-VLOOKUP($A45,[1]Hugst!$R$5:$W$9,MATCH(ROUNDUP((P$1)/10,0)*10,[1]Hugst!$R$4:$W$4,0))))</f>
        <v>106.4346267233563</v>
      </c>
      <c r="Q45">
        <f ca="1">IF($C45-Q$1&lt;År1,0,P44*(1-VLOOKUP($A45,[1]Hugst!$R$5:$W$9,MATCH(ROUNDUP((Q$1)/10,0)*10,[1]Hugst!$R$4:$W$4,0))))</f>
        <v>106.59301266208753</v>
      </c>
      <c r="R45">
        <f ca="1">IF($C45-R$1&lt;År1,0,Q44*(1-VLOOKUP($A45,[1]Hugst!$R$5:$W$9,MATCH(ROUNDUP((R$1)/10,0)*10,[1]Hugst!$R$4:$W$4,0))))</f>
        <v>106.75219451005873</v>
      </c>
      <c r="S45">
        <f>IF($C45-S$1&lt;År1,0,R44*(1-VLOOKUP($A45,[1]Hugst!$R$5:$W$9,MATCH(ROUNDUP((S$1)/10,0)*10,[1]Hugst!$R$4:$W$4,0))))</f>
        <v>0</v>
      </c>
      <c r="T45">
        <f>IF($C45-T$1&lt;År1,0,S44*(1-VLOOKUP($A45,[1]Hugst!$R$5:$W$9,MATCH(ROUNDUP((T$1)/10,0)*10,[1]Hugst!$R$4:$W$4,0))))</f>
        <v>0</v>
      </c>
      <c r="U45">
        <f>IF($C45-U$1&lt;År1,0,T44*(1-VLOOKUP($A45,[1]Hugst!$R$5:$W$9,MATCH(ROUNDUP((U$1)/10,0)*10,[1]Hugst!$R$4:$W$4,0))))</f>
        <v>0</v>
      </c>
      <c r="V45">
        <f>IF($C45-V$1&lt;År1,0,U44*(1-VLOOKUP($A45,[1]Hugst!$R$5:$W$9,MATCH(ROUNDUP((V$1)/10,0)*10,[1]Hugst!$R$4:$W$4,0))))</f>
        <v>0</v>
      </c>
      <c r="W45">
        <f>IF($C45-W$1&lt;År1,0,V44*(1-VLOOKUP($A45,[1]Hugst!$R$5:$W$9,MATCH(ROUNDUP((W$1)/10,0)*10,[1]Hugst!$R$4:$W$4,0))))</f>
        <v>0</v>
      </c>
      <c r="X45">
        <f>IF($C45-X$1&lt;År1,0,W44*(1-VLOOKUP($A45,[1]Hugst!$R$5:$W$9,MATCH(ROUNDUP((X$1)/10,0)*10,[1]Hugst!$R$4:$W$4,0))))</f>
        <v>0</v>
      </c>
      <c r="Y45">
        <f>IF($C45-Y$1&lt;År1,0,X44*(1-VLOOKUP($A45,[1]Hugst!$R$5:$W$9,MATCH(ROUNDUP((Y$1)/10,0)*10,[1]Hugst!$R$4:$W$4,0))))</f>
        <v>0</v>
      </c>
      <c r="Z45">
        <f>IF($C45-Z$1&lt;År1,0,Y44*(1-VLOOKUP($A45,[1]Hugst!$R$5:$W$9,MATCH(ROUNDUP((Z$1)/10,0)*10,[1]Hugst!$R$4:$W$4,0))))</f>
        <v>0</v>
      </c>
      <c r="AA45">
        <f>IF($C45-AA$1&lt;År1,0,Z44*(1-VLOOKUP($A45,[1]Hugst!$R$5:$W$9,MATCH(ROUNDUP((AA$1)/10,0)*10,[1]Hugst!$R$4:$W$4,0))))</f>
        <v>0</v>
      </c>
      <c r="AB45">
        <f>IF($C45-AB$1&lt;År1,0,AA44*(1-VLOOKUP($A45,[1]Hugst!$R$5:$W$9,MATCH(ROUNDUP((AB$1)/10,0)*10,[1]Hugst!$R$4:$W$4,0))))</f>
        <v>0</v>
      </c>
      <c r="AC45">
        <f>IF($C45-AC$1&lt;År1,0,AB44*(1-VLOOKUP($A45,[1]Hugst!$R$5:$W$9,MATCH(ROUNDUP((AC$1)/10,0)*10,[1]Hugst!$R$4:$W$4,0))))</f>
        <v>0</v>
      </c>
      <c r="AD45">
        <f>IF($C45-AD$1&lt;År1,0,AC44*(1-VLOOKUP($A45,[1]Hugst!$R$5:$W$9,MATCH(ROUNDUP((AD$1)/10,0)*10,[1]Hugst!$R$4:$W$4,0))))</f>
        <v>0</v>
      </c>
      <c r="AE45">
        <f>IF($C45-AE$1&lt;År1,0,AD44*(1-VLOOKUP($A45,[1]Hugst!$R$5:$W$9,MATCH(ROUNDUP((AE$1)/10,0)*10,[1]Hugst!$R$4:$W$4,0))))</f>
        <v>0</v>
      </c>
      <c r="AF45">
        <f>IF($C45-AF$1&lt;År1,0,AE44*(1-VLOOKUP($A45,[1]Hugst!$R$5:$W$9,MATCH(ROUNDUP((AF$1)/10,0)*10,[1]Hugst!$R$4:$W$4,0))))</f>
        <v>0</v>
      </c>
      <c r="AG45">
        <f>IF($C45-AG$1&lt;År1,0,AF44*(1-VLOOKUP($A45,[1]Hugst!$R$5:$W$9,MATCH(ROUNDUP((AG$1)/10,0)*10,[1]Hugst!$R$4:$W$4,0))))</f>
        <v>0</v>
      </c>
      <c r="AH45">
        <f>IF($C45-AH$1&lt;År1,0,AG44*(1-VLOOKUP($A45,[1]Hugst!$R$5:$W$9,MATCH(ROUNDUP((AH$1)/10,0)*10,[1]Hugst!$R$4:$W$4,0))))</f>
        <v>0</v>
      </c>
      <c r="AI45">
        <f>IF($C45-AI$1&lt;År1,0,AH44*(1-VLOOKUP($A45,[1]Hugst!$R$5:$W$9,MATCH(ROUNDUP((AI$1)/10,0)*10,[1]Hugst!$R$4:$W$4,0))))</f>
        <v>0</v>
      </c>
      <c r="AJ45">
        <f>IF($C45-AJ$1&lt;År1,0,AI44*(1-VLOOKUP($A45,[1]Hugst!$R$5:$W$9,MATCH(ROUNDUP((AJ$1)/10,0)*10,[1]Hugst!$R$4:$W$4,0))))</f>
        <v>0</v>
      </c>
    </row>
    <row r="46" spans="1:36" x14ac:dyDescent="0.25">
      <c r="A46" t="s">
        <v>176</v>
      </c>
      <c r="B46" t="s">
        <v>24</v>
      </c>
      <c r="C46">
        <v>2033</v>
      </c>
      <c r="D46" cm="1">
        <f t="array" ref="D46">(IF(B46="Vestdanmark",Skovbrug!$C$22-(Skovbrug!$C$22)*(1-Skovbrug!$C$9)^(C46-Skovbrug!$B$12),Skovbrug!$F$22-(Skovbrug!$F$22)*(1-Skovbrug!$C$9)^(C46-Skovbrug!$B$12)))*VLOOKUP(A46,Skovbrug!$A$13:$D$17,IF('Skovbrug-alder'!C46&lt;=År2,3,4),FALSE)
-IF(C46&gt;2020,SUM(INDEX($C$1:$D$311,MATCH(1,(2020=$C$1:$C$311)*(B46=$B$1:$B$311)*(A46=$A$1:$A$311),0),2):D45),0)</f>
        <v>29.827962440789236</v>
      </c>
      <c r="E46">
        <f t="shared" ca="1" si="0"/>
        <v>0</v>
      </c>
      <c r="F46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71.031666144492959</v>
      </c>
      <c r="G46">
        <f ca="1">IF($C46-G$1&lt;År1,0,F45*(1-VLOOKUP($A46,[1]Hugst!$R$5:$W$9,MATCH(ROUNDUP((G$1)/10,0)*10,[1]Hugst!$R$4:$W$4,0))))</f>
        <v>71.181555402989858</v>
      </c>
      <c r="H46">
        <f ca="1">IF($C46-H$1&lt;År1,0,G45*(1-VLOOKUP($A46,[1]Hugst!$R$5:$W$9,MATCH(ROUNDUP((H$1)/10,0)*10,[1]Hugst!$R$4:$W$4,0))))</f>
        <v>71.332197873839419</v>
      </c>
      <c r="I46">
        <f ca="1">IF($C46-I$1&lt;År1,0,H45*(1-VLOOKUP($A46,[1]Hugst!$R$5:$W$9,MATCH(ROUNDUP((I$1)/10,0)*10,[1]Hugst!$R$4:$W$4,0))))</f>
        <v>105.19571855415381</v>
      </c>
      <c r="J46">
        <f ca="1">IF($C46-J$1&lt;År1,0,I45*(1-VLOOKUP($A46,[1]Hugst!$R$5:$W$9,MATCH(ROUNDUP((J$1)/10,0)*10,[1]Hugst!$R$4:$W$4,0))))</f>
        <v>105.34787882369238</v>
      </c>
      <c r="K46">
        <f ca="1">IF($C46-K$1&lt;År1,0,J45*(1-VLOOKUP($A46,[1]Hugst!$R$5:$W$9,MATCH(ROUNDUP((K$1)/10,0)*10,[1]Hugst!$R$4:$W$4,0))))</f>
        <v>105.50080371770207</v>
      </c>
      <c r="L46">
        <f ca="1">IF($C46-L$1&lt;År1,0,K45*(1-VLOOKUP($A46,[1]Hugst!$R$5:$W$9,MATCH(ROUNDUP((L$1)/10,0)*10,[1]Hugst!$R$4:$W$4,0))))</f>
        <v>105.65449707851479</v>
      </c>
      <c r="M46">
        <f ca="1">IF($C46-M$1&lt;År1,0,L45*(1-VLOOKUP($A46,[1]Hugst!$R$5:$W$9,MATCH(ROUNDUP((M$1)/10,0)*10,[1]Hugst!$R$4:$W$4,0))))</f>
        <v>105.80896276777605</v>
      </c>
      <c r="N46">
        <f ca="1">IF($C46-N$1&lt;År1,0,M45*(1-VLOOKUP($A46,[1]Hugst!$R$5:$W$9,MATCH(ROUNDUP((N$1)/10,0)*10,[1]Hugst!$R$4:$W$4,0))))</f>
        <v>105.96420466652819</v>
      </c>
      <c r="O46">
        <f ca="1">IF($C46-O$1&lt;År1,0,N45*(1-VLOOKUP($A46,[1]Hugst!$R$5:$W$9,MATCH(ROUNDUP((O$1)/10,0)*10,[1]Hugst!$R$4:$W$4,0))))</f>
        <v>106.12022667532625</v>
      </c>
      <c r="P46">
        <f ca="1">IF($C46-P$1&lt;År1,0,O45*(1-VLOOKUP($A46,[1]Hugst!$R$5:$W$9,MATCH(ROUNDUP((P$1)/10,0)*10,[1]Hugst!$R$4:$W$4,0))))</f>
        <v>106.27703271431785</v>
      </c>
      <c r="Q46">
        <f ca="1">IF($C46-Q$1&lt;År1,0,P45*(1-VLOOKUP($A46,[1]Hugst!$R$5:$W$9,MATCH(ROUNDUP((Q$1)/10,0)*10,[1]Hugst!$R$4:$W$4,0))))</f>
        <v>106.4346267233563</v>
      </c>
      <c r="R46">
        <f ca="1">IF($C46-R$1&lt;År1,0,Q45*(1-VLOOKUP($A46,[1]Hugst!$R$5:$W$9,MATCH(ROUNDUP((R$1)/10,0)*10,[1]Hugst!$R$4:$W$4,0))))</f>
        <v>106.59301266208753</v>
      </c>
      <c r="S46">
        <f ca="1">IF($C46-S$1&lt;År1,0,R45*(1-VLOOKUP($A46,[1]Hugst!$R$5:$W$9,MATCH(ROUNDUP((S$1)/10,0)*10,[1]Hugst!$R$4:$W$4,0))))</f>
        <v>106.75219451005873</v>
      </c>
      <c r="T46">
        <f>IF($C46-T$1&lt;År1,0,S45*(1-VLOOKUP($A46,[1]Hugst!$R$5:$W$9,MATCH(ROUNDUP((T$1)/10,0)*10,[1]Hugst!$R$4:$W$4,0))))</f>
        <v>0</v>
      </c>
      <c r="U46">
        <f>IF($C46-U$1&lt;År1,0,T45*(1-VLOOKUP($A46,[1]Hugst!$R$5:$W$9,MATCH(ROUNDUP((U$1)/10,0)*10,[1]Hugst!$R$4:$W$4,0))))</f>
        <v>0</v>
      </c>
      <c r="V46">
        <f>IF($C46-V$1&lt;År1,0,U45*(1-VLOOKUP($A46,[1]Hugst!$R$5:$W$9,MATCH(ROUNDUP((V$1)/10,0)*10,[1]Hugst!$R$4:$W$4,0))))</f>
        <v>0</v>
      </c>
      <c r="W46">
        <f>IF($C46-W$1&lt;År1,0,V45*(1-VLOOKUP($A46,[1]Hugst!$R$5:$W$9,MATCH(ROUNDUP((W$1)/10,0)*10,[1]Hugst!$R$4:$W$4,0))))</f>
        <v>0</v>
      </c>
      <c r="X46">
        <f>IF($C46-X$1&lt;År1,0,W45*(1-VLOOKUP($A46,[1]Hugst!$R$5:$W$9,MATCH(ROUNDUP((X$1)/10,0)*10,[1]Hugst!$R$4:$W$4,0))))</f>
        <v>0</v>
      </c>
      <c r="Y46">
        <f>IF($C46-Y$1&lt;År1,0,X45*(1-VLOOKUP($A46,[1]Hugst!$R$5:$W$9,MATCH(ROUNDUP((Y$1)/10,0)*10,[1]Hugst!$R$4:$W$4,0))))</f>
        <v>0</v>
      </c>
      <c r="Z46">
        <f>IF($C46-Z$1&lt;År1,0,Y45*(1-VLOOKUP($A46,[1]Hugst!$R$5:$W$9,MATCH(ROUNDUP((Z$1)/10,0)*10,[1]Hugst!$R$4:$W$4,0))))</f>
        <v>0</v>
      </c>
      <c r="AA46">
        <f>IF($C46-AA$1&lt;År1,0,Z45*(1-VLOOKUP($A46,[1]Hugst!$R$5:$W$9,MATCH(ROUNDUP((AA$1)/10,0)*10,[1]Hugst!$R$4:$W$4,0))))</f>
        <v>0</v>
      </c>
      <c r="AB46">
        <f>IF($C46-AB$1&lt;År1,0,AA45*(1-VLOOKUP($A46,[1]Hugst!$R$5:$W$9,MATCH(ROUNDUP((AB$1)/10,0)*10,[1]Hugst!$R$4:$W$4,0))))</f>
        <v>0</v>
      </c>
      <c r="AC46">
        <f>IF($C46-AC$1&lt;År1,0,AB45*(1-VLOOKUP($A46,[1]Hugst!$R$5:$W$9,MATCH(ROUNDUP((AC$1)/10,0)*10,[1]Hugst!$R$4:$W$4,0))))</f>
        <v>0</v>
      </c>
      <c r="AD46">
        <f>IF($C46-AD$1&lt;År1,0,AC45*(1-VLOOKUP($A46,[1]Hugst!$R$5:$W$9,MATCH(ROUNDUP((AD$1)/10,0)*10,[1]Hugst!$R$4:$W$4,0))))</f>
        <v>0</v>
      </c>
      <c r="AE46">
        <f>IF($C46-AE$1&lt;År1,0,AD45*(1-VLOOKUP($A46,[1]Hugst!$R$5:$W$9,MATCH(ROUNDUP((AE$1)/10,0)*10,[1]Hugst!$R$4:$W$4,0))))</f>
        <v>0</v>
      </c>
      <c r="AF46">
        <f>IF($C46-AF$1&lt;År1,0,AE45*(1-VLOOKUP($A46,[1]Hugst!$R$5:$W$9,MATCH(ROUNDUP((AF$1)/10,0)*10,[1]Hugst!$R$4:$W$4,0))))</f>
        <v>0</v>
      </c>
      <c r="AG46">
        <f>IF($C46-AG$1&lt;År1,0,AF45*(1-VLOOKUP($A46,[1]Hugst!$R$5:$W$9,MATCH(ROUNDUP((AG$1)/10,0)*10,[1]Hugst!$R$4:$W$4,0))))</f>
        <v>0</v>
      </c>
      <c r="AH46">
        <f>IF($C46-AH$1&lt;År1,0,AG45*(1-VLOOKUP($A46,[1]Hugst!$R$5:$W$9,MATCH(ROUNDUP((AH$1)/10,0)*10,[1]Hugst!$R$4:$W$4,0))))</f>
        <v>0</v>
      </c>
      <c r="AI46">
        <f>IF($C46-AI$1&lt;År1,0,AH45*(1-VLOOKUP($A46,[1]Hugst!$R$5:$W$9,MATCH(ROUNDUP((AI$1)/10,0)*10,[1]Hugst!$R$4:$W$4,0))))</f>
        <v>0</v>
      </c>
      <c r="AJ46">
        <f>IF($C46-AJ$1&lt;År1,0,AI45*(1-VLOOKUP($A46,[1]Hugst!$R$5:$W$9,MATCH(ROUNDUP((AJ$1)/10,0)*10,[1]Hugst!$R$4:$W$4,0))))</f>
        <v>0</v>
      </c>
    </row>
    <row r="47" spans="1:36" x14ac:dyDescent="0.25">
      <c r="A47" t="s">
        <v>176</v>
      </c>
      <c r="B47" t="s">
        <v>24</v>
      </c>
      <c r="C47">
        <v>2034</v>
      </c>
      <c r="D47" cm="1">
        <f t="array" ref="D47">(IF(B47="Vestdanmark",Skovbrug!$C$22-(Skovbrug!$C$22)*(1-Skovbrug!$C$9)^(C47-Skovbrug!$B$12),Skovbrug!$F$22-(Skovbrug!$F$22)*(1-Skovbrug!$C$9)^(C47-Skovbrug!$B$12)))*VLOOKUP(A47,Skovbrug!$A$13:$D$17,IF('Skovbrug-alder'!C47&lt;=År2,3,4),FALSE)
-IF(C47&gt;2020,SUM(INDEX($C$1:$D$311,MATCH(1,(2020=$C$1:$C$311)*(B47=$B$1:$B$311)*(A47=$A$1:$A$311),0),2):D46),0)</f>
        <v>29.678822628585465</v>
      </c>
      <c r="E47">
        <f t="shared" ca="1" si="0"/>
        <v>0</v>
      </c>
      <c r="F47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70.882526332289189</v>
      </c>
      <c r="G47">
        <f ca="1">IF($C47-G$1&lt;År1,0,F46*(1-VLOOKUP($A47,[1]Hugst!$R$5:$W$9,MATCH(ROUNDUP((G$1)/10,0)*10,[1]Hugst!$R$4:$W$4,0))))</f>
        <v>71.031666144492959</v>
      </c>
      <c r="H47">
        <f ca="1">IF($C47-H$1&lt;År1,0,G46*(1-VLOOKUP($A47,[1]Hugst!$R$5:$W$9,MATCH(ROUNDUP((H$1)/10,0)*10,[1]Hugst!$R$4:$W$4,0))))</f>
        <v>71.181555402989858</v>
      </c>
      <c r="I47">
        <f ca="1">IF($C47-I$1&lt;År1,0,H46*(1-VLOOKUP($A47,[1]Hugst!$R$5:$W$9,MATCH(ROUNDUP((I$1)/10,0)*10,[1]Hugst!$R$4:$W$4,0))))</f>
        <v>71.332197873839419</v>
      </c>
      <c r="J47">
        <f ca="1">IF($C47-J$1&lt;År1,0,I46*(1-VLOOKUP($A47,[1]Hugst!$R$5:$W$9,MATCH(ROUNDUP((J$1)/10,0)*10,[1]Hugst!$R$4:$W$4,0))))</f>
        <v>105.19571855415381</v>
      </c>
      <c r="K47">
        <f ca="1">IF($C47-K$1&lt;År1,0,J46*(1-VLOOKUP($A47,[1]Hugst!$R$5:$W$9,MATCH(ROUNDUP((K$1)/10,0)*10,[1]Hugst!$R$4:$W$4,0))))</f>
        <v>105.34787882369238</v>
      </c>
      <c r="L47">
        <f ca="1">IF($C47-L$1&lt;År1,0,K46*(1-VLOOKUP($A47,[1]Hugst!$R$5:$W$9,MATCH(ROUNDUP((L$1)/10,0)*10,[1]Hugst!$R$4:$W$4,0))))</f>
        <v>105.50080371770207</v>
      </c>
      <c r="M47">
        <f ca="1">IF($C47-M$1&lt;År1,0,L46*(1-VLOOKUP($A47,[1]Hugst!$R$5:$W$9,MATCH(ROUNDUP((M$1)/10,0)*10,[1]Hugst!$R$4:$W$4,0))))</f>
        <v>105.65449707851479</v>
      </c>
      <c r="N47">
        <f ca="1">IF($C47-N$1&lt;År1,0,M46*(1-VLOOKUP($A47,[1]Hugst!$R$5:$W$9,MATCH(ROUNDUP((N$1)/10,0)*10,[1]Hugst!$R$4:$W$4,0))))</f>
        <v>105.80896276777605</v>
      </c>
      <c r="O47">
        <f ca="1">IF($C47-O$1&lt;År1,0,N46*(1-VLOOKUP($A47,[1]Hugst!$R$5:$W$9,MATCH(ROUNDUP((O$1)/10,0)*10,[1]Hugst!$R$4:$W$4,0))))</f>
        <v>105.96420466652819</v>
      </c>
      <c r="P47">
        <f ca="1">IF($C47-P$1&lt;År1,0,O46*(1-VLOOKUP($A47,[1]Hugst!$R$5:$W$9,MATCH(ROUNDUP((P$1)/10,0)*10,[1]Hugst!$R$4:$W$4,0))))</f>
        <v>106.12022667532625</v>
      </c>
      <c r="Q47">
        <f ca="1">IF($C47-Q$1&lt;År1,0,P46*(1-VLOOKUP($A47,[1]Hugst!$R$5:$W$9,MATCH(ROUNDUP((Q$1)/10,0)*10,[1]Hugst!$R$4:$W$4,0))))</f>
        <v>106.27703271431785</v>
      </c>
      <c r="R47">
        <f ca="1">IF($C47-R$1&lt;År1,0,Q46*(1-VLOOKUP($A47,[1]Hugst!$R$5:$W$9,MATCH(ROUNDUP((R$1)/10,0)*10,[1]Hugst!$R$4:$W$4,0))))</f>
        <v>106.4346267233563</v>
      </c>
      <c r="S47">
        <f ca="1">IF($C47-S$1&lt;År1,0,R46*(1-VLOOKUP($A47,[1]Hugst!$R$5:$W$9,MATCH(ROUNDUP((S$1)/10,0)*10,[1]Hugst!$R$4:$W$4,0))))</f>
        <v>106.59301266208753</v>
      </c>
      <c r="T47">
        <f ca="1">IF($C47-T$1&lt;År1,0,S46*(1-VLOOKUP($A47,[1]Hugst!$R$5:$W$9,MATCH(ROUNDUP((T$1)/10,0)*10,[1]Hugst!$R$4:$W$4,0))))</f>
        <v>106.75219451005873</v>
      </c>
      <c r="U47">
        <f>IF($C47-U$1&lt;År1,0,T46*(1-VLOOKUP($A47,[1]Hugst!$R$5:$W$9,MATCH(ROUNDUP((U$1)/10,0)*10,[1]Hugst!$R$4:$W$4,0))))</f>
        <v>0</v>
      </c>
      <c r="V47">
        <f>IF($C47-V$1&lt;År1,0,U46*(1-VLOOKUP($A47,[1]Hugst!$R$5:$W$9,MATCH(ROUNDUP((V$1)/10,0)*10,[1]Hugst!$R$4:$W$4,0))))</f>
        <v>0</v>
      </c>
      <c r="W47">
        <f>IF($C47-W$1&lt;År1,0,V46*(1-VLOOKUP($A47,[1]Hugst!$R$5:$W$9,MATCH(ROUNDUP((W$1)/10,0)*10,[1]Hugst!$R$4:$W$4,0))))</f>
        <v>0</v>
      </c>
      <c r="X47">
        <f>IF($C47-X$1&lt;År1,0,W46*(1-VLOOKUP($A47,[1]Hugst!$R$5:$W$9,MATCH(ROUNDUP((X$1)/10,0)*10,[1]Hugst!$R$4:$W$4,0))))</f>
        <v>0</v>
      </c>
      <c r="Y47">
        <f>IF($C47-Y$1&lt;År1,0,X46*(1-VLOOKUP($A47,[1]Hugst!$R$5:$W$9,MATCH(ROUNDUP((Y$1)/10,0)*10,[1]Hugst!$R$4:$W$4,0))))</f>
        <v>0</v>
      </c>
      <c r="Z47">
        <f>IF($C47-Z$1&lt;År1,0,Y46*(1-VLOOKUP($A47,[1]Hugst!$R$5:$W$9,MATCH(ROUNDUP((Z$1)/10,0)*10,[1]Hugst!$R$4:$W$4,0))))</f>
        <v>0</v>
      </c>
      <c r="AA47">
        <f>IF($C47-AA$1&lt;År1,0,Z46*(1-VLOOKUP($A47,[1]Hugst!$R$5:$W$9,MATCH(ROUNDUP((AA$1)/10,0)*10,[1]Hugst!$R$4:$W$4,0))))</f>
        <v>0</v>
      </c>
      <c r="AB47">
        <f>IF($C47-AB$1&lt;År1,0,AA46*(1-VLOOKUP($A47,[1]Hugst!$R$5:$W$9,MATCH(ROUNDUP((AB$1)/10,0)*10,[1]Hugst!$R$4:$W$4,0))))</f>
        <v>0</v>
      </c>
      <c r="AC47">
        <f>IF($C47-AC$1&lt;År1,0,AB46*(1-VLOOKUP($A47,[1]Hugst!$R$5:$W$9,MATCH(ROUNDUP((AC$1)/10,0)*10,[1]Hugst!$R$4:$W$4,0))))</f>
        <v>0</v>
      </c>
      <c r="AD47">
        <f>IF($C47-AD$1&lt;År1,0,AC46*(1-VLOOKUP($A47,[1]Hugst!$R$5:$W$9,MATCH(ROUNDUP((AD$1)/10,0)*10,[1]Hugst!$R$4:$W$4,0))))</f>
        <v>0</v>
      </c>
      <c r="AE47">
        <f>IF($C47-AE$1&lt;År1,0,AD46*(1-VLOOKUP($A47,[1]Hugst!$R$5:$W$9,MATCH(ROUNDUP((AE$1)/10,0)*10,[1]Hugst!$R$4:$W$4,0))))</f>
        <v>0</v>
      </c>
      <c r="AF47">
        <f>IF($C47-AF$1&lt;År1,0,AE46*(1-VLOOKUP($A47,[1]Hugst!$R$5:$W$9,MATCH(ROUNDUP((AF$1)/10,0)*10,[1]Hugst!$R$4:$W$4,0))))</f>
        <v>0</v>
      </c>
      <c r="AG47">
        <f>IF($C47-AG$1&lt;År1,0,AF46*(1-VLOOKUP($A47,[1]Hugst!$R$5:$W$9,MATCH(ROUNDUP((AG$1)/10,0)*10,[1]Hugst!$R$4:$W$4,0))))</f>
        <v>0</v>
      </c>
      <c r="AH47">
        <f>IF($C47-AH$1&lt;År1,0,AG46*(1-VLOOKUP($A47,[1]Hugst!$R$5:$W$9,MATCH(ROUNDUP((AH$1)/10,0)*10,[1]Hugst!$R$4:$W$4,0))))</f>
        <v>0</v>
      </c>
      <c r="AI47">
        <f>IF($C47-AI$1&lt;År1,0,AH46*(1-VLOOKUP($A47,[1]Hugst!$R$5:$W$9,MATCH(ROUNDUP((AI$1)/10,0)*10,[1]Hugst!$R$4:$W$4,0))))</f>
        <v>0</v>
      </c>
      <c r="AJ47">
        <f>IF($C47-AJ$1&lt;År1,0,AI46*(1-VLOOKUP($A47,[1]Hugst!$R$5:$W$9,MATCH(ROUNDUP((AJ$1)/10,0)*10,[1]Hugst!$R$4:$W$4,0))))</f>
        <v>0</v>
      </c>
    </row>
    <row r="48" spans="1:36" x14ac:dyDescent="0.25">
      <c r="A48" t="s">
        <v>176</v>
      </c>
      <c r="B48" t="s">
        <v>24</v>
      </c>
      <c r="C48">
        <v>2035</v>
      </c>
      <c r="D48" cm="1">
        <f t="array" ref="D48">(IF(B48="Vestdanmark",Skovbrug!$C$22-(Skovbrug!$C$22)*(1-Skovbrug!$C$9)^(C48-Skovbrug!$B$12),Skovbrug!$F$22-(Skovbrug!$F$22)*(1-Skovbrug!$C$9)^(C48-Skovbrug!$B$12)))*VLOOKUP(A48,Skovbrug!$A$13:$D$17,IF('Skovbrug-alder'!C48&lt;=År2,3,4),FALSE)
-IF(C48&gt;2020,SUM(INDEX($C$1:$D$311,MATCH(1,(2020=$C$1:$C$311)*(B48=$B$1:$B$311)*(A48=$A$1:$A$311),0),2):D47),0)</f>
        <v>29.530428515443077</v>
      </c>
      <c r="E48">
        <f t="shared" ca="1" si="0"/>
        <v>0</v>
      </c>
      <c r="F4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70.734132219146801</v>
      </c>
      <c r="G48">
        <f ca="1">IF($C48-G$1&lt;År1,0,F47*(1-VLOOKUP($A48,[1]Hugst!$R$5:$W$9,MATCH(ROUNDUP((G$1)/10,0)*10,[1]Hugst!$R$4:$W$4,0))))</f>
        <v>70.882526332289189</v>
      </c>
      <c r="H48">
        <f ca="1">IF($C48-H$1&lt;År1,0,G47*(1-VLOOKUP($A48,[1]Hugst!$R$5:$W$9,MATCH(ROUNDUP((H$1)/10,0)*10,[1]Hugst!$R$4:$W$4,0))))</f>
        <v>71.031666144492959</v>
      </c>
      <c r="I48">
        <f ca="1">IF($C48-I$1&lt;År1,0,H47*(1-VLOOKUP($A48,[1]Hugst!$R$5:$W$9,MATCH(ROUNDUP((I$1)/10,0)*10,[1]Hugst!$R$4:$W$4,0))))</f>
        <v>71.181555402989858</v>
      </c>
      <c r="J48">
        <f ca="1">IF($C48-J$1&lt;År1,0,I47*(1-VLOOKUP($A48,[1]Hugst!$R$5:$W$9,MATCH(ROUNDUP((J$1)/10,0)*10,[1]Hugst!$R$4:$W$4,0))))</f>
        <v>71.332197873839419</v>
      </c>
      <c r="K48">
        <f ca="1">IF($C48-K$1&lt;År1,0,J47*(1-VLOOKUP($A48,[1]Hugst!$R$5:$W$9,MATCH(ROUNDUP((K$1)/10,0)*10,[1]Hugst!$R$4:$W$4,0))))</f>
        <v>105.19571855415381</v>
      </c>
      <c r="L48">
        <f ca="1">IF($C48-L$1&lt;År1,0,K47*(1-VLOOKUP($A48,[1]Hugst!$R$5:$W$9,MATCH(ROUNDUP((L$1)/10,0)*10,[1]Hugst!$R$4:$W$4,0))))</f>
        <v>105.34787882369238</v>
      </c>
      <c r="M48">
        <f ca="1">IF($C48-M$1&lt;År1,0,L47*(1-VLOOKUP($A48,[1]Hugst!$R$5:$W$9,MATCH(ROUNDUP((M$1)/10,0)*10,[1]Hugst!$R$4:$W$4,0))))</f>
        <v>105.50080371770207</v>
      </c>
      <c r="N48">
        <f ca="1">IF($C48-N$1&lt;År1,0,M47*(1-VLOOKUP($A48,[1]Hugst!$R$5:$W$9,MATCH(ROUNDUP((N$1)/10,0)*10,[1]Hugst!$R$4:$W$4,0))))</f>
        <v>105.65449707851479</v>
      </c>
      <c r="O48">
        <f ca="1">IF($C48-O$1&lt;År1,0,N47*(1-VLOOKUP($A48,[1]Hugst!$R$5:$W$9,MATCH(ROUNDUP((O$1)/10,0)*10,[1]Hugst!$R$4:$W$4,0))))</f>
        <v>105.80896276777605</v>
      </c>
      <c r="P48">
        <f ca="1">IF($C48-P$1&lt;År1,0,O47*(1-VLOOKUP($A48,[1]Hugst!$R$5:$W$9,MATCH(ROUNDUP((P$1)/10,0)*10,[1]Hugst!$R$4:$W$4,0))))</f>
        <v>105.96420466652819</v>
      </c>
      <c r="Q48">
        <f ca="1">IF($C48-Q$1&lt;År1,0,P47*(1-VLOOKUP($A48,[1]Hugst!$R$5:$W$9,MATCH(ROUNDUP((Q$1)/10,0)*10,[1]Hugst!$R$4:$W$4,0))))</f>
        <v>106.12022667532625</v>
      </c>
      <c r="R48">
        <f ca="1">IF($C48-R$1&lt;År1,0,Q47*(1-VLOOKUP($A48,[1]Hugst!$R$5:$W$9,MATCH(ROUNDUP((R$1)/10,0)*10,[1]Hugst!$R$4:$W$4,0))))</f>
        <v>106.27703271431785</v>
      </c>
      <c r="S48">
        <f ca="1">IF($C48-S$1&lt;År1,0,R47*(1-VLOOKUP($A48,[1]Hugst!$R$5:$W$9,MATCH(ROUNDUP((S$1)/10,0)*10,[1]Hugst!$R$4:$W$4,0))))</f>
        <v>106.4346267233563</v>
      </c>
      <c r="T48">
        <f ca="1">IF($C48-T$1&lt;År1,0,S47*(1-VLOOKUP($A48,[1]Hugst!$R$5:$W$9,MATCH(ROUNDUP((T$1)/10,0)*10,[1]Hugst!$R$4:$W$4,0))))</f>
        <v>106.59301266208753</v>
      </c>
      <c r="U48">
        <f ca="1">IF($C48-U$1&lt;År1,0,T47*(1-VLOOKUP($A48,[1]Hugst!$R$5:$W$9,MATCH(ROUNDUP((U$1)/10,0)*10,[1]Hugst!$R$4:$W$4,0))))</f>
        <v>106.75219451005873</v>
      </c>
      <c r="V48">
        <f>IF($C48-V$1&lt;År1,0,U47*(1-VLOOKUP($A48,[1]Hugst!$R$5:$W$9,MATCH(ROUNDUP((V$1)/10,0)*10,[1]Hugst!$R$4:$W$4,0))))</f>
        <v>0</v>
      </c>
      <c r="W48">
        <f>IF($C48-W$1&lt;År1,0,V47*(1-VLOOKUP($A48,[1]Hugst!$R$5:$W$9,MATCH(ROUNDUP((W$1)/10,0)*10,[1]Hugst!$R$4:$W$4,0))))</f>
        <v>0</v>
      </c>
      <c r="X48">
        <f>IF($C48-X$1&lt;År1,0,W47*(1-VLOOKUP($A48,[1]Hugst!$R$5:$W$9,MATCH(ROUNDUP((X$1)/10,0)*10,[1]Hugst!$R$4:$W$4,0))))</f>
        <v>0</v>
      </c>
      <c r="Y48">
        <f>IF($C48-Y$1&lt;År1,0,X47*(1-VLOOKUP($A48,[1]Hugst!$R$5:$W$9,MATCH(ROUNDUP((Y$1)/10,0)*10,[1]Hugst!$R$4:$W$4,0))))</f>
        <v>0</v>
      </c>
      <c r="Z48">
        <f>IF($C48-Z$1&lt;År1,0,Y47*(1-VLOOKUP($A48,[1]Hugst!$R$5:$W$9,MATCH(ROUNDUP((Z$1)/10,0)*10,[1]Hugst!$R$4:$W$4,0))))</f>
        <v>0</v>
      </c>
      <c r="AA48">
        <f>IF($C48-AA$1&lt;År1,0,Z47*(1-VLOOKUP($A48,[1]Hugst!$R$5:$W$9,MATCH(ROUNDUP((AA$1)/10,0)*10,[1]Hugst!$R$4:$W$4,0))))</f>
        <v>0</v>
      </c>
      <c r="AB48">
        <f>IF($C48-AB$1&lt;År1,0,AA47*(1-VLOOKUP($A48,[1]Hugst!$R$5:$W$9,MATCH(ROUNDUP((AB$1)/10,0)*10,[1]Hugst!$R$4:$W$4,0))))</f>
        <v>0</v>
      </c>
      <c r="AC48">
        <f>IF($C48-AC$1&lt;År1,0,AB47*(1-VLOOKUP($A48,[1]Hugst!$R$5:$W$9,MATCH(ROUNDUP((AC$1)/10,0)*10,[1]Hugst!$R$4:$W$4,0))))</f>
        <v>0</v>
      </c>
      <c r="AD48">
        <f>IF($C48-AD$1&lt;År1,0,AC47*(1-VLOOKUP($A48,[1]Hugst!$R$5:$W$9,MATCH(ROUNDUP((AD$1)/10,0)*10,[1]Hugst!$R$4:$W$4,0))))</f>
        <v>0</v>
      </c>
      <c r="AE48">
        <f>IF($C48-AE$1&lt;År1,0,AD47*(1-VLOOKUP($A48,[1]Hugst!$R$5:$W$9,MATCH(ROUNDUP((AE$1)/10,0)*10,[1]Hugst!$R$4:$W$4,0))))</f>
        <v>0</v>
      </c>
      <c r="AF48">
        <f>IF($C48-AF$1&lt;År1,0,AE47*(1-VLOOKUP($A48,[1]Hugst!$R$5:$W$9,MATCH(ROUNDUP((AF$1)/10,0)*10,[1]Hugst!$R$4:$W$4,0))))</f>
        <v>0</v>
      </c>
      <c r="AG48">
        <f>IF($C48-AG$1&lt;År1,0,AF47*(1-VLOOKUP($A48,[1]Hugst!$R$5:$W$9,MATCH(ROUNDUP((AG$1)/10,0)*10,[1]Hugst!$R$4:$W$4,0))))</f>
        <v>0</v>
      </c>
      <c r="AH48">
        <f>IF($C48-AH$1&lt;År1,0,AG47*(1-VLOOKUP($A48,[1]Hugst!$R$5:$W$9,MATCH(ROUNDUP((AH$1)/10,0)*10,[1]Hugst!$R$4:$W$4,0))))</f>
        <v>0</v>
      </c>
      <c r="AI48">
        <f>IF($C48-AI$1&lt;År1,0,AH47*(1-VLOOKUP($A48,[1]Hugst!$R$5:$W$9,MATCH(ROUNDUP((AI$1)/10,0)*10,[1]Hugst!$R$4:$W$4,0))))</f>
        <v>0</v>
      </c>
      <c r="AJ48">
        <f>IF($C48-AJ$1&lt;År1,0,AI47*(1-VLOOKUP($A48,[1]Hugst!$R$5:$W$9,MATCH(ROUNDUP((AJ$1)/10,0)*10,[1]Hugst!$R$4:$W$4,0))))</f>
        <v>0</v>
      </c>
    </row>
    <row r="49" spans="1:38" x14ac:dyDescent="0.25">
      <c r="A49" t="s">
        <v>176</v>
      </c>
      <c r="B49" t="s">
        <v>24</v>
      </c>
      <c r="C49">
        <v>2036</v>
      </c>
      <c r="D49" cm="1">
        <f t="array" ref="D49">(IF(B49="Vestdanmark",Skovbrug!$C$22-(Skovbrug!$C$22)*(1-Skovbrug!$C$9)^(C49-Skovbrug!$B$12),Skovbrug!$F$22-(Skovbrug!$F$22)*(1-Skovbrug!$C$9)^(C49-Skovbrug!$B$12)))*VLOOKUP(A49,Skovbrug!$A$13:$D$17,IF('Skovbrug-alder'!C49&lt;=År2,3,4),FALSE)
-IF(C49&gt;2020,SUM(INDEX($C$1:$D$311,MATCH(1,(2020=$C$1:$C$311)*(B49=$B$1:$B$311)*(A49=$A$1:$A$311),0),2):D48),0)</f>
        <v>29.382776372865237</v>
      </c>
      <c r="E49">
        <f t="shared" ca="1" si="0"/>
        <v>0</v>
      </c>
      <c r="F49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70.586480076568961</v>
      </c>
      <c r="G49">
        <f ca="1">IF($C49-G$1&lt;År1,0,F48*(1-VLOOKUP($A49,[1]Hugst!$R$5:$W$9,MATCH(ROUNDUP((G$1)/10,0)*10,[1]Hugst!$R$4:$W$4,0))))</f>
        <v>70.734132219146801</v>
      </c>
      <c r="H49">
        <f ca="1">IF($C49-H$1&lt;År1,0,G48*(1-VLOOKUP($A49,[1]Hugst!$R$5:$W$9,MATCH(ROUNDUP((H$1)/10,0)*10,[1]Hugst!$R$4:$W$4,0))))</f>
        <v>70.882526332289189</v>
      </c>
      <c r="I49">
        <f ca="1">IF($C49-I$1&lt;År1,0,H48*(1-VLOOKUP($A49,[1]Hugst!$R$5:$W$9,MATCH(ROUNDUP((I$1)/10,0)*10,[1]Hugst!$R$4:$W$4,0))))</f>
        <v>71.031666144492959</v>
      </c>
      <c r="J49">
        <f ca="1">IF($C49-J$1&lt;År1,0,I48*(1-VLOOKUP($A49,[1]Hugst!$R$5:$W$9,MATCH(ROUNDUP((J$1)/10,0)*10,[1]Hugst!$R$4:$W$4,0))))</f>
        <v>71.181555402989858</v>
      </c>
      <c r="K49">
        <f ca="1">IF($C49-K$1&lt;År1,0,J48*(1-VLOOKUP($A49,[1]Hugst!$R$5:$W$9,MATCH(ROUNDUP((K$1)/10,0)*10,[1]Hugst!$R$4:$W$4,0))))</f>
        <v>71.332197873839419</v>
      </c>
      <c r="L49">
        <f ca="1">IF($C49-L$1&lt;År1,0,K48*(1-VLOOKUP($A49,[1]Hugst!$R$5:$W$9,MATCH(ROUNDUP((L$1)/10,0)*10,[1]Hugst!$R$4:$W$4,0))))</f>
        <v>105.19571855415381</v>
      </c>
      <c r="M49">
        <f ca="1">IF($C49-M$1&lt;År1,0,L48*(1-VLOOKUP($A49,[1]Hugst!$R$5:$W$9,MATCH(ROUNDUP((M$1)/10,0)*10,[1]Hugst!$R$4:$W$4,0))))</f>
        <v>105.34787882369238</v>
      </c>
      <c r="N49">
        <f ca="1">IF($C49-N$1&lt;År1,0,M48*(1-VLOOKUP($A49,[1]Hugst!$R$5:$W$9,MATCH(ROUNDUP((N$1)/10,0)*10,[1]Hugst!$R$4:$W$4,0))))</f>
        <v>105.50080371770207</v>
      </c>
      <c r="O49">
        <f ca="1">IF($C49-O$1&lt;År1,0,N48*(1-VLOOKUP($A49,[1]Hugst!$R$5:$W$9,MATCH(ROUNDUP((O$1)/10,0)*10,[1]Hugst!$R$4:$W$4,0))))</f>
        <v>105.65449707851479</v>
      </c>
      <c r="P49">
        <f ca="1">IF($C49-P$1&lt;År1,0,O48*(1-VLOOKUP($A49,[1]Hugst!$R$5:$W$9,MATCH(ROUNDUP((P$1)/10,0)*10,[1]Hugst!$R$4:$W$4,0))))</f>
        <v>105.80896276777605</v>
      </c>
      <c r="Q49">
        <f ca="1">IF($C49-Q$1&lt;År1,0,P48*(1-VLOOKUP($A49,[1]Hugst!$R$5:$W$9,MATCH(ROUNDUP((Q$1)/10,0)*10,[1]Hugst!$R$4:$W$4,0))))</f>
        <v>105.96420466652819</v>
      </c>
      <c r="R49">
        <f ca="1">IF($C49-R$1&lt;År1,0,Q48*(1-VLOOKUP($A49,[1]Hugst!$R$5:$W$9,MATCH(ROUNDUP((R$1)/10,0)*10,[1]Hugst!$R$4:$W$4,0))))</f>
        <v>106.12022667532625</v>
      </c>
      <c r="S49">
        <f ca="1">IF($C49-S$1&lt;År1,0,R48*(1-VLOOKUP($A49,[1]Hugst!$R$5:$W$9,MATCH(ROUNDUP((S$1)/10,0)*10,[1]Hugst!$R$4:$W$4,0))))</f>
        <v>106.27703271431785</v>
      </c>
      <c r="T49">
        <f ca="1">IF($C49-T$1&lt;År1,0,S48*(1-VLOOKUP($A49,[1]Hugst!$R$5:$W$9,MATCH(ROUNDUP((T$1)/10,0)*10,[1]Hugst!$R$4:$W$4,0))))</f>
        <v>106.4346267233563</v>
      </c>
      <c r="U49">
        <f ca="1">IF($C49-U$1&lt;År1,0,T48*(1-VLOOKUP($A49,[1]Hugst!$R$5:$W$9,MATCH(ROUNDUP((U$1)/10,0)*10,[1]Hugst!$R$4:$W$4,0))))</f>
        <v>106.59301266208753</v>
      </c>
      <c r="V49">
        <f ca="1">IF($C49-V$1&lt;År1,0,U48*(1-VLOOKUP($A49,[1]Hugst!$R$5:$W$9,MATCH(ROUNDUP((V$1)/10,0)*10,[1]Hugst!$R$4:$W$4,0))))</f>
        <v>106.75219451005873</v>
      </c>
      <c r="W49">
        <f>IF($C49-W$1&lt;År1,0,V48*(1-VLOOKUP($A49,[1]Hugst!$R$5:$W$9,MATCH(ROUNDUP((W$1)/10,0)*10,[1]Hugst!$R$4:$W$4,0))))</f>
        <v>0</v>
      </c>
      <c r="X49">
        <f>IF($C49-X$1&lt;År1,0,W48*(1-VLOOKUP($A49,[1]Hugst!$R$5:$W$9,MATCH(ROUNDUP((X$1)/10,0)*10,[1]Hugst!$R$4:$W$4,0))))</f>
        <v>0</v>
      </c>
      <c r="Y49">
        <f>IF($C49-Y$1&lt;År1,0,X48*(1-VLOOKUP($A49,[1]Hugst!$R$5:$W$9,MATCH(ROUNDUP((Y$1)/10,0)*10,[1]Hugst!$R$4:$W$4,0))))</f>
        <v>0</v>
      </c>
      <c r="Z49">
        <f>IF($C49-Z$1&lt;År1,0,Y48*(1-VLOOKUP($A49,[1]Hugst!$R$5:$W$9,MATCH(ROUNDUP((Z$1)/10,0)*10,[1]Hugst!$R$4:$W$4,0))))</f>
        <v>0</v>
      </c>
      <c r="AA49">
        <f>IF($C49-AA$1&lt;År1,0,Z48*(1-VLOOKUP($A49,[1]Hugst!$R$5:$W$9,MATCH(ROUNDUP((AA$1)/10,0)*10,[1]Hugst!$R$4:$W$4,0))))</f>
        <v>0</v>
      </c>
      <c r="AB49">
        <f>IF($C49-AB$1&lt;År1,0,AA48*(1-VLOOKUP($A49,[1]Hugst!$R$5:$W$9,MATCH(ROUNDUP((AB$1)/10,0)*10,[1]Hugst!$R$4:$W$4,0))))</f>
        <v>0</v>
      </c>
      <c r="AC49">
        <f>IF($C49-AC$1&lt;År1,0,AB48*(1-VLOOKUP($A49,[1]Hugst!$R$5:$W$9,MATCH(ROUNDUP((AC$1)/10,0)*10,[1]Hugst!$R$4:$W$4,0))))</f>
        <v>0</v>
      </c>
      <c r="AD49">
        <f>IF($C49-AD$1&lt;År1,0,AC48*(1-VLOOKUP($A49,[1]Hugst!$R$5:$W$9,MATCH(ROUNDUP((AD$1)/10,0)*10,[1]Hugst!$R$4:$W$4,0))))</f>
        <v>0</v>
      </c>
      <c r="AE49">
        <f>IF($C49-AE$1&lt;År1,0,AD48*(1-VLOOKUP($A49,[1]Hugst!$R$5:$W$9,MATCH(ROUNDUP((AE$1)/10,0)*10,[1]Hugst!$R$4:$W$4,0))))</f>
        <v>0</v>
      </c>
      <c r="AF49">
        <f>IF($C49-AF$1&lt;År1,0,AE48*(1-VLOOKUP($A49,[1]Hugst!$R$5:$W$9,MATCH(ROUNDUP((AF$1)/10,0)*10,[1]Hugst!$R$4:$W$4,0))))</f>
        <v>0</v>
      </c>
      <c r="AG49">
        <f>IF($C49-AG$1&lt;År1,0,AF48*(1-VLOOKUP($A49,[1]Hugst!$R$5:$W$9,MATCH(ROUNDUP((AG$1)/10,0)*10,[1]Hugst!$R$4:$W$4,0))))</f>
        <v>0</v>
      </c>
      <c r="AH49">
        <f>IF($C49-AH$1&lt;År1,0,AG48*(1-VLOOKUP($A49,[1]Hugst!$R$5:$W$9,MATCH(ROUNDUP((AH$1)/10,0)*10,[1]Hugst!$R$4:$W$4,0))))</f>
        <v>0</v>
      </c>
      <c r="AI49">
        <f>IF($C49-AI$1&lt;År1,0,AH48*(1-VLOOKUP($A49,[1]Hugst!$R$5:$W$9,MATCH(ROUNDUP((AI$1)/10,0)*10,[1]Hugst!$R$4:$W$4,0))))</f>
        <v>0</v>
      </c>
      <c r="AJ49">
        <f>IF($C49-AJ$1&lt;År1,0,AI48*(1-VLOOKUP($A49,[1]Hugst!$R$5:$W$9,MATCH(ROUNDUP((AJ$1)/10,0)*10,[1]Hugst!$R$4:$W$4,0))))</f>
        <v>0</v>
      </c>
    </row>
    <row r="50" spans="1:38" x14ac:dyDescent="0.25">
      <c r="A50" t="s">
        <v>176</v>
      </c>
      <c r="B50" t="s">
        <v>24</v>
      </c>
      <c r="C50">
        <v>2037</v>
      </c>
      <c r="D50" cm="1">
        <f t="array" ref="D50">(IF(B50="Vestdanmark",Skovbrug!$C$22-(Skovbrug!$C$22)*(1-Skovbrug!$C$9)^(C50-Skovbrug!$B$12),Skovbrug!$F$22-(Skovbrug!$F$22)*(1-Skovbrug!$C$9)^(C50-Skovbrug!$B$12)))*VLOOKUP(A50,Skovbrug!$A$13:$D$17,IF('Skovbrug-alder'!C50&lt;=År2,3,4),FALSE)
-IF(C50&gt;2020,SUM(INDEX($C$1:$D$311,MATCH(1,(2020=$C$1:$C$311)*(B50=$B$1:$B$311)*(A50=$A$1:$A$311),0),2):D49),0)</f>
        <v>29.235862491001171</v>
      </c>
      <c r="E50">
        <f t="shared" ca="1" si="0"/>
        <v>0</v>
      </c>
      <c r="F50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70.439566194704895</v>
      </c>
      <c r="G50">
        <f ca="1">IF($C50-G$1&lt;År1,0,F49*(1-VLOOKUP($A50,[1]Hugst!$R$5:$W$9,MATCH(ROUNDUP((G$1)/10,0)*10,[1]Hugst!$R$4:$W$4,0))))</f>
        <v>70.586480076568961</v>
      </c>
      <c r="H50">
        <f ca="1">IF($C50-H$1&lt;År1,0,G49*(1-VLOOKUP($A50,[1]Hugst!$R$5:$W$9,MATCH(ROUNDUP((H$1)/10,0)*10,[1]Hugst!$R$4:$W$4,0))))</f>
        <v>70.734132219146801</v>
      </c>
      <c r="I50">
        <f ca="1">IF($C50-I$1&lt;År1,0,H49*(1-VLOOKUP($A50,[1]Hugst!$R$5:$W$9,MATCH(ROUNDUP((I$1)/10,0)*10,[1]Hugst!$R$4:$W$4,0))))</f>
        <v>70.882526332289189</v>
      </c>
      <c r="J50">
        <f ca="1">IF($C50-J$1&lt;År1,0,I49*(1-VLOOKUP($A50,[1]Hugst!$R$5:$W$9,MATCH(ROUNDUP((J$1)/10,0)*10,[1]Hugst!$R$4:$W$4,0))))</f>
        <v>71.031666144492959</v>
      </c>
      <c r="K50">
        <f ca="1">IF($C50-K$1&lt;År1,0,J49*(1-VLOOKUP($A50,[1]Hugst!$R$5:$W$9,MATCH(ROUNDUP((K$1)/10,0)*10,[1]Hugst!$R$4:$W$4,0))))</f>
        <v>71.181555402989858</v>
      </c>
      <c r="L50">
        <f ca="1">IF($C50-L$1&lt;År1,0,K49*(1-VLOOKUP($A50,[1]Hugst!$R$5:$W$9,MATCH(ROUNDUP((L$1)/10,0)*10,[1]Hugst!$R$4:$W$4,0))))</f>
        <v>71.332197873839419</v>
      </c>
      <c r="M50">
        <f ca="1">IF($C50-M$1&lt;År1,0,L49*(1-VLOOKUP($A50,[1]Hugst!$R$5:$W$9,MATCH(ROUNDUP((M$1)/10,0)*10,[1]Hugst!$R$4:$W$4,0))))</f>
        <v>105.19571855415381</v>
      </c>
      <c r="N50">
        <f ca="1">IF($C50-N$1&lt;År1,0,M49*(1-VLOOKUP($A50,[1]Hugst!$R$5:$W$9,MATCH(ROUNDUP((N$1)/10,0)*10,[1]Hugst!$R$4:$W$4,0))))</f>
        <v>105.34787882369238</v>
      </c>
      <c r="O50">
        <f ca="1">IF($C50-O$1&lt;År1,0,N49*(1-VLOOKUP($A50,[1]Hugst!$R$5:$W$9,MATCH(ROUNDUP((O$1)/10,0)*10,[1]Hugst!$R$4:$W$4,0))))</f>
        <v>105.50080371770207</v>
      </c>
      <c r="P50">
        <f ca="1">IF($C50-P$1&lt;År1,0,O49*(1-VLOOKUP($A50,[1]Hugst!$R$5:$W$9,MATCH(ROUNDUP((P$1)/10,0)*10,[1]Hugst!$R$4:$W$4,0))))</f>
        <v>105.65449707851479</v>
      </c>
      <c r="Q50">
        <f ca="1">IF($C50-Q$1&lt;År1,0,P49*(1-VLOOKUP($A50,[1]Hugst!$R$5:$W$9,MATCH(ROUNDUP((Q$1)/10,0)*10,[1]Hugst!$R$4:$W$4,0))))</f>
        <v>105.80896276777605</v>
      </c>
      <c r="R50">
        <f ca="1">IF($C50-R$1&lt;År1,0,Q49*(1-VLOOKUP($A50,[1]Hugst!$R$5:$W$9,MATCH(ROUNDUP((R$1)/10,0)*10,[1]Hugst!$R$4:$W$4,0))))</f>
        <v>105.96420466652819</v>
      </c>
      <c r="S50">
        <f ca="1">IF($C50-S$1&lt;År1,0,R49*(1-VLOOKUP($A50,[1]Hugst!$R$5:$W$9,MATCH(ROUNDUP((S$1)/10,0)*10,[1]Hugst!$R$4:$W$4,0))))</f>
        <v>106.12022667532625</v>
      </c>
      <c r="T50">
        <f ca="1">IF($C50-T$1&lt;År1,0,S49*(1-VLOOKUP($A50,[1]Hugst!$R$5:$W$9,MATCH(ROUNDUP((T$1)/10,0)*10,[1]Hugst!$R$4:$W$4,0))))</f>
        <v>106.27703271431785</v>
      </c>
      <c r="U50">
        <f ca="1">IF($C50-U$1&lt;År1,0,T49*(1-VLOOKUP($A50,[1]Hugst!$R$5:$W$9,MATCH(ROUNDUP((U$1)/10,0)*10,[1]Hugst!$R$4:$W$4,0))))</f>
        <v>106.4346267233563</v>
      </c>
      <c r="V50">
        <f ca="1">IF($C50-V$1&lt;År1,0,U49*(1-VLOOKUP($A50,[1]Hugst!$R$5:$W$9,MATCH(ROUNDUP((V$1)/10,0)*10,[1]Hugst!$R$4:$W$4,0))))</f>
        <v>106.59301266208753</v>
      </c>
      <c r="W50">
        <f ca="1">IF($C50-W$1&lt;År1,0,V49*(1-VLOOKUP($A50,[1]Hugst!$R$5:$W$9,MATCH(ROUNDUP((W$1)/10,0)*10,[1]Hugst!$R$4:$W$4,0))))</f>
        <v>106.75219451005873</v>
      </c>
      <c r="X50">
        <f>IF($C50-X$1&lt;År1,0,W49*(1-VLOOKUP($A50,[1]Hugst!$R$5:$W$9,MATCH(ROUNDUP((X$1)/10,0)*10,[1]Hugst!$R$4:$W$4,0))))</f>
        <v>0</v>
      </c>
      <c r="Y50">
        <f>IF($C50-Y$1&lt;År1,0,X49*(1-VLOOKUP($A50,[1]Hugst!$R$5:$W$9,MATCH(ROUNDUP((Y$1)/10,0)*10,[1]Hugst!$R$4:$W$4,0))))</f>
        <v>0</v>
      </c>
      <c r="Z50">
        <f>IF($C50-Z$1&lt;År1,0,Y49*(1-VLOOKUP($A50,[1]Hugst!$R$5:$W$9,MATCH(ROUNDUP((Z$1)/10,0)*10,[1]Hugst!$R$4:$W$4,0))))</f>
        <v>0</v>
      </c>
      <c r="AA50">
        <f>IF($C50-AA$1&lt;År1,0,Z49*(1-VLOOKUP($A50,[1]Hugst!$R$5:$W$9,MATCH(ROUNDUP((AA$1)/10,0)*10,[1]Hugst!$R$4:$W$4,0))))</f>
        <v>0</v>
      </c>
      <c r="AB50">
        <f>IF($C50-AB$1&lt;År1,0,AA49*(1-VLOOKUP($A50,[1]Hugst!$R$5:$W$9,MATCH(ROUNDUP((AB$1)/10,0)*10,[1]Hugst!$R$4:$W$4,0))))</f>
        <v>0</v>
      </c>
      <c r="AC50">
        <f>IF($C50-AC$1&lt;År1,0,AB49*(1-VLOOKUP($A50,[1]Hugst!$R$5:$W$9,MATCH(ROUNDUP((AC$1)/10,0)*10,[1]Hugst!$R$4:$W$4,0))))</f>
        <v>0</v>
      </c>
      <c r="AD50">
        <f>IF($C50-AD$1&lt;År1,0,AC49*(1-VLOOKUP($A50,[1]Hugst!$R$5:$W$9,MATCH(ROUNDUP((AD$1)/10,0)*10,[1]Hugst!$R$4:$W$4,0))))</f>
        <v>0</v>
      </c>
      <c r="AE50">
        <f>IF($C50-AE$1&lt;År1,0,AD49*(1-VLOOKUP($A50,[1]Hugst!$R$5:$W$9,MATCH(ROUNDUP((AE$1)/10,0)*10,[1]Hugst!$R$4:$W$4,0))))</f>
        <v>0</v>
      </c>
      <c r="AF50">
        <f>IF($C50-AF$1&lt;År1,0,AE49*(1-VLOOKUP($A50,[1]Hugst!$R$5:$W$9,MATCH(ROUNDUP((AF$1)/10,0)*10,[1]Hugst!$R$4:$W$4,0))))</f>
        <v>0</v>
      </c>
      <c r="AG50">
        <f>IF($C50-AG$1&lt;År1,0,AF49*(1-VLOOKUP($A50,[1]Hugst!$R$5:$W$9,MATCH(ROUNDUP((AG$1)/10,0)*10,[1]Hugst!$R$4:$W$4,0))))</f>
        <v>0</v>
      </c>
      <c r="AH50">
        <f>IF($C50-AH$1&lt;År1,0,AG49*(1-VLOOKUP($A50,[1]Hugst!$R$5:$W$9,MATCH(ROUNDUP((AH$1)/10,0)*10,[1]Hugst!$R$4:$W$4,0))))</f>
        <v>0</v>
      </c>
      <c r="AI50">
        <f>IF($C50-AI$1&lt;År1,0,AH49*(1-VLOOKUP($A50,[1]Hugst!$R$5:$W$9,MATCH(ROUNDUP((AI$1)/10,0)*10,[1]Hugst!$R$4:$W$4,0))))</f>
        <v>0</v>
      </c>
      <c r="AJ50">
        <f>IF($C50-AJ$1&lt;År1,0,AI49*(1-VLOOKUP($A50,[1]Hugst!$R$5:$W$9,MATCH(ROUNDUP((AJ$1)/10,0)*10,[1]Hugst!$R$4:$W$4,0))))</f>
        <v>0</v>
      </c>
    </row>
    <row r="51" spans="1:38" x14ac:dyDescent="0.25">
      <c r="A51" t="s">
        <v>176</v>
      </c>
      <c r="B51" t="s">
        <v>24</v>
      </c>
      <c r="C51">
        <v>2038</v>
      </c>
      <c r="D51" cm="1">
        <f t="array" ref="D51">(IF(B51="Vestdanmark",Skovbrug!$C$22-(Skovbrug!$C$22)*(1-Skovbrug!$C$9)^(C51-Skovbrug!$B$12),Skovbrug!$F$22-(Skovbrug!$F$22)*(1-Skovbrug!$C$9)^(C51-Skovbrug!$B$12)))*VLOOKUP(A51,Skovbrug!$A$13:$D$17,IF('Skovbrug-alder'!C51&lt;=År2,3,4),FALSE)
-IF(C51&gt;2020,SUM(INDEX($C$1:$D$311,MATCH(1,(2020=$C$1:$C$311)*(B51=$B$1:$B$311)*(A51=$A$1:$A$311),0),2):D50),0)</f>
        <v>29.089683178546693</v>
      </c>
      <c r="E51">
        <f t="shared" ca="1" si="0"/>
        <v>0</v>
      </c>
      <c r="F51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70.293386882250417</v>
      </c>
      <c r="G51">
        <f ca="1">IF($C51-G$1&lt;År1,0,F50*(1-VLOOKUP($A51,[1]Hugst!$R$5:$W$9,MATCH(ROUNDUP((G$1)/10,0)*10,[1]Hugst!$R$4:$W$4,0))))</f>
        <v>70.439566194704895</v>
      </c>
      <c r="H51">
        <f ca="1">IF($C51-H$1&lt;År1,0,G50*(1-VLOOKUP($A51,[1]Hugst!$R$5:$W$9,MATCH(ROUNDUP((H$1)/10,0)*10,[1]Hugst!$R$4:$W$4,0))))</f>
        <v>70.586480076568961</v>
      </c>
      <c r="I51">
        <f ca="1">IF($C51-I$1&lt;År1,0,H50*(1-VLOOKUP($A51,[1]Hugst!$R$5:$W$9,MATCH(ROUNDUP((I$1)/10,0)*10,[1]Hugst!$R$4:$W$4,0))))</f>
        <v>70.734132219146801</v>
      </c>
      <c r="J51">
        <f ca="1">IF($C51-J$1&lt;År1,0,I50*(1-VLOOKUP($A51,[1]Hugst!$R$5:$W$9,MATCH(ROUNDUP((J$1)/10,0)*10,[1]Hugst!$R$4:$W$4,0))))</f>
        <v>70.882526332289189</v>
      </c>
      <c r="K51">
        <f ca="1">IF($C51-K$1&lt;År1,0,J50*(1-VLOOKUP($A51,[1]Hugst!$R$5:$W$9,MATCH(ROUNDUP((K$1)/10,0)*10,[1]Hugst!$R$4:$W$4,0))))</f>
        <v>71.031666144492959</v>
      </c>
      <c r="L51">
        <f ca="1">IF($C51-L$1&lt;År1,0,K50*(1-VLOOKUP($A51,[1]Hugst!$R$5:$W$9,MATCH(ROUNDUP((L$1)/10,0)*10,[1]Hugst!$R$4:$W$4,0))))</f>
        <v>71.181555402989858</v>
      </c>
      <c r="M51">
        <f ca="1">IF($C51-M$1&lt;År1,0,L50*(1-VLOOKUP($A51,[1]Hugst!$R$5:$W$9,MATCH(ROUNDUP((M$1)/10,0)*10,[1]Hugst!$R$4:$W$4,0))))</f>
        <v>71.332197873839419</v>
      </c>
      <c r="N51">
        <f ca="1">IF($C51-N$1&lt;År1,0,M50*(1-VLOOKUP($A51,[1]Hugst!$R$5:$W$9,MATCH(ROUNDUP((N$1)/10,0)*10,[1]Hugst!$R$4:$W$4,0))))</f>
        <v>105.19571855415381</v>
      </c>
      <c r="O51">
        <f ca="1">IF($C51-O$1&lt;År1,0,N50*(1-VLOOKUP($A51,[1]Hugst!$R$5:$W$9,MATCH(ROUNDUP((O$1)/10,0)*10,[1]Hugst!$R$4:$W$4,0))))</f>
        <v>105.34787882369238</v>
      </c>
      <c r="P51">
        <f ca="1">IF($C51-P$1&lt;År1,0,O50*(1-VLOOKUP($A51,[1]Hugst!$R$5:$W$9,MATCH(ROUNDUP((P$1)/10,0)*10,[1]Hugst!$R$4:$W$4,0))))</f>
        <v>105.50080371770207</v>
      </c>
      <c r="Q51">
        <f ca="1">IF($C51-Q$1&lt;År1,0,P50*(1-VLOOKUP($A51,[1]Hugst!$R$5:$W$9,MATCH(ROUNDUP((Q$1)/10,0)*10,[1]Hugst!$R$4:$W$4,0))))</f>
        <v>105.65449707851479</v>
      </c>
      <c r="R51">
        <f ca="1">IF($C51-R$1&lt;År1,0,Q50*(1-VLOOKUP($A51,[1]Hugst!$R$5:$W$9,MATCH(ROUNDUP((R$1)/10,0)*10,[1]Hugst!$R$4:$W$4,0))))</f>
        <v>105.80896276777605</v>
      </c>
      <c r="S51">
        <f ca="1">IF($C51-S$1&lt;År1,0,R50*(1-VLOOKUP($A51,[1]Hugst!$R$5:$W$9,MATCH(ROUNDUP((S$1)/10,0)*10,[1]Hugst!$R$4:$W$4,0))))</f>
        <v>105.96420466652819</v>
      </c>
      <c r="T51">
        <f ca="1">IF($C51-T$1&lt;År1,0,S50*(1-VLOOKUP($A51,[1]Hugst!$R$5:$W$9,MATCH(ROUNDUP((T$1)/10,0)*10,[1]Hugst!$R$4:$W$4,0))))</f>
        <v>106.12022667532625</v>
      </c>
      <c r="U51">
        <f ca="1">IF($C51-U$1&lt;År1,0,T50*(1-VLOOKUP($A51,[1]Hugst!$R$5:$W$9,MATCH(ROUNDUP((U$1)/10,0)*10,[1]Hugst!$R$4:$W$4,0))))</f>
        <v>106.27703271431785</v>
      </c>
      <c r="V51">
        <f ca="1">IF($C51-V$1&lt;År1,0,U50*(1-VLOOKUP($A51,[1]Hugst!$R$5:$W$9,MATCH(ROUNDUP((V$1)/10,0)*10,[1]Hugst!$R$4:$W$4,0))))</f>
        <v>106.4346267233563</v>
      </c>
      <c r="W51">
        <f ca="1">IF($C51-W$1&lt;År1,0,V50*(1-VLOOKUP($A51,[1]Hugst!$R$5:$W$9,MATCH(ROUNDUP((W$1)/10,0)*10,[1]Hugst!$R$4:$W$4,0))))</f>
        <v>106.59301266208753</v>
      </c>
      <c r="X51">
        <f ca="1">IF($C51-X$1&lt;År1,0,W50*(1-VLOOKUP($A51,[1]Hugst!$R$5:$W$9,MATCH(ROUNDUP((X$1)/10,0)*10,[1]Hugst!$R$4:$W$4,0))))</f>
        <v>106.75219451005873</v>
      </c>
      <c r="Y51">
        <f>IF($C51-Y$1&lt;År1,0,X50*(1-VLOOKUP($A51,[1]Hugst!$R$5:$W$9,MATCH(ROUNDUP((Y$1)/10,0)*10,[1]Hugst!$R$4:$W$4,0))))</f>
        <v>0</v>
      </c>
      <c r="Z51">
        <f>IF($C51-Z$1&lt;År1,0,Y50*(1-VLOOKUP($A51,[1]Hugst!$R$5:$W$9,MATCH(ROUNDUP((Z$1)/10,0)*10,[1]Hugst!$R$4:$W$4,0))))</f>
        <v>0</v>
      </c>
      <c r="AA51">
        <f>IF($C51-AA$1&lt;År1,0,Z50*(1-VLOOKUP($A51,[1]Hugst!$R$5:$W$9,MATCH(ROUNDUP((AA$1)/10,0)*10,[1]Hugst!$R$4:$W$4,0))))</f>
        <v>0</v>
      </c>
      <c r="AB51">
        <f>IF($C51-AB$1&lt;År1,0,AA50*(1-VLOOKUP($A51,[1]Hugst!$R$5:$W$9,MATCH(ROUNDUP((AB$1)/10,0)*10,[1]Hugst!$R$4:$W$4,0))))</f>
        <v>0</v>
      </c>
      <c r="AC51">
        <f>IF($C51-AC$1&lt;År1,0,AB50*(1-VLOOKUP($A51,[1]Hugst!$R$5:$W$9,MATCH(ROUNDUP((AC$1)/10,0)*10,[1]Hugst!$R$4:$W$4,0))))</f>
        <v>0</v>
      </c>
      <c r="AD51">
        <f>IF($C51-AD$1&lt;År1,0,AC50*(1-VLOOKUP($A51,[1]Hugst!$R$5:$W$9,MATCH(ROUNDUP((AD$1)/10,0)*10,[1]Hugst!$R$4:$W$4,0))))</f>
        <v>0</v>
      </c>
      <c r="AE51">
        <f>IF($C51-AE$1&lt;År1,0,AD50*(1-VLOOKUP($A51,[1]Hugst!$R$5:$W$9,MATCH(ROUNDUP((AE$1)/10,0)*10,[1]Hugst!$R$4:$W$4,0))))</f>
        <v>0</v>
      </c>
      <c r="AF51">
        <f>IF($C51-AF$1&lt;År1,0,AE50*(1-VLOOKUP($A51,[1]Hugst!$R$5:$W$9,MATCH(ROUNDUP((AF$1)/10,0)*10,[1]Hugst!$R$4:$W$4,0))))</f>
        <v>0</v>
      </c>
      <c r="AG51">
        <f>IF($C51-AG$1&lt;År1,0,AF50*(1-VLOOKUP($A51,[1]Hugst!$R$5:$W$9,MATCH(ROUNDUP((AG$1)/10,0)*10,[1]Hugst!$R$4:$W$4,0))))</f>
        <v>0</v>
      </c>
      <c r="AH51">
        <f>IF($C51-AH$1&lt;År1,0,AG50*(1-VLOOKUP($A51,[1]Hugst!$R$5:$W$9,MATCH(ROUNDUP((AH$1)/10,0)*10,[1]Hugst!$R$4:$W$4,0))))</f>
        <v>0</v>
      </c>
      <c r="AI51">
        <f>IF($C51-AI$1&lt;År1,0,AH50*(1-VLOOKUP($A51,[1]Hugst!$R$5:$W$9,MATCH(ROUNDUP((AI$1)/10,0)*10,[1]Hugst!$R$4:$W$4,0))))</f>
        <v>0</v>
      </c>
      <c r="AJ51">
        <f>IF($C51-AJ$1&lt;År1,0,AI50*(1-VLOOKUP($A51,[1]Hugst!$R$5:$W$9,MATCH(ROUNDUP((AJ$1)/10,0)*10,[1]Hugst!$R$4:$W$4,0))))</f>
        <v>0</v>
      </c>
    </row>
    <row r="52" spans="1:38" x14ac:dyDescent="0.25">
      <c r="A52" t="s">
        <v>176</v>
      </c>
      <c r="B52" t="s">
        <v>24</v>
      </c>
      <c r="C52">
        <v>2039</v>
      </c>
      <c r="D52" cm="1">
        <f t="array" ref="D52">(IF(B52="Vestdanmark",Skovbrug!$C$22-(Skovbrug!$C$22)*(1-Skovbrug!$C$9)^(C52-Skovbrug!$B$12),Skovbrug!$F$22-(Skovbrug!$F$22)*(1-Skovbrug!$C$9)^(C52-Skovbrug!$B$12)))*VLOOKUP(A52,Skovbrug!$A$13:$D$17,IF('Skovbrug-alder'!C52&lt;=År2,3,4),FALSE)
-IF(C52&gt;2020,SUM(INDEX($C$1:$D$311,MATCH(1,(2020=$C$1:$C$311)*(B52=$B$1:$B$311)*(A52=$A$1:$A$311),0),2):D51),0)</f>
        <v>28.944234762652854</v>
      </c>
      <c r="E52">
        <f t="shared" ca="1" si="0"/>
        <v>0</v>
      </c>
      <c r="F52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70.147938466356578</v>
      </c>
      <c r="G52">
        <f ca="1">IF($C52-G$1&lt;År1,0,F51*(1-VLOOKUP($A52,[1]Hugst!$R$5:$W$9,MATCH(ROUNDUP((G$1)/10,0)*10,[1]Hugst!$R$4:$W$4,0))))</f>
        <v>70.293386882250417</v>
      </c>
      <c r="H52">
        <f ca="1">IF($C52-H$1&lt;År1,0,G51*(1-VLOOKUP($A52,[1]Hugst!$R$5:$W$9,MATCH(ROUNDUP((H$1)/10,0)*10,[1]Hugst!$R$4:$W$4,0))))</f>
        <v>70.439566194704895</v>
      </c>
      <c r="I52">
        <f ca="1">IF($C52-I$1&lt;År1,0,H51*(1-VLOOKUP($A52,[1]Hugst!$R$5:$W$9,MATCH(ROUNDUP((I$1)/10,0)*10,[1]Hugst!$R$4:$W$4,0))))</f>
        <v>70.586480076568961</v>
      </c>
      <c r="J52">
        <f ca="1">IF($C52-J$1&lt;År1,0,I51*(1-VLOOKUP($A52,[1]Hugst!$R$5:$W$9,MATCH(ROUNDUP((J$1)/10,0)*10,[1]Hugst!$R$4:$W$4,0))))</f>
        <v>70.734132219146801</v>
      </c>
      <c r="K52">
        <f ca="1">IF($C52-K$1&lt;År1,0,J51*(1-VLOOKUP($A52,[1]Hugst!$R$5:$W$9,MATCH(ROUNDUP((K$1)/10,0)*10,[1]Hugst!$R$4:$W$4,0))))</f>
        <v>70.882526332289189</v>
      </c>
      <c r="L52">
        <f ca="1">IF($C52-L$1&lt;År1,0,K51*(1-VLOOKUP($A52,[1]Hugst!$R$5:$W$9,MATCH(ROUNDUP((L$1)/10,0)*10,[1]Hugst!$R$4:$W$4,0))))</f>
        <v>71.031666144492959</v>
      </c>
      <c r="M52">
        <f ca="1">IF($C52-M$1&lt;År1,0,L51*(1-VLOOKUP($A52,[1]Hugst!$R$5:$W$9,MATCH(ROUNDUP((M$1)/10,0)*10,[1]Hugst!$R$4:$W$4,0))))</f>
        <v>71.181555402989858</v>
      </c>
      <c r="N52">
        <f ca="1">IF($C52-N$1&lt;År1,0,M51*(1-VLOOKUP($A52,[1]Hugst!$R$5:$W$9,MATCH(ROUNDUP((N$1)/10,0)*10,[1]Hugst!$R$4:$W$4,0))))</f>
        <v>71.332197873839419</v>
      </c>
      <c r="O52">
        <f ca="1">IF($C52-O$1&lt;År1,0,N51*(1-VLOOKUP($A52,[1]Hugst!$R$5:$W$9,MATCH(ROUNDUP((O$1)/10,0)*10,[1]Hugst!$R$4:$W$4,0))))</f>
        <v>105.19571855415381</v>
      </c>
      <c r="P52">
        <f ca="1">IF($C52-P$1&lt;År1,0,O51*(1-VLOOKUP($A52,[1]Hugst!$R$5:$W$9,MATCH(ROUNDUP((P$1)/10,0)*10,[1]Hugst!$R$4:$W$4,0))))</f>
        <v>105.34787882369238</v>
      </c>
      <c r="Q52">
        <f ca="1">IF($C52-Q$1&lt;År1,0,P51*(1-VLOOKUP($A52,[1]Hugst!$R$5:$W$9,MATCH(ROUNDUP((Q$1)/10,0)*10,[1]Hugst!$R$4:$W$4,0))))</f>
        <v>105.50080371770207</v>
      </c>
      <c r="R52">
        <f ca="1">IF($C52-R$1&lt;År1,0,Q51*(1-VLOOKUP($A52,[1]Hugst!$R$5:$W$9,MATCH(ROUNDUP((R$1)/10,0)*10,[1]Hugst!$R$4:$W$4,0))))</f>
        <v>105.65449707851479</v>
      </c>
      <c r="S52">
        <f ca="1">IF($C52-S$1&lt;År1,0,R51*(1-VLOOKUP($A52,[1]Hugst!$R$5:$W$9,MATCH(ROUNDUP((S$1)/10,0)*10,[1]Hugst!$R$4:$W$4,0))))</f>
        <v>105.80896276777605</v>
      </c>
      <c r="T52">
        <f ca="1">IF($C52-T$1&lt;År1,0,S51*(1-VLOOKUP($A52,[1]Hugst!$R$5:$W$9,MATCH(ROUNDUP((T$1)/10,0)*10,[1]Hugst!$R$4:$W$4,0))))</f>
        <v>105.96420466652819</v>
      </c>
      <c r="U52">
        <f ca="1">IF($C52-U$1&lt;År1,0,T51*(1-VLOOKUP($A52,[1]Hugst!$R$5:$W$9,MATCH(ROUNDUP((U$1)/10,0)*10,[1]Hugst!$R$4:$W$4,0))))</f>
        <v>106.12022667532625</v>
      </c>
      <c r="V52">
        <f ca="1">IF($C52-V$1&lt;År1,0,U51*(1-VLOOKUP($A52,[1]Hugst!$R$5:$W$9,MATCH(ROUNDUP((V$1)/10,0)*10,[1]Hugst!$R$4:$W$4,0))))</f>
        <v>106.27703271431785</v>
      </c>
      <c r="W52">
        <f ca="1">IF($C52-W$1&lt;År1,0,V51*(1-VLOOKUP($A52,[1]Hugst!$R$5:$W$9,MATCH(ROUNDUP((W$1)/10,0)*10,[1]Hugst!$R$4:$W$4,0))))</f>
        <v>106.4346267233563</v>
      </c>
      <c r="X52">
        <f ca="1">IF($C52-X$1&lt;År1,0,W51*(1-VLOOKUP($A52,[1]Hugst!$R$5:$W$9,MATCH(ROUNDUP((X$1)/10,0)*10,[1]Hugst!$R$4:$W$4,0))))</f>
        <v>106.59301266208753</v>
      </c>
      <c r="Y52">
        <f ca="1">IF($C52-Y$1&lt;År1,0,X51*(1-VLOOKUP($A52,[1]Hugst!$R$5:$W$9,MATCH(ROUNDUP((Y$1)/10,0)*10,[1]Hugst!$R$4:$W$4,0))))</f>
        <v>106.75219451005873</v>
      </c>
      <c r="Z52">
        <f>IF($C52-Z$1&lt;År1,0,Y51*(1-VLOOKUP($A52,[1]Hugst!$R$5:$W$9,MATCH(ROUNDUP((Z$1)/10,0)*10,[1]Hugst!$R$4:$W$4,0))))</f>
        <v>0</v>
      </c>
      <c r="AA52">
        <f>IF($C52-AA$1&lt;År1,0,Z51*(1-VLOOKUP($A52,[1]Hugst!$R$5:$W$9,MATCH(ROUNDUP((AA$1)/10,0)*10,[1]Hugst!$R$4:$W$4,0))))</f>
        <v>0</v>
      </c>
      <c r="AB52">
        <f>IF($C52-AB$1&lt;År1,0,AA51*(1-VLOOKUP($A52,[1]Hugst!$R$5:$W$9,MATCH(ROUNDUP((AB$1)/10,0)*10,[1]Hugst!$R$4:$W$4,0))))</f>
        <v>0</v>
      </c>
      <c r="AC52">
        <f>IF($C52-AC$1&lt;År1,0,AB51*(1-VLOOKUP($A52,[1]Hugst!$R$5:$W$9,MATCH(ROUNDUP((AC$1)/10,0)*10,[1]Hugst!$R$4:$W$4,0))))</f>
        <v>0</v>
      </c>
      <c r="AD52">
        <f>IF($C52-AD$1&lt;År1,0,AC51*(1-VLOOKUP($A52,[1]Hugst!$R$5:$W$9,MATCH(ROUNDUP((AD$1)/10,0)*10,[1]Hugst!$R$4:$W$4,0))))</f>
        <v>0</v>
      </c>
      <c r="AE52">
        <f>IF($C52-AE$1&lt;År1,0,AD51*(1-VLOOKUP($A52,[1]Hugst!$R$5:$W$9,MATCH(ROUNDUP((AE$1)/10,0)*10,[1]Hugst!$R$4:$W$4,0))))</f>
        <v>0</v>
      </c>
      <c r="AF52">
        <f>IF($C52-AF$1&lt;År1,0,AE51*(1-VLOOKUP($A52,[1]Hugst!$R$5:$W$9,MATCH(ROUNDUP((AF$1)/10,0)*10,[1]Hugst!$R$4:$W$4,0))))</f>
        <v>0</v>
      </c>
      <c r="AG52">
        <f>IF($C52-AG$1&lt;År1,0,AF51*(1-VLOOKUP($A52,[1]Hugst!$R$5:$W$9,MATCH(ROUNDUP((AG$1)/10,0)*10,[1]Hugst!$R$4:$W$4,0))))</f>
        <v>0</v>
      </c>
      <c r="AH52">
        <f>IF($C52-AH$1&lt;År1,0,AG51*(1-VLOOKUP($A52,[1]Hugst!$R$5:$W$9,MATCH(ROUNDUP((AH$1)/10,0)*10,[1]Hugst!$R$4:$W$4,0))))</f>
        <v>0</v>
      </c>
      <c r="AI52">
        <f>IF($C52-AI$1&lt;År1,0,AH51*(1-VLOOKUP($A52,[1]Hugst!$R$5:$W$9,MATCH(ROUNDUP((AI$1)/10,0)*10,[1]Hugst!$R$4:$W$4,0))))</f>
        <v>0</v>
      </c>
      <c r="AJ52">
        <f>IF($C52-AJ$1&lt;År1,0,AI51*(1-VLOOKUP($A52,[1]Hugst!$R$5:$W$9,MATCH(ROUNDUP((AJ$1)/10,0)*10,[1]Hugst!$R$4:$W$4,0))))</f>
        <v>0</v>
      </c>
    </row>
    <row r="53" spans="1:38" x14ac:dyDescent="0.25">
      <c r="A53" t="s">
        <v>176</v>
      </c>
      <c r="B53" t="s">
        <v>24</v>
      </c>
      <c r="C53">
        <v>2040</v>
      </c>
      <c r="D53" cm="1">
        <f t="array" ref="D53">(IF(B53="Vestdanmark",Skovbrug!$C$22-(Skovbrug!$C$22)*(1-Skovbrug!$C$9)^(C53-Skovbrug!$B$12),Skovbrug!$F$22-(Skovbrug!$F$22)*(1-Skovbrug!$C$9)^(C53-Skovbrug!$B$12)))*VLOOKUP(A53,Skovbrug!$A$13:$D$17,IF('Skovbrug-alder'!C53&lt;=År2,3,4),FALSE)
-IF(C53&gt;2020,SUM(INDEX($C$1:$D$311,MATCH(1,(2020=$C$1:$C$311)*(B53=$B$1:$B$311)*(A53=$A$1:$A$311),0),2):D52),0)</f>
        <v>28.79951358884</v>
      </c>
      <c r="E53">
        <f t="shared" ca="1" si="0"/>
        <v>0</v>
      </c>
      <c r="F53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70.003217292543724</v>
      </c>
      <c r="G53">
        <f ca="1">IF($C53-G$1&lt;År1,0,F52*(1-VLOOKUP($A53,[1]Hugst!$R$5:$W$9,MATCH(ROUNDUP((G$1)/10,0)*10,[1]Hugst!$R$4:$W$4,0))))</f>
        <v>70.147938466356578</v>
      </c>
      <c r="H53">
        <f ca="1">IF($C53-H$1&lt;År1,0,G52*(1-VLOOKUP($A53,[1]Hugst!$R$5:$W$9,MATCH(ROUNDUP((H$1)/10,0)*10,[1]Hugst!$R$4:$W$4,0))))</f>
        <v>70.293386882250417</v>
      </c>
      <c r="I53">
        <f ca="1">IF($C53-I$1&lt;År1,0,H52*(1-VLOOKUP($A53,[1]Hugst!$R$5:$W$9,MATCH(ROUNDUP((I$1)/10,0)*10,[1]Hugst!$R$4:$W$4,0))))</f>
        <v>70.439566194704895</v>
      </c>
      <c r="J53">
        <f ca="1">IF($C53-J$1&lt;År1,0,I52*(1-VLOOKUP($A53,[1]Hugst!$R$5:$W$9,MATCH(ROUNDUP((J$1)/10,0)*10,[1]Hugst!$R$4:$W$4,0))))</f>
        <v>70.586480076568961</v>
      </c>
      <c r="K53">
        <f ca="1">IF($C53-K$1&lt;År1,0,J52*(1-VLOOKUP($A53,[1]Hugst!$R$5:$W$9,MATCH(ROUNDUP((K$1)/10,0)*10,[1]Hugst!$R$4:$W$4,0))))</f>
        <v>70.734132219146801</v>
      </c>
      <c r="L53">
        <f ca="1">IF($C53-L$1&lt;År1,0,K52*(1-VLOOKUP($A53,[1]Hugst!$R$5:$W$9,MATCH(ROUNDUP((L$1)/10,0)*10,[1]Hugst!$R$4:$W$4,0))))</f>
        <v>70.882526332289189</v>
      </c>
      <c r="M53">
        <f ca="1">IF($C53-M$1&lt;År1,0,L52*(1-VLOOKUP($A53,[1]Hugst!$R$5:$W$9,MATCH(ROUNDUP((M$1)/10,0)*10,[1]Hugst!$R$4:$W$4,0))))</f>
        <v>71.031666144492959</v>
      </c>
      <c r="N53">
        <f ca="1">IF($C53-N$1&lt;År1,0,M52*(1-VLOOKUP($A53,[1]Hugst!$R$5:$W$9,MATCH(ROUNDUP((N$1)/10,0)*10,[1]Hugst!$R$4:$W$4,0))))</f>
        <v>71.181555402989858</v>
      </c>
      <c r="O53">
        <f ca="1">IF($C53-O$1&lt;År1,0,N52*(1-VLOOKUP($A53,[1]Hugst!$R$5:$W$9,MATCH(ROUNDUP((O$1)/10,0)*10,[1]Hugst!$R$4:$W$4,0))))</f>
        <v>71.332197873839419</v>
      </c>
      <c r="P53">
        <f ca="1">IF($C53-P$1&lt;År1,0,O52*(1-VLOOKUP($A53,[1]Hugst!$R$5:$W$9,MATCH(ROUNDUP((P$1)/10,0)*10,[1]Hugst!$R$4:$W$4,0))))</f>
        <v>105.19571855415381</v>
      </c>
      <c r="Q53">
        <f ca="1">IF($C53-Q$1&lt;År1,0,P52*(1-VLOOKUP($A53,[1]Hugst!$R$5:$W$9,MATCH(ROUNDUP((Q$1)/10,0)*10,[1]Hugst!$R$4:$W$4,0))))</f>
        <v>105.34787882369238</v>
      </c>
      <c r="R53">
        <f ca="1">IF($C53-R$1&lt;År1,0,Q52*(1-VLOOKUP($A53,[1]Hugst!$R$5:$W$9,MATCH(ROUNDUP((R$1)/10,0)*10,[1]Hugst!$R$4:$W$4,0))))</f>
        <v>105.50080371770207</v>
      </c>
      <c r="S53">
        <f ca="1">IF($C53-S$1&lt;År1,0,R52*(1-VLOOKUP($A53,[1]Hugst!$R$5:$W$9,MATCH(ROUNDUP((S$1)/10,0)*10,[1]Hugst!$R$4:$W$4,0))))</f>
        <v>105.65449707851479</v>
      </c>
      <c r="T53">
        <f ca="1">IF($C53-T$1&lt;År1,0,S52*(1-VLOOKUP($A53,[1]Hugst!$R$5:$W$9,MATCH(ROUNDUP((T$1)/10,0)*10,[1]Hugst!$R$4:$W$4,0))))</f>
        <v>105.80896276777605</v>
      </c>
      <c r="U53">
        <f ca="1">IF($C53-U$1&lt;År1,0,T52*(1-VLOOKUP($A53,[1]Hugst!$R$5:$W$9,MATCH(ROUNDUP((U$1)/10,0)*10,[1]Hugst!$R$4:$W$4,0))))</f>
        <v>105.96420466652819</v>
      </c>
      <c r="V53">
        <f ca="1">IF($C53-V$1&lt;År1,0,U52*(1-VLOOKUP($A53,[1]Hugst!$R$5:$W$9,MATCH(ROUNDUP((V$1)/10,0)*10,[1]Hugst!$R$4:$W$4,0))))</f>
        <v>106.12022667532625</v>
      </c>
      <c r="W53">
        <f ca="1">IF($C53-W$1&lt;År1,0,V52*(1-VLOOKUP($A53,[1]Hugst!$R$5:$W$9,MATCH(ROUNDUP((W$1)/10,0)*10,[1]Hugst!$R$4:$W$4,0))))</f>
        <v>106.27703271431785</v>
      </c>
      <c r="X53">
        <f ca="1">IF($C53-X$1&lt;År1,0,W52*(1-VLOOKUP($A53,[1]Hugst!$R$5:$W$9,MATCH(ROUNDUP((X$1)/10,0)*10,[1]Hugst!$R$4:$W$4,0))))</f>
        <v>106.4346267233563</v>
      </c>
      <c r="Y53">
        <f ca="1">IF($C53-Y$1&lt;År1,0,X52*(1-VLOOKUP($A53,[1]Hugst!$R$5:$W$9,MATCH(ROUNDUP((Y$1)/10,0)*10,[1]Hugst!$R$4:$W$4,0))))</f>
        <v>106.59301266208753</v>
      </c>
      <c r="Z53">
        <f ca="1">IF($C53-Z$1&lt;År1,0,Y52*(1-VLOOKUP($A53,[1]Hugst!$R$5:$W$9,MATCH(ROUNDUP((Z$1)/10,0)*10,[1]Hugst!$R$4:$W$4,0))))</f>
        <v>106.75219451005873</v>
      </c>
      <c r="AA53">
        <f>IF($C53-AA$1&lt;År1,0,Z52*(1-VLOOKUP($A53,[1]Hugst!$R$5:$W$9,MATCH(ROUNDUP((AA$1)/10,0)*10,[1]Hugst!$R$4:$W$4,0))))</f>
        <v>0</v>
      </c>
      <c r="AB53">
        <f>IF($C53-AB$1&lt;År1,0,AA52*(1-VLOOKUP($A53,[1]Hugst!$R$5:$W$9,MATCH(ROUNDUP((AB$1)/10,0)*10,[1]Hugst!$R$4:$W$4,0))))</f>
        <v>0</v>
      </c>
      <c r="AC53">
        <f>IF($C53-AC$1&lt;År1,0,AB52*(1-VLOOKUP($A53,[1]Hugst!$R$5:$W$9,MATCH(ROUNDUP((AC$1)/10,0)*10,[1]Hugst!$R$4:$W$4,0))))</f>
        <v>0</v>
      </c>
      <c r="AD53">
        <f>IF($C53-AD$1&lt;År1,0,AC52*(1-VLOOKUP($A53,[1]Hugst!$R$5:$W$9,MATCH(ROUNDUP((AD$1)/10,0)*10,[1]Hugst!$R$4:$W$4,0))))</f>
        <v>0</v>
      </c>
      <c r="AE53">
        <f>IF($C53-AE$1&lt;År1,0,AD52*(1-VLOOKUP($A53,[1]Hugst!$R$5:$W$9,MATCH(ROUNDUP((AE$1)/10,0)*10,[1]Hugst!$R$4:$W$4,0))))</f>
        <v>0</v>
      </c>
      <c r="AF53">
        <f>IF($C53-AF$1&lt;År1,0,AE52*(1-VLOOKUP($A53,[1]Hugst!$R$5:$W$9,MATCH(ROUNDUP((AF$1)/10,0)*10,[1]Hugst!$R$4:$W$4,0))))</f>
        <v>0</v>
      </c>
      <c r="AG53">
        <f>IF($C53-AG$1&lt;År1,0,AF52*(1-VLOOKUP($A53,[1]Hugst!$R$5:$W$9,MATCH(ROUNDUP((AG$1)/10,0)*10,[1]Hugst!$R$4:$W$4,0))))</f>
        <v>0</v>
      </c>
      <c r="AH53">
        <f>IF($C53-AH$1&lt;År1,0,AG52*(1-VLOOKUP($A53,[1]Hugst!$R$5:$W$9,MATCH(ROUNDUP((AH$1)/10,0)*10,[1]Hugst!$R$4:$W$4,0))))</f>
        <v>0</v>
      </c>
      <c r="AI53">
        <f>IF($C53-AI$1&lt;År1,0,AH52*(1-VLOOKUP($A53,[1]Hugst!$R$5:$W$9,MATCH(ROUNDUP((AI$1)/10,0)*10,[1]Hugst!$R$4:$W$4,0))))</f>
        <v>0</v>
      </c>
      <c r="AJ53">
        <f>IF($C53-AJ$1&lt;År1,0,AI52*(1-VLOOKUP($A53,[1]Hugst!$R$5:$W$9,MATCH(ROUNDUP((AJ$1)/10,0)*10,[1]Hugst!$R$4:$W$4,0))))</f>
        <v>0</v>
      </c>
    </row>
    <row r="54" spans="1:38" x14ac:dyDescent="0.25">
      <c r="A54" t="s">
        <v>176</v>
      </c>
      <c r="B54" t="s">
        <v>24</v>
      </c>
      <c r="C54">
        <v>2041</v>
      </c>
      <c r="D54" cm="1">
        <f t="array" ref="D54">(IF(B54="Vestdanmark",Skovbrug!$C$22-(Skovbrug!$C$22)*(1-Skovbrug!$C$9)^(C54-Skovbrug!$B$12),Skovbrug!$F$22-(Skovbrug!$F$22)*(1-Skovbrug!$C$9)^(C54-Skovbrug!$B$12)))*VLOOKUP(A54,Skovbrug!$A$13:$D$17,IF('Skovbrug-alder'!C54&lt;=År2,3,4),FALSE)
-IF(C54&gt;2020,SUM(INDEX($C$1:$D$311,MATCH(1,(2020=$C$1:$C$311)*(B54=$B$1:$B$311)*(A54=$A$1:$A$311),0),2):D53),0)</f>
        <v>28.65551602089613</v>
      </c>
      <c r="E54">
        <f t="shared" ca="1" si="0"/>
        <v>0</v>
      </c>
      <c r="F54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69.859219724599853</v>
      </c>
      <c r="G54">
        <f ca="1">IF($C54-G$1&lt;År1,0,F53*(1-VLOOKUP($A54,[1]Hugst!$R$5:$W$9,MATCH(ROUNDUP((G$1)/10,0)*10,[1]Hugst!$R$4:$W$4,0))))</f>
        <v>70.003217292543724</v>
      </c>
      <c r="H54">
        <f ca="1">IF($C54-H$1&lt;År1,0,G53*(1-VLOOKUP($A54,[1]Hugst!$R$5:$W$9,MATCH(ROUNDUP((H$1)/10,0)*10,[1]Hugst!$R$4:$W$4,0))))</f>
        <v>70.147938466356578</v>
      </c>
      <c r="I54">
        <f ca="1">IF($C54-I$1&lt;År1,0,H53*(1-VLOOKUP($A54,[1]Hugst!$R$5:$W$9,MATCH(ROUNDUP((I$1)/10,0)*10,[1]Hugst!$R$4:$W$4,0))))</f>
        <v>70.293386882250417</v>
      </c>
      <c r="J54">
        <f ca="1">IF($C54-J$1&lt;År1,0,I53*(1-VLOOKUP($A54,[1]Hugst!$R$5:$W$9,MATCH(ROUNDUP((J$1)/10,0)*10,[1]Hugst!$R$4:$W$4,0))))</f>
        <v>70.439566194704895</v>
      </c>
      <c r="K54">
        <f ca="1">IF($C54-K$1&lt;År1,0,J53*(1-VLOOKUP($A54,[1]Hugst!$R$5:$W$9,MATCH(ROUNDUP((K$1)/10,0)*10,[1]Hugst!$R$4:$W$4,0))))</f>
        <v>70.586480076568961</v>
      </c>
      <c r="L54">
        <f ca="1">IF($C54-L$1&lt;År1,0,K53*(1-VLOOKUP($A54,[1]Hugst!$R$5:$W$9,MATCH(ROUNDUP((L$1)/10,0)*10,[1]Hugst!$R$4:$W$4,0))))</f>
        <v>70.734132219146801</v>
      </c>
      <c r="M54">
        <f ca="1">IF($C54-M$1&lt;År1,0,L53*(1-VLOOKUP($A54,[1]Hugst!$R$5:$W$9,MATCH(ROUNDUP((M$1)/10,0)*10,[1]Hugst!$R$4:$W$4,0))))</f>
        <v>70.882526332289189</v>
      </c>
      <c r="N54">
        <f ca="1">IF($C54-N$1&lt;År1,0,M53*(1-VLOOKUP($A54,[1]Hugst!$R$5:$W$9,MATCH(ROUNDUP((N$1)/10,0)*10,[1]Hugst!$R$4:$W$4,0))))</f>
        <v>71.031666144492959</v>
      </c>
      <c r="O54">
        <f ca="1">IF($C54-O$1&lt;År1,0,N53*(1-VLOOKUP($A54,[1]Hugst!$R$5:$W$9,MATCH(ROUNDUP((O$1)/10,0)*10,[1]Hugst!$R$4:$W$4,0))))</f>
        <v>71.181555402989858</v>
      </c>
      <c r="P54">
        <f ca="1">IF($C54-P$1&lt;År1,0,O53*(1-VLOOKUP($A54,[1]Hugst!$R$5:$W$9,MATCH(ROUNDUP((P$1)/10,0)*10,[1]Hugst!$R$4:$W$4,0))))</f>
        <v>71.332197873839419</v>
      </c>
      <c r="Q54">
        <f ca="1">IF($C54-Q$1&lt;År1,0,P53*(1-VLOOKUP($A54,[1]Hugst!$R$5:$W$9,MATCH(ROUNDUP((Q$1)/10,0)*10,[1]Hugst!$R$4:$W$4,0))))</f>
        <v>105.19571855415381</v>
      </c>
      <c r="R54">
        <f ca="1">IF($C54-R$1&lt;År1,0,Q53*(1-VLOOKUP($A54,[1]Hugst!$R$5:$W$9,MATCH(ROUNDUP((R$1)/10,0)*10,[1]Hugst!$R$4:$W$4,0))))</f>
        <v>105.34787882369238</v>
      </c>
      <c r="S54">
        <f ca="1">IF($C54-S$1&lt;År1,0,R53*(1-VLOOKUP($A54,[1]Hugst!$R$5:$W$9,MATCH(ROUNDUP((S$1)/10,0)*10,[1]Hugst!$R$4:$W$4,0))))</f>
        <v>105.50080371770207</v>
      </c>
      <c r="T54">
        <f ca="1">IF($C54-T$1&lt;År1,0,S53*(1-VLOOKUP($A54,[1]Hugst!$R$5:$W$9,MATCH(ROUNDUP((T$1)/10,0)*10,[1]Hugst!$R$4:$W$4,0))))</f>
        <v>105.65449707851479</v>
      </c>
      <c r="U54">
        <f ca="1">IF($C54-U$1&lt;År1,0,T53*(1-VLOOKUP($A54,[1]Hugst!$R$5:$W$9,MATCH(ROUNDUP((U$1)/10,0)*10,[1]Hugst!$R$4:$W$4,0))))</f>
        <v>105.80896276777605</v>
      </c>
      <c r="V54">
        <f ca="1">IF($C54-V$1&lt;År1,0,U53*(1-VLOOKUP($A54,[1]Hugst!$R$5:$W$9,MATCH(ROUNDUP((V$1)/10,0)*10,[1]Hugst!$R$4:$W$4,0))))</f>
        <v>105.96420466652819</v>
      </c>
      <c r="W54">
        <f ca="1">IF($C54-W$1&lt;År1,0,V53*(1-VLOOKUP($A54,[1]Hugst!$R$5:$W$9,MATCH(ROUNDUP((W$1)/10,0)*10,[1]Hugst!$R$4:$W$4,0))))</f>
        <v>106.12022667532625</v>
      </c>
      <c r="X54">
        <f ca="1">IF($C54-X$1&lt;År1,0,W53*(1-VLOOKUP($A54,[1]Hugst!$R$5:$W$9,MATCH(ROUNDUP((X$1)/10,0)*10,[1]Hugst!$R$4:$W$4,0))))</f>
        <v>106.27703271431785</v>
      </c>
      <c r="Y54">
        <f ca="1">IF($C54-Y$1&lt;År1,0,X53*(1-VLOOKUP($A54,[1]Hugst!$R$5:$W$9,MATCH(ROUNDUP((Y$1)/10,0)*10,[1]Hugst!$R$4:$W$4,0))))</f>
        <v>106.4346267233563</v>
      </c>
      <c r="Z54">
        <f ca="1">IF($C54-Z$1&lt;År1,0,Y53*(1-VLOOKUP($A54,[1]Hugst!$R$5:$W$9,MATCH(ROUNDUP((Z$1)/10,0)*10,[1]Hugst!$R$4:$W$4,0))))</f>
        <v>106.59301266208753</v>
      </c>
      <c r="AA54">
        <f ca="1">IF($C54-AA$1&lt;År1,0,Z53*(1-VLOOKUP($A54,[1]Hugst!$R$5:$W$9,MATCH(ROUNDUP((AA$1)/10,0)*10,[1]Hugst!$R$4:$W$4,0))))</f>
        <v>106.75219451005873</v>
      </c>
      <c r="AB54">
        <f>IF($C54-AB$1&lt;År1,0,AA53*(1-VLOOKUP($A54,[1]Hugst!$R$5:$W$9,MATCH(ROUNDUP((AB$1)/10,0)*10,[1]Hugst!$R$4:$W$4,0))))</f>
        <v>0</v>
      </c>
      <c r="AC54">
        <f>IF($C54-AC$1&lt;År1,0,AB53*(1-VLOOKUP($A54,[1]Hugst!$R$5:$W$9,MATCH(ROUNDUP((AC$1)/10,0)*10,[1]Hugst!$R$4:$W$4,0))))</f>
        <v>0</v>
      </c>
      <c r="AD54">
        <f>IF($C54-AD$1&lt;År1,0,AC53*(1-VLOOKUP($A54,[1]Hugst!$R$5:$W$9,MATCH(ROUNDUP((AD$1)/10,0)*10,[1]Hugst!$R$4:$W$4,0))))</f>
        <v>0</v>
      </c>
      <c r="AE54">
        <f>IF($C54-AE$1&lt;År1,0,AD53*(1-VLOOKUP($A54,[1]Hugst!$R$5:$W$9,MATCH(ROUNDUP((AE$1)/10,0)*10,[1]Hugst!$R$4:$W$4,0))))</f>
        <v>0</v>
      </c>
      <c r="AF54">
        <f>IF($C54-AF$1&lt;År1,0,AE53*(1-VLOOKUP($A54,[1]Hugst!$R$5:$W$9,MATCH(ROUNDUP((AF$1)/10,0)*10,[1]Hugst!$R$4:$W$4,0))))</f>
        <v>0</v>
      </c>
      <c r="AG54">
        <f>IF($C54-AG$1&lt;År1,0,AF53*(1-VLOOKUP($A54,[1]Hugst!$R$5:$W$9,MATCH(ROUNDUP((AG$1)/10,0)*10,[1]Hugst!$R$4:$W$4,0))))</f>
        <v>0</v>
      </c>
      <c r="AH54">
        <f>IF($C54-AH$1&lt;År1,0,AG53*(1-VLOOKUP($A54,[1]Hugst!$R$5:$W$9,MATCH(ROUNDUP((AH$1)/10,0)*10,[1]Hugst!$R$4:$W$4,0))))</f>
        <v>0</v>
      </c>
      <c r="AI54">
        <f>IF($C54-AI$1&lt;År1,0,AH53*(1-VLOOKUP($A54,[1]Hugst!$R$5:$W$9,MATCH(ROUNDUP((AI$1)/10,0)*10,[1]Hugst!$R$4:$W$4,0))))</f>
        <v>0</v>
      </c>
      <c r="AJ54">
        <f>IF($C54-AJ$1&lt;År1,0,AI53*(1-VLOOKUP($A54,[1]Hugst!$R$5:$W$9,MATCH(ROUNDUP((AJ$1)/10,0)*10,[1]Hugst!$R$4:$W$4,0))))</f>
        <v>0</v>
      </c>
    </row>
    <row r="55" spans="1:38" x14ac:dyDescent="0.25">
      <c r="A55" t="s">
        <v>176</v>
      </c>
      <c r="B55" t="s">
        <v>24</v>
      </c>
      <c r="C55">
        <v>2042</v>
      </c>
      <c r="D55" cm="1">
        <f t="array" ref="D55">(IF(B55="Vestdanmark",Skovbrug!$C$22-(Skovbrug!$C$22)*(1-Skovbrug!$C$9)^(C55-Skovbrug!$B$12),Skovbrug!$F$22-(Skovbrug!$F$22)*(1-Skovbrug!$C$9)^(C55-Skovbrug!$B$12)))*VLOOKUP(A55,Skovbrug!$A$13:$D$17,IF('Skovbrug-alder'!C55&lt;=År2,3,4),FALSE)
-IF(C55&gt;2020,SUM(INDEX($C$1:$D$311,MATCH(1,(2020=$C$1:$C$311)*(B55=$B$1:$B$311)*(A55=$A$1:$A$311),0),2):D54),0)</f>
        <v>28.512238440791407</v>
      </c>
      <c r="E55">
        <f t="shared" ca="1" si="0"/>
        <v>0</v>
      </c>
      <c r="F55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69.715942144495131</v>
      </c>
      <c r="G55">
        <f ca="1">IF($C55-G$1&lt;År1,0,F54*(1-VLOOKUP($A55,[1]Hugst!$R$5:$W$9,MATCH(ROUNDUP((G$1)/10,0)*10,[1]Hugst!$R$4:$W$4,0))))</f>
        <v>69.859219724599853</v>
      </c>
      <c r="H55">
        <f ca="1">IF($C55-H$1&lt;År1,0,G54*(1-VLOOKUP($A55,[1]Hugst!$R$5:$W$9,MATCH(ROUNDUP((H$1)/10,0)*10,[1]Hugst!$R$4:$W$4,0))))</f>
        <v>70.003217292543724</v>
      </c>
      <c r="I55">
        <f ca="1">IF($C55-I$1&lt;År1,0,H54*(1-VLOOKUP($A55,[1]Hugst!$R$5:$W$9,MATCH(ROUNDUP((I$1)/10,0)*10,[1]Hugst!$R$4:$W$4,0))))</f>
        <v>70.147938466356578</v>
      </c>
      <c r="J55">
        <f ca="1">IF($C55-J$1&lt;År1,0,I54*(1-VLOOKUP($A55,[1]Hugst!$R$5:$W$9,MATCH(ROUNDUP((J$1)/10,0)*10,[1]Hugst!$R$4:$W$4,0))))</f>
        <v>70.293386882250417</v>
      </c>
      <c r="K55">
        <f ca="1">IF($C55-K$1&lt;År1,0,J54*(1-VLOOKUP($A55,[1]Hugst!$R$5:$W$9,MATCH(ROUNDUP((K$1)/10,0)*10,[1]Hugst!$R$4:$W$4,0))))</f>
        <v>70.439566194704895</v>
      </c>
      <c r="L55">
        <f ca="1">IF($C55-L$1&lt;År1,0,K54*(1-VLOOKUP($A55,[1]Hugst!$R$5:$W$9,MATCH(ROUNDUP((L$1)/10,0)*10,[1]Hugst!$R$4:$W$4,0))))</f>
        <v>70.586480076568961</v>
      </c>
      <c r="M55">
        <f ca="1">IF($C55-M$1&lt;År1,0,L54*(1-VLOOKUP($A55,[1]Hugst!$R$5:$W$9,MATCH(ROUNDUP((M$1)/10,0)*10,[1]Hugst!$R$4:$W$4,0))))</f>
        <v>70.734132219146801</v>
      </c>
      <c r="N55">
        <f ca="1">IF($C55-N$1&lt;År1,0,M54*(1-VLOOKUP($A55,[1]Hugst!$R$5:$W$9,MATCH(ROUNDUP((N$1)/10,0)*10,[1]Hugst!$R$4:$W$4,0))))</f>
        <v>70.882526332289189</v>
      </c>
      <c r="O55">
        <f ca="1">IF($C55-O$1&lt;År1,0,N54*(1-VLOOKUP($A55,[1]Hugst!$R$5:$W$9,MATCH(ROUNDUP((O$1)/10,0)*10,[1]Hugst!$R$4:$W$4,0))))</f>
        <v>71.031666144492959</v>
      </c>
      <c r="P55">
        <f ca="1">IF($C55-P$1&lt;År1,0,O54*(1-VLOOKUP($A55,[1]Hugst!$R$5:$W$9,MATCH(ROUNDUP((P$1)/10,0)*10,[1]Hugst!$R$4:$W$4,0))))</f>
        <v>71.181555402989858</v>
      </c>
      <c r="Q55">
        <f ca="1">IF($C55-Q$1&lt;År1,0,P54*(1-VLOOKUP($A55,[1]Hugst!$R$5:$W$9,MATCH(ROUNDUP((Q$1)/10,0)*10,[1]Hugst!$R$4:$W$4,0))))</f>
        <v>71.332197873839419</v>
      </c>
      <c r="R55">
        <f ca="1">IF($C55-R$1&lt;År1,0,Q54*(1-VLOOKUP($A55,[1]Hugst!$R$5:$W$9,MATCH(ROUNDUP((R$1)/10,0)*10,[1]Hugst!$R$4:$W$4,0))))</f>
        <v>105.19571855415381</v>
      </c>
      <c r="S55">
        <f ca="1">IF($C55-S$1&lt;År1,0,R54*(1-VLOOKUP($A55,[1]Hugst!$R$5:$W$9,MATCH(ROUNDUP((S$1)/10,0)*10,[1]Hugst!$R$4:$W$4,0))))</f>
        <v>105.34787882369238</v>
      </c>
      <c r="T55">
        <f ca="1">IF($C55-T$1&lt;År1,0,S54*(1-VLOOKUP($A55,[1]Hugst!$R$5:$W$9,MATCH(ROUNDUP((T$1)/10,0)*10,[1]Hugst!$R$4:$W$4,0))))</f>
        <v>105.50080371770207</v>
      </c>
      <c r="U55">
        <f ca="1">IF($C55-U$1&lt;År1,0,T54*(1-VLOOKUP($A55,[1]Hugst!$R$5:$W$9,MATCH(ROUNDUP((U$1)/10,0)*10,[1]Hugst!$R$4:$W$4,0))))</f>
        <v>105.65449707851479</v>
      </c>
      <c r="V55">
        <f ca="1">IF($C55-V$1&lt;År1,0,U54*(1-VLOOKUP($A55,[1]Hugst!$R$5:$W$9,MATCH(ROUNDUP((V$1)/10,0)*10,[1]Hugst!$R$4:$W$4,0))))</f>
        <v>105.80896276777605</v>
      </c>
      <c r="W55">
        <f ca="1">IF($C55-W$1&lt;År1,0,V54*(1-VLOOKUP($A55,[1]Hugst!$R$5:$W$9,MATCH(ROUNDUP((W$1)/10,0)*10,[1]Hugst!$R$4:$W$4,0))))</f>
        <v>105.96420466652819</v>
      </c>
      <c r="X55">
        <f ca="1">IF($C55-X$1&lt;År1,0,W54*(1-VLOOKUP($A55,[1]Hugst!$R$5:$W$9,MATCH(ROUNDUP((X$1)/10,0)*10,[1]Hugst!$R$4:$W$4,0))))</f>
        <v>106.12022667532625</v>
      </c>
      <c r="Y55">
        <f ca="1">IF($C55-Y$1&lt;År1,0,X54*(1-VLOOKUP($A55,[1]Hugst!$R$5:$W$9,MATCH(ROUNDUP((Y$1)/10,0)*10,[1]Hugst!$R$4:$W$4,0))))</f>
        <v>106.27703271431785</v>
      </c>
      <c r="Z55">
        <f ca="1">IF($C55-Z$1&lt;År1,0,Y54*(1-VLOOKUP($A55,[1]Hugst!$R$5:$W$9,MATCH(ROUNDUP((Z$1)/10,0)*10,[1]Hugst!$R$4:$W$4,0))))</f>
        <v>106.4346267233563</v>
      </c>
      <c r="AA55">
        <f ca="1">IF($C55-AA$1&lt;År1,0,Z54*(1-VLOOKUP($A55,[1]Hugst!$R$5:$W$9,MATCH(ROUNDUP((AA$1)/10,0)*10,[1]Hugst!$R$4:$W$4,0))))</f>
        <v>106.59301266208753</v>
      </c>
      <c r="AB55">
        <f ca="1">IF($C55-AB$1&lt;År1,0,AA54*(1-VLOOKUP($A55,[1]Hugst!$R$5:$W$9,MATCH(ROUNDUP((AB$1)/10,0)*10,[1]Hugst!$R$4:$W$4,0))))</f>
        <v>106.75219451005873</v>
      </c>
      <c r="AC55">
        <f>IF($C55-AC$1&lt;År1,0,AB54*(1-VLOOKUP($A55,[1]Hugst!$R$5:$W$9,MATCH(ROUNDUP((AC$1)/10,0)*10,[1]Hugst!$R$4:$W$4,0))))</f>
        <v>0</v>
      </c>
      <c r="AD55">
        <f>IF($C55-AD$1&lt;År1,0,AC54*(1-VLOOKUP($A55,[1]Hugst!$R$5:$W$9,MATCH(ROUNDUP((AD$1)/10,0)*10,[1]Hugst!$R$4:$W$4,0))))</f>
        <v>0</v>
      </c>
      <c r="AE55">
        <f>IF($C55-AE$1&lt;År1,0,AD54*(1-VLOOKUP($A55,[1]Hugst!$R$5:$W$9,MATCH(ROUNDUP((AE$1)/10,0)*10,[1]Hugst!$R$4:$W$4,0))))</f>
        <v>0</v>
      </c>
      <c r="AF55">
        <f>IF($C55-AF$1&lt;År1,0,AE54*(1-VLOOKUP($A55,[1]Hugst!$R$5:$W$9,MATCH(ROUNDUP((AF$1)/10,0)*10,[1]Hugst!$R$4:$W$4,0))))</f>
        <v>0</v>
      </c>
      <c r="AG55">
        <f>IF($C55-AG$1&lt;År1,0,AF54*(1-VLOOKUP($A55,[1]Hugst!$R$5:$W$9,MATCH(ROUNDUP((AG$1)/10,0)*10,[1]Hugst!$R$4:$W$4,0))))</f>
        <v>0</v>
      </c>
      <c r="AH55">
        <f>IF($C55-AH$1&lt;År1,0,AG54*(1-VLOOKUP($A55,[1]Hugst!$R$5:$W$9,MATCH(ROUNDUP((AH$1)/10,0)*10,[1]Hugst!$R$4:$W$4,0))))</f>
        <v>0</v>
      </c>
      <c r="AI55">
        <f>IF($C55-AI$1&lt;År1,0,AH54*(1-VLOOKUP($A55,[1]Hugst!$R$5:$W$9,MATCH(ROUNDUP((AI$1)/10,0)*10,[1]Hugst!$R$4:$W$4,0))))</f>
        <v>0</v>
      </c>
      <c r="AJ55">
        <f>IF($C55-AJ$1&lt;År1,0,AI54*(1-VLOOKUP($A55,[1]Hugst!$R$5:$W$9,MATCH(ROUNDUP((AJ$1)/10,0)*10,[1]Hugst!$R$4:$W$4,0))))</f>
        <v>0</v>
      </c>
    </row>
    <row r="56" spans="1:38" x14ac:dyDescent="0.25">
      <c r="A56" t="s">
        <v>176</v>
      </c>
      <c r="B56" t="s">
        <v>24</v>
      </c>
      <c r="C56">
        <v>2043</v>
      </c>
      <c r="D56" cm="1">
        <f t="array" ref="D56">(IF(B56="Vestdanmark",Skovbrug!$C$22-(Skovbrug!$C$22)*(1-Skovbrug!$C$9)^(C56-Skovbrug!$B$12),Skovbrug!$F$22-(Skovbrug!$F$22)*(1-Skovbrug!$C$9)^(C56-Skovbrug!$B$12)))*VLOOKUP(A56,Skovbrug!$A$13:$D$17,IF('Skovbrug-alder'!C56&lt;=År2,3,4),FALSE)
-IF(C56&gt;2020,SUM(INDEX($C$1:$D$311,MATCH(1,(2020=$C$1:$C$311)*(B56=$B$1:$B$311)*(A56=$A$1:$A$311),0),2):D55),0)</f>
        <v>28.369677248587664</v>
      </c>
      <c r="E56">
        <f t="shared" ca="1" si="0"/>
        <v>0</v>
      </c>
      <c r="F56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69.573380952291387</v>
      </c>
      <c r="G56">
        <f ca="1">IF($C56-G$1&lt;År1,0,F55*(1-VLOOKUP($A56,[1]Hugst!$R$5:$W$9,MATCH(ROUNDUP((G$1)/10,0)*10,[1]Hugst!$R$4:$W$4,0))))</f>
        <v>69.715942144495131</v>
      </c>
      <c r="H56">
        <f ca="1">IF($C56-H$1&lt;År1,0,G55*(1-VLOOKUP($A56,[1]Hugst!$R$5:$W$9,MATCH(ROUNDUP((H$1)/10,0)*10,[1]Hugst!$R$4:$W$4,0))))</f>
        <v>69.859219724599853</v>
      </c>
      <c r="I56">
        <f ca="1">IF($C56-I$1&lt;År1,0,H55*(1-VLOOKUP($A56,[1]Hugst!$R$5:$W$9,MATCH(ROUNDUP((I$1)/10,0)*10,[1]Hugst!$R$4:$W$4,0))))</f>
        <v>70.003217292543724</v>
      </c>
      <c r="J56">
        <f ca="1">IF($C56-J$1&lt;År1,0,I55*(1-VLOOKUP($A56,[1]Hugst!$R$5:$W$9,MATCH(ROUNDUP((J$1)/10,0)*10,[1]Hugst!$R$4:$W$4,0))))</f>
        <v>70.147938466356578</v>
      </c>
      <c r="K56">
        <f ca="1">IF($C56-K$1&lt;År1,0,J55*(1-VLOOKUP($A56,[1]Hugst!$R$5:$W$9,MATCH(ROUNDUP((K$1)/10,0)*10,[1]Hugst!$R$4:$W$4,0))))</f>
        <v>70.293386882250417</v>
      </c>
      <c r="L56">
        <f ca="1">IF($C56-L$1&lt;År1,0,K55*(1-VLOOKUP($A56,[1]Hugst!$R$5:$W$9,MATCH(ROUNDUP((L$1)/10,0)*10,[1]Hugst!$R$4:$W$4,0))))</f>
        <v>70.439566194704895</v>
      </c>
      <c r="M56">
        <f ca="1">IF($C56-M$1&lt;År1,0,L55*(1-VLOOKUP($A56,[1]Hugst!$R$5:$W$9,MATCH(ROUNDUP((M$1)/10,0)*10,[1]Hugst!$R$4:$W$4,0))))</f>
        <v>70.586480076568961</v>
      </c>
      <c r="N56">
        <f ca="1">IF($C56-N$1&lt;År1,0,M55*(1-VLOOKUP($A56,[1]Hugst!$R$5:$W$9,MATCH(ROUNDUP((N$1)/10,0)*10,[1]Hugst!$R$4:$W$4,0))))</f>
        <v>70.734132219146801</v>
      </c>
      <c r="O56">
        <f ca="1">IF($C56-O$1&lt;År1,0,N55*(1-VLOOKUP($A56,[1]Hugst!$R$5:$W$9,MATCH(ROUNDUP((O$1)/10,0)*10,[1]Hugst!$R$4:$W$4,0))))</f>
        <v>70.882526332289189</v>
      </c>
      <c r="P56">
        <f ca="1">IF($C56-P$1&lt;År1,0,O55*(1-VLOOKUP($A56,[1]Hugst!$R$5:$W$9,MATCH(ROUNDUP((P$1)/10,0)*10,[1]Hugst!$R$4:$W$4,0))))</f>
        <v>71.031666144492959</v>
      </c>
      <c r="Q56">
        <f ca="1">IF($C56-Q$1&lt;År1,0,P55*(1-VLOOKUP($A56,[1]Hugst!$R$5:$W$9,MATCH(ROUNDUP((Q$1)/10,0)*10,[1]Hugst!$R$4:$W$4,0))))</f>
        <v>71.181555402989858</v>
      </c>
      <c r="R56">
        <f ca="1">IF($C56-R$1&lt;År1,0,Q55*(1-VLOOKUP($A56,[1]Hugst!$R$5:$W$9,MATCH(ROUNDUP((R$1)/10,0)*10,[1]Hugst!$R$4:$W$4,0))))</f>
        <v>71.332197873839419</v>
      </c>
      <c r="S56">
        <f ca="1">IF($C56-S$1&lt;År1,0,R55*(1-VLOOKUP($A56,[1]Hugst!$R$5:$W$9,MATCH(ROUNDUP((S$1)/10,0)*10,[1]Hugst!$R$4:$W$4,0))))</f>
        <v>105.19571855415381</v>
      </c>
      <c r="T56">
        <f ca="1">IF($C56-T$1&lt;År1,0,S55*(1-VLOOKUP($A56,[1]Hugst!$R$5:$W$9,MATCH(ROUNDUP((T$1)/10,0)*10,[1]Hugst!$R$4:$W$4,0))))</f>
        <v>105.34787882369238</v>
      </c>
      <c r="U56">
        <f ca="1">IF($C56-U$1&lt;År1,0,T55*(1-VLOOKUP($A56,[1]Hugst!$R$5:$W$9,MATCH(ROUNDUP((U$1)/10,0)*10,[1]Hugst!$R$4:$W$4,0))))</f>
        <v>105.50080371770207</v>
      </c>
      <c r="V56">
        <f ca="1">IF($C56-V$1&lt;År1,0,U55*(1-VLOOKUP($A56,[1]Hugst!$R$5:$W$9,MATCH(ROUNDUP((V$1)/10,0)*10,[1]Hugst!$R$4:$W$4,0))))</f>
        <v>105.65449707851479</v>
      </c>
      <c r="W56">
        <f ca="1">IF($C56-W$1&lt;År1,0,V55*(1-VLOOKUP($A56,[1]Hugst!$R$5:$W$9,MATCH(ROUNDUP((W$1)/10,0)*10,[1]Hugst!$R$4:$W$4,0))))</f>
        <v>105.80896276777605</v>
      </c>
      <c r="X56">
        <f ca="1">IF($C56-X$1&lt;År1,0,W55*(1-VLOOKUP($A56,[1]Hugst!$R$5:$W$9,MATCH(ROUNDUP((X$1)/10,0)*10,[1]Hugst!$R$4:$W$4,0))))</f>
        <v>105.96420466652819</v>
      </c>
      <c r="Y56">
        <f ca="1">IF($C56-Y$1&lt;År1,0,X55*(1-VLOOKUP($A56,[1]Hugst!$R$5:$W$9,MATCH(ROUNDUP((Y$1)/10,0)*10,[1]Hugst!$R$4:$W$4,0))))</f>
        <v>106.12022667532625</v>
      </c>
      <c r="Z56">
        <f ca="1">IF($C56-Z$1&lt;År1,0,Y55*(1-VLOOKUP($A56,[1]Hugst!$R$5:$W$9,MATCH(ROUNDUP((Z$1)/10,0)*10,[1]Hugst!$R$4:$W$4,0))))</f>
        <v>106.27703271431785</v>
      </c>
      <c r="AA56">
        <f ca="1">IF($C56-AA$1&lt;År1,0,Z55*(1-VLOOKUP($A56,[1]Hugst!$R$5:$W$9,MATCH(ROUNDUP((AA$1)/10,0)*10,[1]Hugst!$R$4:$W$4,0))))</f>
        <v>106.4346267233563</v>
      </c>
      <c r="AB56">
        <f ca="1">IF($C56-AB$1&lt;År1,0,AA55*(1-VLOOKUP($A56,[1]Hugst!$R$5:$W$9,MATCH(ROUNDUP((AB$1)/10,0)*10,[1]Hugst!$R$4:$W$4,0))))</f>
        <v>106.59301266208753</v>
      </c>
      <c r="AC56">
        <f ca="1">IF($C56-AC$1&lt;År1,0,AB55*(1-VLOOKUP($A56,[1]Hugst!$R$5:$W$9,MATCH(ROUNDUP((AC$1)/10,0)*10,[1]Hugst!$R$4:$W$4,0))))</f>
        <v>106.75219451005873</v>
      </c>
      <c r="AD56">
        <f>IF($C56-AD$1&lt;År1,0,AC55*(1-VLOOKUP($A56,[1]Hugst!$R$5:$W$9,MATCH(ROUNDUP((AD$1)/10,0)*10,[1]Hugst!$R$4:$W$4,0))))</f>
        <v>0</v>
      </c>
      <c r="AE56">
        <f>IF($C56-AE$1&lt;År1,0,AD55*(1-VLOOKUP($A56,[1]Hugst!$R$5:$W$9,MATCH(ROUNDUP((AE$1)/10,0)*10,[1]Hugst!$R$4:$W$4,0))))</f>
        <v>0</v>
      </c>
      <c r="AF56">
        <f>IF($C56-AF$1&lt;År1,0,AE55*(1-VLOOKUP($A56,[1]Hugst!$R$5:$W$9,MATCH(ROUNDUP((AF$1)/10,0)*10,[1]Hugst!$R$4:$W$4,0))))</f>
        <v>0</v>
      </c>
      <c r="AG56">
        <f>IF($C56-AG$1&lt;År1,0,AF55*(1-VLOOKUP($A56,[1]Hugst!$R$5:$W$9,MATCH(ROUNDUP((AG$1)/10,0)*10,[1]Hugst!$R$4:$W$4,0))))</f>
        <v>0</v>
      </c>
      <c r="AH56">
        <f>IF($C56-AH$1&lt;År1,0,AG55*(1-VLOOKUP($A56,[1]Hugst!$R$5:$W$9,MATCH(ROUNDUP((AH$1)/10,0)*10,[1]Hugst!$R$4:$W$4,0))))</f>
        <v>0</v>
      </c>
      <c r="AI56">
        <f>IF($C56-AI$1&lt;År1,0,AH55*(1-VLOOKUP($A56,[1]Hugst!$R$5:$W$9,MATCH(ROUNDUP((AI$1)/10,0)*10,[1]Hugst!$R$4:$W$4,0))))</f>
        <v>0</v>
      </c>
      <c r="AJ56">
        <f>IF($C56-AJ$1&lt;År1,0,AI55*(1-VLOOKUP($A56,[1]Hugst!$R$5:$W$9,MATCH(ROUNDUP((AJ$1)/10,0)*10,[1]Hugst!$R$4:$W$4,0))))</f>
        <v>0</v>
      </c>
    </row>
    <row r="57" spans="1:38" x14ac:dyDescent="0.25">
      <c r="A57" t="s">
        <v>176</v>
      </c>
      <c r="B57" t="s">
        <v>24</v>
      </c>
      <c r="C57">
        <v>2044</v>
      </c>
      <c r="D57" cm="1">
        <f t="array" ref="D57">(IF(B57="Vestdanmark",Skovbrug!$C$22-(Skovbrug!$C$22)*(1-Skovbrug!$C$9)^(C57-Skovbrug!$B$12),Skovbrug!$F$22-(Skovbrug!$F$22)*(1-Skovbrug!$C$9)^(C57-Skovbrug!$B$12)))*VLOOKUP(A57,Skovbrug!$A$13:$D$17,IF('Skovbrug-alder'!C57&lt;=År2,3,4),FALSE)
-IF(C57&gt;2020,SUM(INDEX($C$1:$D$311,MATCH(1,(2020=$C$1:$C$311)*(B57=$B$1:$B$311)*(A57=$A$1:$A$311),0),2):D56),0)</f>
        <v>28.227828862344154</v>
      </c>
      <c r="E57">
        <f t="shared" ca="1" si="0"/>
        <v>0</v>
      </c>
      <c r="F57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69.431532566047878</v>
      </c>
      <c r="G57">
        <f ca="1">IF($C57-G$1&lt;År1,0,F56*(1-VLOOKUP($A57,[1]Hugst!$R$5:$W$9,MATCH(ROUNDUP((G$1)/10,0)*10,[1]Hugst!$R$4:$W$4,0))))</f>
        <v>69.573380952291387</v>
      </c>
      <c r="H57">
        <f ca="1">IF($C57-H$1&lt;År1,0,G56*(1-VLOOKUP($A57,[1]Hugst!$R$5:$W$9,MATCH(ROUNDUP((H$1)/10,0)*10,[1]Hugst!$R$4:$W$4,0))))</f>
        <v>69.715942144495131</v>
      </c>
      <c r="I57">
        <f ca="1">IF($C57-I$1&lt;År1,0,H56*(1-VLOOKUP($A57,[1]Hugst!$R$5:$W$9,MATCH(ROUNDUP((I$1)/10,0)*10,[1]Hugst!$R$4:$W$4,0))))</f>
        <v>69.859219724599853</v>
      </c>
      <c r="J57">
        <f ca="1">IF($C57-J$1&lt;År1,0,I56*(1-VLOOKUP($A57,[1]Hugst!$R$5:$W$9,MATCH(ROUNDUP((J$1)/10,0)*10,[1]Hugst!$R$4:$W$4,0))))</f>
        <v>70.003217292543724</v>
      </c>
      <c r="K57">
        <f ca="1">IF($C57-K$1&lt;År1,0,J56*(1-VLOOKUP($A57,[1]Hugst!$R$5:$W$9,MATCH(ROUNDUP((K$1)/10,0)*10,[1]Hugst!$R$4:$W$4,0))))</f>
        <v>70.147938466356578</v>
      </c>
      <c r="L57">
        <f ca="1">IF($C57-L$1&lt;År1,0,K56*(1-VLOOKUP($A57,[1]Hugst!$R$5:$W$9,MATCH(ROUNDUP((L$1)/10,0)*10,[1]Hugst!$R$4:$W$4,0))))</f>
        <v>70.293386882250417</v>
      </c>
      <c r="M57">
        <f ca="1">IF($C57-M$1&lt;År1,0,L56*(1-VLOOKUP($A57,[1]Hugst!$R$5:$W$9,MATCH(ROUNDUP((M$1)/10,0)*10,[1]Hugst!$R$4:$W$4,0))))</f>
        <v>70.439566194704895</v>
      </c>
      <c r="N57">
        <f ca="1">IF($C57-N$1&lt;År1,0,M56*(1-VLOOKUP($A57,[1]Hugst!$R$5:$W$9,MATCH(ROUNDUP((N$1)/10,0)*10,[1]Hugst!$R$4:$W$4,0))))</f>
        <v>70.586480076568961</v>
      </c>
      <c r="O57">
        <f ca="1">IF($C57-O$1&lt;År1,0,N56*(1-VLOOKUP($A57,[1]Hugst!$R$5:$W$9,MATCH(ROUNDUP((O$1)/10,0)*10,[1]Hugst!$R$4:$W$4,0))))</f>
        <v>70.734132219146801</v>
      </c>
      <c r="P57">
        <f ca="1">IF($C57-P$1&lt;År1,0,O56*(1-VLOOKUP($A57,[1]Hugst!$R$5:$W$9,MATCH(ROUNDUP((P$1)/10,0)*10,[1]Hugst!$R$4:$W$4,0))))</f>
        <v>70.882526332289189</v>
      </c>
      <c r="Q57">
        <f ca="1">IF($C57-Q$1&lt;År1,0,P56*(1-VLOOKUP($A57,[1]Hugst!$R$5:$W$9,MATCH(ROUNDUP((Q$1)/10,0)*10,[1]Hugst!$R$4:$W$4,0))))</f>
        <v>71.031666144492959</v>
      </c>
      <c r="R57">
        <f ca="1">IF($C57-R$1&lt;År1,0,Q56*(1-VLOOKUP($A57,[1]Hugst!$R$5:$W$9,MATCH(ROUNDUP((R$1)/10,0)*10,[1]Hugst!$R$4:$W$4,0))))</f>
        <v>71.181555402989858</v>
      </c>
      <c r="S57">
        <f ca="1">IF($C57-S$1&lt;År1,0,R56*(1-VLOOKUP($A57,[1]Hugst!$R$5:$W$9,MATCH(ROUNDUP((S$1)/10,0)*10,[1]Hugst!$R$4:$W$4,0))))</f>
        <v>71.332197873839419</v>
      </c>
      <c r="T57">
        <f ca="1">IF($C57-T$1&lt;År1,0,S56*(1-VLOOKUP($A57,[1]Hugst!$R$5:$W$9,MATCH(ROUNDUP((T$1)/10,0)*10,[1]Hugst!$R$4:$W$4,0))))</f>
        <v>105.19571855415381</v>
      </c>
      <c r="U57">
        <f ca="1">IF($C57-U$1&lt;År1,0,T56*(1-VLOOKUP($A57,[1]Hugst!$R$5:$W$9,MATCH(ROUNDUP((U$1)/10,0)*10,[1]Hugst!$R$4:$W$4,0))))</f>
        <v>105.34787882369238</v>
      </c>
      <c r="V57">
        <f ca="1">IF($C57-V$1&lt;År1,0,U56*(1-VLOOKUP($A57,[1]Hugst!$R$5:$W$9,MATCH(ROUNDUP((V$1)/10,0)*10,[1]Hugst!$R$4:$W$4,0))))</f>
        <v>105.50080371770207</v>
      </c>
      <c r="W57">
        <f ca="1">IF($C57-W$1&lt;År1,0,V56*(1-VLOOKUP($A57,[1]Hugst!$R$5:$W$9,MATCH(ROUNDUP((W$1)/10,0)*10,[1]Hugst!$R$4:$W$4,0))))</f>
        <v>105.65449707851479</v>
      </c>
      <c r="X57">
        <f ca="1">IF($C57-X$1&lt;År1,0,W56*(1-VLOOKUP($A57,[1]Hugst!$R$5:$W$9,MATCH(ROUNDUP((X$1)/10,0)*10,[1]Hugst!$R$4:$W$4,0))))</f>
        <v>105.80896276777605</v>
      </c>
      <c r="Y57">
        <f ca="1">IF($C57-Y$1&lt;År1,0,X56*(1-VLOOKUP($A57,[1]Hugst!$R$5:$W$9,MATCH(ROUNDUP((Y$1)/10,0)*10,[1]Hugst!$R$4:$W$4,0))))</f>
        <v>105.96420466652819</v>
      </c>
      <c r="Z57">
        <f ca="1">IF($C57-Z$1&lt;År1,0,Y56*(1-VLOOKUP($A57,[1]Hugst!$R$5:$W$9,MATCH(ROUNDUP((Z$1)/10,0)*10,[1]Hugst!$R$4:$W$4,0))))</f>
        <v>106.12022667532625</v>
      </c>
      <c r="AA57">
        <f ca="1">IF($C57-AA$1&lt;År1,0,Z56*(1-VLOOKUP($A57,[1]Hugst!$R$5:$W$9,MATCH(ROUNDUP((AA$1)/10,0)*10,[1]Hugst!$R$4:$W$4,0))))</f>
        <v>106.27703271431785</v>
      </c>
      <c r="AB57">
        <f ca="1">IF($C57-AB$1&lt;År1,0,AA56*(1-VLOOKUP($A57,[1]Hugst!$R$5:$W$9,MATCH(ROUNDUP((AB$1)/10,0)*10,[1]Hugst!$R$4:$W$4,0))))</f>
        <v>106.4346267233563</v>
      </c>
      <c r="AC57">
        <f ca="1">IF($C57-AC$1&lt;År1,0,AB56*(1-VLOOKUP($A57,[1]Hugst!$R$5:$W$9,MATCH(ROUNDUP((AC$1)/10,0)*10,[1]Hugst!$R$4:$W$4,0))))</f>
        <v>106.59301266208753</v>
      </c>
      <c r="AD57">
        <f ca="1">IF($C57-AD$1&lt;År1,0,AC56*(1-VLOOKUP($A57,[1]Hugst!$R$5:$W$9,MATCH(ROUNDUP((AD$1)/10,0)*10,[1]Hugst!$R$4:$W$4,0))))</f>
        <v>106.75219451005873</v>
      </c>
      <c r="AE57">
        <f>IF($C57-AE$1&lt;År1,0,AD56*(1-VLOOKUP($A57,[1]Hugst!$R$5:$W$9,MATCH(ROUNDUP((AE$1)/10,0)*10,[1]Hugst!$R$4:$W$4,0))))</f>
        <v>0</v>
      </c>
      <c r="AF57">
        <f>IF($C57-AF$1&lt;År1,0,AE56*(1-VLOOKUP($A57,[1]Hugst!$R$5:$W$9,MATCH(ROUNDUP((AF$1)/10,0)*10,[1]Hugst!$R$4:$W$4,0))))</f>
        <v>0</v>
      </c>
      <c r="AG57">
        <f>IF($C57-AG$1&lt;År1,0,AF56*(1-VLOOKUP($A57,[1]Hugst!$R$5:$W$9,MATCH(ROUNDUP((AG$1)/10,0)*10,[1]Hugst!$R$4:$W$4,0))))</f>
        <v>0</v>
      </c>
      <c r="AH57">
        <f>IF($C57-AH$1&lt;År1,0,AG56*(1-VLOOKUP($A57,[1]Hugst!$R$5:$W$9,MATCH(ROUNDUP((AH$1)/10,0)*10,[1]Hugst!$R$4:$W$4,0))))</f>
        <v>0</v>
      </c>
      <c r="AI57">
        <f>IF($C57-AI$1&lt;År1,0,AH56*(1-VLOOKUP($A57,[1]Hugst!$R$5:$W$9,MATCH(ROUNDUP((AI$1)/10,0)*10,[1]Hugst!$R$4:$W$4,0))))</f>
        <v>0</v>
      </c>
      <c r="AJ57">
        <f>IF($C57-AJ$1&lt;År1,0,AI56*(1-VLOOKUP($A57,[1]Hugst!$R$5:$W$9,MATCH(ROUNDUP((AJ$1)/10,0)*10,[1]Hugst!$R$4:$W$4,0))))</f>
        <v>0</v>
      </c>
    </row>
    <row r="58" spans="1:38" x14ac:dyDescent="0.25">
      <c r="A58" t="s">
        <v>176</v>
      </c>
      <c r="B58" t="s">
        <v>24</v>
      </c>
      <c r="C58">
        <v>2045</v>
      </c>
      <c r="D58" cm="1">
        <f t="array" ref="D58">(IF(B58="Vestdanmark",Skovbrug!$C$22-(Skovbrug!$C$22)*(1-Skovbrug!$C$9)^(C58-Skovbrug!$B$12),Skovbrug!$F$22-(Skovbrug!$F$22)*(1-Skovbrug!$C$9)^(C58-Skovbrug!$B$12)))*VLOOKUP(A58,Skovbrug!$A$13:$D$17,IF('Skovbrug-alder'!C58&lt;=År2,3,4),FALSE)
-IF(C58&gt;2020,SUM(INDEX($C$1:$D$311,MATCH(1,(2020=$C$1:$C$311)*(B58=$B$1:$B$311)*(A58=$A$1:$A$311),0),2):D57),0)</f>
        <v>28.086689718032744</v>
      </c>
      <c r="E58">
        <f t="shared" ca="1" si="0"/>
        <v>0</v>
      </c>
      <c r="F5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69.290393421736468</v>
      </c>
      <c r="G58">
        <f ca="1">IF($C58-G$1&lt;År1,0,F57*(1-VLOOKUP($A58,[1]Hugst!$R$5:$W$9,MATCH(ROUNDUP((G$1)/10,0)*10,[1]Hugst!$R$4:$W$4,0))))</f>
        <v>69.431532566047878</v>
      </c>
      <c r="H58">
        <f ca="1">IF($C58-H$1&lt;År1,0,G57*(1-VLOOKUP($A58,[1]Hugst!$R$5:$W$9,MATCH(ROUNDUP((H$1)/10,0)*10,[1]Hugst!$R$4:$W$4,0))))</f>
        <v>69.573380952291387</v>
      </c>
      <c r="I58">
        <f ca="1">IF($C58-I$1&lt;År1,0,H57*(1-VLOOKUP($A58,[1]Hugst!$R$5:$W$9,MATCH(ROUNDUP((I$1)/10,0)*10,[1]Hugst!$R$4:$W$4,0))))</f>
        <v>69.715942144495131</v>
      </c>
      <c r="J58">
        <f ca="1">IF($C58-J$1&lt;År1,0,I57*(1-VLOOKUP($A58,[1]Hugst!$R$5:$W$9,MATCH(ROUNDUP((J$1)/10,0)*10,[1]Hugst!$R$4:$W$4,0))))</f>
        <v>69.859219724599853</v>
      </c>
      <c r="K58">
        <f ca="1">IF($C58-K$1&lt;År1,0,J57*(1-VLOOKUP($A58,[1]Hugst!$R$5:$W$9,MATCH(ROUNDUP((K$1)/10,0)*10,[1]Hugst!$R$4:$W$4,0))))</f>
        <v>70.003217292543724</v>
      </c>
      <c r="L58">
        <f ca="1">IF($C58-L$1&lt;År1,0,K57*(1-VLOOKUP($A58,[1]Hugst!$R$5:$W$9,MATCH(ROUNDUP((L$1)/10,0)*10,[1]Hugst!$R$4:$W$4,0))))</f>
        <v>70.147938466356578</v>
      </c>
      <c r="M58">
        <f ca="1">IF($C58-M$1&lt;År1,0,L57*(1-VLOOKUP($A58,[1]Hugst!$R$5:$W$9,MATCH(ROUNDUP((M$1)/10,0)*10,[1]Hugst!$R$4:$W$4,0))))</f>
        <v>70.293386882250417</v>
      </c>
      <c r="N58">
        <f ca="1">IF($C58-N$1&lt;År1,0,M57*(1-VLOOKUP($A58,[1]Hugst!$R$5:$W$9,MATCH(ROUNDUP((N$1)/10,0)*10,[1]Hugst!$R$4:$W$4,0))))</f>
        <v>70.439566194704895</v>
      </c>
      <c r="O58">
        <f ca="1">IF($C58-O$1&lt;År1,0,N57*(1-VLOOKUP($A58,[1]Hugst!$R$5:$W$9,MATCH(ROUNDUP((O$1)/10,0)*10,[1]Hugst!$R$4:$W$4,0))))</f>
        <v>70.586480076568961</v>
      </c>
      <c r="P58">
        <f ca="1">IF($C58-P$1&lt;År1,0,O57*(1-VLOOKUP($A58,[1]Hugst!$R$5:$W$9,MATCH(ROUNDUP((P$1)/10,0)*10,[1]Hugst!$R$4:$W$4,0))))</f>
        <v>70.734132219146801</v>
      </c>
      <c r="Q58">
        <f ca="1">IF($C58-Q$1&lt;År1,0,P57*(1-VLOOKUP($A58,[1]Hugst!$R$5:$W$9,MATCH(ROUNDUP((Q$1)/10,0)*10,[1]Hugst!$R$4:$W$4,0))))</f>
        <v>70.882526332289189</v>
      </c>
      <c r="R58">
        <f ca="1">IF($C58-R$1&lt;År1,0,Q57*(1-VLOOKUP($A58,[1]Hugst!$R$5:$W$9,MATCH(ROUNDUP((R$1)/10,0)*10,[1]Hugst!$R$4:$W$4,0))))</f>
        <v>71.031666144492959</v>
      </c>
      <c r="S58">
        <f ca="1">IF($C58-S$1&lt;År1,0,R57*(1-VLOOKUP($A58,[1]Hugst!$R$5:$W$9,MATCH(ROUNDUP((S$1)/10,0)*10,[1]Hugst!$R$4:$W$4,0))))</f>
        <v>71.181555402989858</v>
      </c>
      <c r="T58">
        <f ca="1">IF($C58-T$1&lt;År1,0,S57*(1-VLOOKUP($A58,[1]Hugst!$R$5:$W$9,MATCH(ROUNDUP((T$1)/10,0)*10,[1]Hugst!$R$4:$W$4,0))))</f>
        <v>71.332197873839419</v>
      </c>
      <c r="U58">
        <f ca="1">IF($C58-U$1&lt;År1,0,T57*(1-VLOOKUP($A58,[1]Hugst!$R$5:$W$9,MATCH(ROUNDUP((U$1)/10,0)*10,[1]Hugst!$R$4:$W$4,0))))</f>
        <v>105.19571855415381</v>
      </c>
      <c r="V58">
        <f ca="1">IF($C58-V$1&lt;År1,0,U57*(1-VLOOKUP($A58,[1]Hugst!$R$5:$W$9,MATCH(ROUNDUP((V$1)/10,0)*10,[1]Hugst!$R$4:$W$4,0))))</f>
        <v>105.34787882369238</v>
      </c>
      <c r="W58">
        <f ca="1">IF($C58-W$1&lt;År1,0,V57*(1-VLOOKUP($A58,[1]Hugst!$R$5:$W$9,MATCH(ROUNDUP((W$1)/10,0)*10,[1]Hugst!$R$4:$W$4,0))))</f>
        <v>105.50080371770207</v>
      </c>
      <c r="X58">
        <f ca="1">IF($C58-X$1&lt;År1,0,W57*(1-VLOOKUP($A58,[1]Hugst!$R$5:$W$9,MATCH(ROUNDUP((X$1)/10,0)*10,[1]Hugst!$R$4:$W$4,0))))</f>
        <v>105.65449707851479</v>
      </c>
      <c r="Y58">
        <f ca="1">IF($C58-Y$1&lt;År1,0,X57*(1-VLOOKUP($A58,[1]Hugst!$R$5:$W$9,MATCH(ROUNDUP((Y$1)/10,0)*10,[1]Hugst!$R$4:$W$4,0))))</f>
        <v>105.80896276777605</v>
      </c>
      <c r="Z58">
        <f ca="1">IF($C58-Z$1&lt;År1,0,Y57*(1-VLOOKUP($A58,[1]Hugst!$R$5:$W$9,MATCH(ROUNDUP((Z$1)/10,0)*10,[1]Hugst!$R$4:$W$4,0))))</f>
        <v>105.96420466652819</v>
      </c>
      <c r="AA58">
        <f ca="1">IF($C58-AA$1&lt;År1,0,Z57*(1-VLOOKUP($A58,[1]Hugst!$R$5:$W$9,MATCH(ROUNDUP((AA$1)/10,0)*10,[1]Hugst!$R$4:$W$4,0))))</f>
        <v>106.12022667532625</v>
      </c>
      <c r="AB58">
        <f ca="1">IF($C58-AB$1&lt;År1,0,AA57*(1-VLOOKUP($A58,[1]Hugst!$R$5:$W$9,MATCH(ROUNDUP((AB$1)/10,0)*10,[1]Hugst!$R$4:$W$4,0))))</f>
        <v>106.27703271431785</v>
      </c>
      <c r="AC58">
        <f ca="1">IF($C58-AC$1&lt;År1,0,AB57*(1-VLOOKUP($A58,[1]Hugst!$R$5:$W$9,MATCH(ROUNDUP((AC$1)/10,0)*10,[1]Hugst!$R$4:$W$4,0))))</f>
        <v>106.4346267233563</v>
      </c>
      <c r="AD58">
        <f ca="1">IF($C58-AD$1&lt;År1,0,AC57*(1-VLOOKUP($A58,[1]Hugst!$R$5:$W$9,MATCH(ROUNDUP((AD$1)/10,0)*10,[1]Hugst!$R$4:$W$4,0))))</f>
        <v>106.59301266208753</v>
      </c>
      <c r="AE58">
        <f ca="1">IF($C58-AE$1&lt;År1,0,AD57*(1-VLOOKUP($A58,[1]Hugst!$R$5:$W$9,MATCH(ROUNDUP((AE$1)/10,0)*10,[1]Hugst!$R$4:$W$4,0))))</f>
        <v>106.75219451005873</v>
      </c>
      <c r="AF58">
        <f>IF($C58-AF$1&lt;År1,0,AE57*(1-VLOOKUP($A58,[1]Hugst!$R$5:$W$9,MATCH(ROUNDUP((AF$1)/10,0)*10,[1]Hugst!$R$4:$W$4,0))))</f>
        <v>0</v>
      </c>
      <c r="AG58">
        <f>IF($C58-AG$1&lt;År1,0,AF57*(1-VLOOKUP($A58,[1]Hugst!$R$5:$W$9,MATCH(ROUNDUP((AG$1)/10,0)*10,[1]Hugst!$R$4:$W$4,0))))</f>
        <v>0</v>
      </c>
      <c r="AH58">
        <f>IF($C58-AH$1&lt;År1,0,AG57*(1-VLOOKUP($A58,[1]Hugst!$R$5:$W$9,MATCH(ROUNDUP((AH$1)/10,0)*10,[1]Hugst!$R$4:$W$4,0))))</f>
        <v>0</v>
      </c>
      <c r="AI58">
        <f>IF($C58-AI$1&lt;År1,0,AH57*(1-VLOOKUP($A58,[1]Hugst!$R$5:$W$9,MATCH(ROUNDUP((AI$1)/10,0)*10,[1]Hugst!$R$4:$W$4,0))))</f>
        <v>0</v>
      </c>
      <c r="AJ58">
        <f>IF($C58-AJ$1&lt;År1,0,AI57*(1-VLOOKUP($A58,[1]Hugst!$R$5:$W$9,MATCH(ROUNDUP((AJ$1)/10,0)*10,[1]Hugst!$R$4:$W$4,0))))</f>
        <v>0</v>
      </c>
    </row>
    <row r="59" spans="1:38" x14ac:dyDescent="0.25">
      <c r="A59" t="s">
        <v>176</v>
      </c>
      <c r="B59" t="s">
        <v>24</v>
      </c>
      <c r="C59">
        <v>2046</v>
      </c>
      <c r="D59" cm="1">
        <f t="array" ref="D59">(IF(B59="Vestdanmark",Skovbrug!$C$22-(Skovbrug!$C$22)*(1-Skovbrug!$C$9)^(C59-Skovbrug!$B$12),Skovbrug!$F$22-(Skovbrug!$F$22)*(1-Skovbrug!$C$9)^(C59-Skovbrug!$B$12)))*VLOOKUP(A59,Skovbrug!$A$13:$D$17,IF('Skovbrug-alder'!C59&lt;=År2,3,4),FALSE)
-IF(C59&gt;2020,SUM(INDEX($C$1:$D$311,MATCH(1,(2020=$C$1:$C$311)*(B59=$B$1:$B$311)*(A59=$A$1:$A$311),0),2):D58),0)</f>
        <v>27.946256269443325</v>
      </c>
      <c r="E59">
        <f t="shared" ca="1" si="0"/>
        <v>0</v>
      </c>
      <c r="F59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69.149959973147048</v>
      </c>
      <c r="G59">
        <f ca="1">IF($C59-G$1&lt;År1,0,F58*(1-VLOOKUP($A59,[1]Hugst!$R$5:$W$9,MATCH(ROUNDUP((G$1)/10,0)*10,[1]Hugst!$R$4:$W$4,0))))</f>
        <v>69.290393421736468</v>
      </c>
      <c r="H59">
        <f ca="1">IF($C59-H$1&lt;År1,0,G58*(1-VLOOKUP($A59,[1]Hugst!$R$5:$W$9,MATCH(ROUNDUP((H$1)/10,0)*10,[1]Hugst!$R$4:$W$4,0))))</f>
        <v>69.431532566047878</v>
      </c>
      <c r="I59">
        <f ca="1">IF($C59-I$1&lt;År1,0,H58*(1-VLOOKUP($A59,[1]Hugst!$R$5:$W$9,MATCH(ROUNDUP((I$1)/10,0)*10,[1]Hugst!$R$4:$W$4,0))))</f>
        <v>69.573380952291387</v>
      </c>
      <c r="J59">
        <f ca="1">IF($C59-J$1&lt;År1,0,I58*(1-VLOOKUP($A59,[1]Hugst!$R$5:$W$9,MATCH(ROUNDUP((J$1)/10,0)*10,[1]Hugst!$R$4:$W$4,0))))</f>
        <v>69.715942144495131</v>
      </c>
      <c r="K59">
        <f ca="1">IF($C59-K$1&lt;År1,0,J58*(1-VLOOKUP($A59,[1]Hugst!$R$5:$W$9,MATCH(ROUNDUP((K$1)/10,0)*10,[1]Hugst!$R$4:$W$4,0))))</f>
        <v>69.859219724599853</v>
      </c>
      <c r="L59">
        <f ca="1">IF($C59-L$1&lt;År1,0,K58*(1-VLOOKUP($A59,[1]Hugst!$R$5:$W$9,MATCH(ROUNDUP((L$1)/10,0)*10,[1]Hugst!$R$4:$W$4,0))))</f>
        <v>70.003217292543724</v>
      </c>
      <c r="M59">
        <f ca="1">IF($C59-M$1&lt;År1,0,L58*(1-VLOOKUP($A59,[1]Hugst!$R$5:$W$9,MATCH(ROUNDUP((M$1)/10,0)*10,[1]Hugst!$R$4:$W$4,0))))</f>
        <v>70.147938466356578</v>
      </c>
      <c r="N59">
        <f ca="1">IF($C59-N$1&lt;År1,0,M58*(1-VLOOKUP($A59,[1]Hugst!$R$5:$W$9,MATCH(ROUNDUP((N$1)/10,0)*10,[1]Hugst!$R$4:$W$4,0))))</f>
        <v>70.293386882250417</v>
      </c>
      <c r="O59">
        <f ca="1">IF($C59-O$1&lt;År1,0,N58*(1-VLOOKUP($A59,[1]Hugst!$R$5:$W$9,MATCH(ROUNDUP((O$1)/10,0)*10,[1]Hugst!$R$4:$W$4,0))))</f>
        <v>70.439566194704895</v>
      </c>
      <c r="P59">
        <f ca="1">IF($C59-P$1&lt;År1,0,O58*(1-VLOOKUP($A59,[1]Hugst!$R$5:$W$9,MATCH(ROUNDUP((P$1)/10,0)*10,[1]Hugst!$R$4:$W$4,0))))</f>
        <v>70.586480076568961</v>
      </c>
      <c r="Q59">
        <f ca="1">IF($C59-Q$1&lt;År1,0,P58*(1-VLOOKUP($A59,[1]Hugst!$R$5:$W$9,MATCH(ROUNDUP((Q$1)/10,0)*10,[1]Hugst!$R$4:$W$4,0))))</f>
        <v>70.734132219146801</v>
      </c>
      <c r="R59">
        <f ca="1">IF($C59-R$1&lt;År1,0,Q58*(1-VLOOKUP($A59,[1]Hugst!$R$5:$W$9,MATCH(ROUNDUP((R$1)/10,0)*10,[1]Hugst!$R$4:$W$4,0))))</f>
        <v>70.882526332289189</v>
      </c>
      <c r="S59">
        <f ca="1">IF($C59-S$1&lt;År1,0,R58*(1-VLOOKUP($A59,[1]Hugst!$R$5:$W$9,MATCH(ROUNDUP((S$1)/10,0)*10,[1]Hugst!$R$4:$W$4,0))))</f>
        <v>71.031666144492959</v>
      </c>
      <c r="T59">
        <f ca="1">IF($C59-T$1&lt;År1,0,S58*(1-VLOOKUP($A59,[1]Hugst!$R$5:$W$9,MATCH(ROUNDUP((T$1)/10,0)*10,[1]Hugst!$R$4:$W$4,0))))</f>
        <v>71.181555402989858</v>
      </c>
      <c r="U59">
        <f ca="1">IF($C59-U$1&lt;År1,0,T58*(1-VLOOKUP($A59,[1]Hugst!$R$5:$W$9,MATCH(ROUNDUP((U$1)/10,0)*10,[1]Hugst!$R$4:$W$4,0))))</f>
        <v>71.332197873839419</v>
      </c>
      <c r="V59">
        <f ca="1">IF($C59-V$1&lt;År1,0,U58*(1-VLOOKUP($A59,[1]Hugst!$R$5:$W$9,MATCH(ROUNDUP((V$1)/10,0)*10,[1]Hugst!$R$4:$W$4,0))))</f>
        <v>105.19571855415381</v>
      </c>
      <c r="W59">
        <f ca="1">IF($C59-W$1&lt;År1,0,V58*(1-VLOOKUP($A59,[1]Hugst!$R$5:$W$9,MATCH(ROUNDUP((W$1)/10,0)*10,[1]Hugst!$R$4:$W$4,0))))</f>
        <v>105.34787882369238</v>
      </c>
      <c r="X59">
        <f ca="1">IF($C59-X$1&lt;År1,0,W58*(1-VLOOKUP($A59,[1]Hugst!$R$5:$W$9,MATCH(ROUNDUP((X$1)/10,0)*10,[1]Hugst!$R$4:$W$4,0))))</f>
        <v>105.50080371770207</v>
      </c>
      <c r="Y59">
        <f ca="1">IF($C59-Y$1&lt;År1,0,X58*(1-VLOOKUP($A59,[1]Hugst!$R$5:$W$9,MATCH(ROUNDUP((Y$1)/10,0)*10,[1]Hugst!$R$4:$W$4,0))))</f>
        <v>105.65449707851479</v>
      </c>
      <c r="Z59">
        <f ca="1">IF($C59-Z$1&lt;År1,0,Y58*(1-VLOOKUP($A59,[1]Hugst!$R$5:$W$9,MATCH(ROUNDUP((Z$1)/10,0)*10,[1]Hugst!$R$4:$W$4,0))))</f>
        <v>105.80896276777605</v>
      </c>
      <c r="AA59">
        <f ca="1">IF($C59-AA$1&lt;År1,0,Z58*(1-VLOOKUP($A59,[1]Hugst!$R$5:$W$9,MATCH(ROUNDUP((AA$1)/10,0)*10,[1]Hugst!$R$4:$W$4,0))))</f>
        <v>105.96420466652819</v>
      </c>
      <c r="AB59">
        <f ca="1">IF($C59-AB$1&lt;År1,0,AA58*(1-VLOOKUP($A59,[1]Hugst!$R$5:$W$9,MATCH(ROUNDUP((AB$1)/10,0)*10,[1]Hugst!$R$4:$W$4,0))))</f>
        <v>106.12022667532625</v>
      </c>
      <c r="AC59">
        <f ca="1">IF($C59-AC$1&lt;År1,0,AB58*(1-VLOOKUP($A59,[1]Hugst!$R$5:$W$9,MATCH(ROUNDUP((AC$1)/10,0)*10,[1]Hugst!$R$4:$W$4,0))))</f>
        <v>106.27703271431785</v>
      </c>
      <c r="AD59">
        <f ca="1">IF($C59-AD$1&lt;År1,0,AC58*(1-VLOOKUP($A59,[1]Hugst!$R$5:$W$9,MATCH(ROUNDUP((AD$1)/10,0)*10,[1]Hugst!$R$4:$W$4,0))))</f>
        <v>106.4346267233563</v>
      </c>
      <c r="AE59">
        <f ca="1">IF($C59-AE$1&lt;År1,0,AD58*(1-VLOOKUP($A59,[1]Hugst!$R$5:$W$9,MATCH(ROUNDUP((AE$1)/10,0)*10,[1]Hugst!$R$4:$W$4,0))))</f>
        <v>106.59301266208753</v>
      </c>
      <c r="AF59">
        <f ca="1">IF($C59-AF$1&lt;År1,0,AE58*(1-VLOOKUP($A59,[1]Hugst!$R$5:$W$9,MATCH(ROUNDUP((AF$1)/10,0)*10,[1]Hugst!$R$4:$W$4,0))))</f>
        <v>106.75219451005873</v>
      </c>
      <c r="AG59">
        <f>IF($C59-AG$1&lt;År1,0,AF58*(1-VLOOKUP($A59,[1]Hugst!$R$5:$W$9,MATCH(ROUNDUP((AG$1)/10,0)*10,[1]Hugst!$R$4:$W$4,0))))</f>
        <v>0</v>
      </c>
      <c r="AH59">
        <f>IF($C59-AH$1&lt;År1,0,AG58*(1-VLOOKUP($A59,[1]Hugst!$R$5:$W$9,MATCH(ROUNDUP((AH$1)/10,0)*10,[1]Hugst!$R$4:$W$4,0))))</f>
        <v>0</v>
      </c>
      <c r="AI59">
        <f>IF($C59-AI$1&lt;År1,0,AH58*(1-VLOOKUP($A59,[1]Hugst!$R$5:$W$9,MATCH(ROUNDUP((AI$1)/10,0)*10,[1]Hugst!$R$4:$W$4,0))))</f>
        <v>0</v>
      </c>
      <c r="AJ59">
        <f>IF($C59-AJ$1&lt;År1,0,AI58*(1-VLOOKUP($A59,[1]Hugst!$R$5:$W$9,MATCH(ROUNDUP((AJ$1)/10,0)*10,[1]Hugst!$R$4:$W$4,0))))</f>
        <v>0</v>
      </c>
    </row>
    <row r="60" spans="1:38" x14ac:dyDescent="0.25">
      <c r="A60" t="s">
        <v>176</v>
      </c>
      <c r="B60" t="s">
        <v>24</v>
      </c>
      <c r="C60">
        <v>2047</v>
      </c>
      <c r="D60" cm="1">
        <f t="array" ref="D60">(IF(B60="Vestdanmark",Skovbrug!$C$22-(Skovbrug!$C$22)*(1-Skovbrug!$C$9)^(C60-Skovbrug!$B$12),Skovbrug!$F$22-(Skovbrug!$F$22)*(1-Skovbrug!$C$9)^(C60-Skovbrug!$B$12)))*VLOOKUP(A60,Skovbrug!$A$13:$D$17,IF('Skovbrug-alder'!C60&lt;=År2,3,4),FALSE)
-IF(C60&gt;2020,SUM(INDEX($C$1:$D$311,MATCH(1,(2020=$C$1:$C$311)*(B60=$B$1:$B$311)*(A60=$A$1:$A$311),0),2):D59),0)</f>
        <v>27.806524988094225</v>
      </c>
      <c r="E60">
        <f t="shared" ca="1" si="0"/>
        <v>0</v>
      </c>
      <c r="F60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69.010228691797948</v>
      </c>
      <c r="G60">
        <f ca="1">IF($C60-G$1&lt;År1,0,F59*(1-VLOOKUP($A60,[1]Hugst!$R$5:$W$9,MATCH(ROUNDUP((G$1)/10,0)*10,[1]Hugst!$R$4:$W$4,0))))</f>
        <v>69.149959973147048</v>
      </c>
      <c r="H60">
        <f ca="1">IF($C60-H$1&lt;År1,0,G59*(1-VLOOKUP($A60,[1]Hugst!$R$5:$W$9,MATCH(ROUNDUP((H$1)/10,0)*10,[1]Hugst!$R$4:$W$4,0))))</f>
        <v>69.290393421736468</v>
      </c>
      <c r="I60">
        <f ca="1">IF($C60-I$1&lt;År1,0,H59*(1-VLOOKUP($A60,[1]Hugst!$R$5:$W$9,MATCH(ROUNDUP((I$1)/10,0)*10,[1]Hugst!$R$4:$W$4,0))))</f>
        <v>69.431532566047878</v>
      </c>
      <c r="J60">
        <f ca="1">IF($C60-J$1&lt;År1,0,I59*(1-VLOOKUP($A60,[1]Hugst!$R$5:$W$9,MATCH(ROUNDUP((J$1)/10,0)*10,[1]Hugst!$R$4:$W$4,0))))</f>
        <v>69.573380952291387</v>
      </c>
      <c r="K60">
        <f ca="1">IF($C60-K$1&lt;År1,0,J59*(1-VLOOKUP($A60,[1]Hugst!$R$5:$W$9,MATCH(ROUNDUP((K$1)/10,0)*10,[1]Hugst!$R$4:$W$4,0))))</f>
        <v>69.715942144495131</v>
      </c>
      <c r="L60">
        <f ca="1">IF($C60-L$1&lt;År1,0,K59*(1-VLOOKUP($A60,[1]Hugst!$R$5:$W$9,MATCH(ROUNDUP((L$1)/10,0)*10,[1]Hugst!$R$4:$W$4,0))))</f>
        <v>69.859219724599853</v>
      </c>
      <c r="M60">
        <f ca="1">IF($C60-M$1&lt;År1,0,L59*(1-VLOOKUP($A60,[1]Hugst!$R$5:$W$9,MATCH(ROUNDUP((M$1)/10,0)*10,[1]Hugst!$R$4:$W$4,0))))</f>
        <v>70.003217292543724</v>
      </c>
      <c r="N60">
        <f ca="1">IF($C60-N$1&lt;År1,0,M59*(1-VLOOKUP($A60,[1]Hugst!$R$5:$W$9,MATCH(ROUNDUP((N$1)/10,0)*10,[1]Hugst!$R$4:$W$4,0))))</f>
        <v>70.147938466356578</v>
      </c>
      <c r="O60">
        <f ca="1">IF($C60-O$1&lt;År1,0,N59*(1-VLOOKUP($A60,[1]Hugst!$R$5:$W$9,MATCH(ROUNDUP((O$1)/10,0)*10,[1]Hugst!$R$4:$W$4,0))))</f>
        <v>70.293386882250417</v>
      </c>
      <c r="P60">
        <f ca="1">IF($C60-P$1&lt;År1,0,O59*(1-VLOOKUP($A60,[1]Hugst!$R$5:$W$9,MATCH(ROUNDUP((P$1)/10,0)*10,[1]Hugst!$R$4:$W$4,0))))</f>
        <v>70.439566194704895</v>
      </c>
      <c r="Q60">
        <f ca="1">IF($C60-Q$1&lt;År1,0,P59*(1-VLOOKUP($A60,[1]Hugst!$R$5:$W$9,MATCH(ROUNDUP((Q$1)/10,0)*10,[1]Hugst!$R$4:$W$4,0))))</f>
        <v>70.586480076568961</v>
      </c>
      <c r="R60">
        <f ca="1">IF($C60-R$1&lt;År1,0,Q59*(1-VLOOKUP($A60,[1]Hugst!$R$5:$W$9,MATCH(ROUNDUP((R$1)/10,0)*10,[1]Hugst!$R$4:$W$4,0))))</f>
        <v>70.734132219146801</v>
      </c>
      <c r="S60">
        <f ca="1">IF($C60-S$1&lt;År1,0,R59*(1-VLOOKUP($A60,[1]Hugst!$R$5:$W$9,MATCH(ROUNDUP((S$1)/10,0)*10,[1]Hugst!$R$4:$W$4,0))))</f>
        <v>70.882526332289189</v>
      </c>
      <c r="T60">
        <f ca="1">IF($C60-T$1&lt;År1,0,S59*(1-VLOOKUP($A60,[1]Hugst!$R$5:$W$9,MATCH(ROUNDUP((T$1)/10,0)*10,[1]Hugst!$R$4:$W$4,0))))</f>
        <v>71.031666144492959</v>
      </c>
      <c r="U60">
        <f ca="1">IF($C60-U$1&lt;År1,0,T59*(1-VLOOKUP($A60,[1]Hugst!$R$5:$W$9,MATCH(ROUNDUP((U$1)/10,0)*10,[1]Hugst!$R$4:$W$4,0))))</f>
        <v>71.181555402989858</v>
      </c>
      <c r="V60">
        <f ca="1">IF($C60-V$1&lt;År1,0,U59*(1-VLOOKUP($A60,[1]Hugst!$R$5:$W$9,MATCH(ROUNDUP((V$1)/10,0)*10,[1]Hugst!$R$4:$W$4,0))))</f>
        <v>71.332197873839419</v>
      </c>
      <c r="W60">
        <f ca="1">IF($C60-W$1&lt;År1,0,V59*(1-VLOOKUP($A60,[1]Hugst!$R$5:$W$9,MATCH(ROUNDUP((W$1)/10,0)*10,[1]Hugst!$R$4:$W$4,0))))</f>
        <v>105.19571855415381</v>
      </c>
      <c r="X60">
        <f ca="1">IF($C60-X$1&lt;År1,0,W59*(1-VLOOKUP($A60,[1]Hugst!$R$5:$W$9,MATCH(ROUNDUP((X$1)/10,0)*10,[1]Hugst!$R$4:$W$4,0))))</f>
        <v>105.34787882369238</v>
      </c>
      <c r="Y60">
        <f ca="1">IF($C60-Y$1&lt;År1,0,X59*(1-VLOOKUP($A60,[1]Hugst!$R$5:$W$9,MATCH(ROUNDUP((Y$1)/10,0)*10,[1]Hugst!$R$4:$W$4,0))))</f>
        <v>105.50080371770207</v>
      </c>
      <c r="Z60">
        <f ca="1">IF($C60-Z$1&lt;År1,0,Y59*(1-VLOOKUP($A60,[1]Hugst!$R$5:$W$9,MATCH(ROUNDUP((Z$1)/10,0)*10,[1]Hugst!$R$4:$W$4,0))))</f>
        <v>105.65449707851479</v>
      </c>
      <c r="AA60">
        <f ca="1">IF($C60-AA$1&lt;År1,0,Z59*(1-VLOOKUP($A60,[1]Hugst!$R$5:$W$9,MATCH(ROUNDUP((AA$1)/10,0)*10,[1]Hugst!$R$4:$W$4,0))))</f>
        <v>105.80896276777605</v>
      </c>
      <c r="AB60">
        <f ca="1">IF($C60-AB$1&lt;År1,0,AA59*(1-VLOOKUP($A60,[1]Hugst!$R$5:$W$9,MATCH(ROUNDUP((AB$1)/10,0)*10,[1]Hugst!$R$4:$W$4,0))))</f>
        <v>105.96420466652819</v>
      </c>
      <c r="AC60">
        <f ca="1">IF($C60-AC$1&lt;År1,0,AB59*(1-VLOOKUP($A60,[1]Hugst!$R$5:$W$9,MATCH(ROUNDUP((AC$1)/10,0)*10,[1]Hugst!$R$4:$W$4,0))))</f>
        <v>106.12022667532625</v>
      </c>
      <c r="AD60">
        <f ca="1">IF($C60-AD$1&lt;År1,0,AC59*(1-VLOOKUP($A60,[1]Hugst!$R$5:$W$9,MATCH(ROUNDUP((AD$1)/10,0)*10,[1]Hugst!$R$4:$W$4,0))))</f>
        <v>106.27703271431785</v>
      </c>
      <c r="AE60">
        <f ca="1">IF($C60-AE$1&lt;År1,0,AD59*(1-VLOOKUP($A60,[1]Hugst!$R$5:$W$9,MATCH(ROUNDUP((AE$1)/10,0)*10,[1]Hugst!$R$4:$W$4,0))))</f>
        <v>106.4346267233563</v>
      </c>
      <c r="AF60">
        <f ca="1">IF($C60-AF$1&lt;År1,0,AE59*(1-VLOOKUP($A60,[1]Hugst!$R$5:$W$9,MATCH(ROUNDUP((AF$1)/10,0)*10,[1]Hugst!$R$4:$W$4,0))))</f>
        <v>106.59301266208753</v>
      </c>
      <c r="AG60">
        <f ca="1">IF($C60-AG$1&lt;År1,0,AF59*(1-VLOOKUP($A60,[1]Hugst!$R$5:$W$9,MATCH(ROUNDUP((AG$1)/10,0)*10,[1]Hugst!$R$4:$W$4,0))))</f>
        <v>106.75219451005873</v>
      </c>
      <c r="AH60">
        <f>IF($C60-AH$1&lt;År1,0,AG59*(1-VLOOKUP($A60,[1]Hugst!$R$5:$W$9,MATCH(ROUNDUP((AH$1)/10,0)*10,[1]Hugst!$R$4:$W$4,0))))</f>
        <v>0</v>
      </c>
      <c r="AI60">
        <f>IF($C60-AI$1&lt;År1,0,AH59*(1-VLOOKUP($A60,[1]Hugst!$R$5:$W$9,MATCH(ROUNDUP((AI$1)/10,0)*10,[1]Hugst!$R$4:$W$4,0))))</f>
        <v>0</v>
      </c>
      <c r="AJ60">
        <f>IF($C60-AJ$1&lt;År1,0,AI59*(1-VLOOKUP($A60,[1]Hugst!$R$5:$W$9,MATCH(ROUNDUP((AJ$1)/10,0)*10,[1]Hugst!$R$4:$W$4,0))))</f>
        <v>0</v>
      </c>
    </row>
    <row r="61" spans="1:38" x14ac:dyDescent="0.25">
      <c r="A61" t="s">
        <v>176</v>
      </c>
      <c r="B61" t="s">
        <v>24</v>
      </c>
      <c r="C61">
        <v>2048</v>
      </c>
      <c r="D61" cm="1">
        <f t="array" ref="D61">(IF(B61="Vestdanmark",Skovbrug!$C$22-(Skovbrug!$C$22)*(1-Skovbrug!$C$9)^(C61-Skovbrug!$B$12),Skovbrug!$F$22-(Skovbrug!$F$22)*(1-Skovbrug!$C$9)^(C61-Skovbrug!$B$12)))*VLOOKUP(A61,Skovbrug!$A$13:$D$17,IF('Skovbrug-alder'!C61&lt;=År2,3,4),FALSE)
-IF(C61&gt;2020,SUM(INDEX($C$1:$D$311,MATCH(1,(2020=$C$1:$C$311)*(B61=$B$1:$B$311)*(A61=$A$1:$A$311),0),2):D60),0)</f>
        <v>27.667492363154452</v>
      </c>
      <c r="E61">
        <f t="shared" ca="1" si="0"/>
        <v>0</v>
      </c>
      <c r="F61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68.871196066858175</v>
      </c>
      <c r="G61">
        <f ca="1">IF($C61-G$1&lt;År1,0,F60*(1-VLOOKUP($A61,[1]Hugst!$R$5:$W$9,MATCH(ROUNDUP((G$1)/10,0)*10,[1]Hugst!$R$4:$W$4,0))))</f>
        <v>69.010228691797948</v>
      </c>
      <c r="H61">
        <f ca="1">IF($C61-H$1&lt;År1,0,G60*(1-VLOOKUP($A61,[1]Hugst!$R$5:$W$9,MATCH(ROUNDUP((H$1)/10,0)*10,[1]Hugst!$R$4:$W$4,0))))</f>
        <v>69.149959973147048</v>
      </c>
      <c r="I61">
        <f ca="1">IF($C61-I$1&lt;År1,0,H60*(1-VLOOKUP($A61,[1]Hugst!$R$5:$W$9,MATCH(ROUNDUP((I$1)/10,0)*10,[1]Hugst!$R$4:$W$4,0))))</f>
        <v>69.290393421736468</v>
      </c>
      <c r="J61">
        <f ca="1">IF($C61-J$1&lt;År1,0,I60*(1-VLOOKUP($A61,[1]Hugst!$R$5:$W$9,MATCH(ROUNDUP((J$1)/10,0)*10,[1]Hugst!$R$4:$W$4,0))))</f>
        <v>69.431532566047878</v>
      </c>
      <c r="K61">
        <f ca="1">IF($C61-K$1&lt;År1,0,J60*(1-VLOOKUP($A61,[1]Hugst!$R$5:$W$9,MATCH(ROUNDUP((K$1)/10,0)*10,[1]Hugst!$R$4:$W$4,0))))</f>
        <v>69.573380952291387</v>
      </c>
      <c r="L61">
        <f ca="1">IF($C61-L$1&lt;År1,0,K60*(1-VLOOKUP($A61,[1]Hugst!$R$5:$W$9,MATCH(ROUNDUP((L$1)/10,0)*10,[1]Hugst!$R$4:$W$4,0))))</f>
        <v>69.715942144495131</v>
      </c>
      <c r="M61">
        <f ca="1">IF($C61-M$1&lt;År1,0,L60*(1-VLOOKUP($A61,[1]Hugst!$R$5:$W$9,MATCH(ROUNDUP((M$1)/10,0)*10,[1]Hugst!$R$4:$W$4,0))))</f>
        <v>69.859219724599853</v>
      </c>
      <c r="N61">
        <f ca="1">IF($C61-N$1&lt;År1,0,M60*(1-VLOOKUP($A61,[1]Hugst!$R$5:$W$9,MATCH(ROUNDUP((N$1)/10,0)*10,[1]Hugst!$R$4:$W$4,0))))</f>
        <v>70.003217292543724</v>
      </c>
      <c r="O61">
        <f ca="1">IF($C61-O$1&lt;År1,0,N60*(1-VLOOKUP($A61,[1]Hugst!$R$5:$W$9,MATCH(ROUNDUP((O$1)/10,0)*10,[1]Hugst!$R$4:$W$4,0))))</f>
        <v>70.147938466356578</v>
      </c>
      <c r="P61">
        <f ca="1">IF($C61-P$1&lt;År1,0,O60*(1-VLOOKUP($A61,[1]Hugst!$R$5:$W$9,MATCH(ROUNDUP((P$1)/10,0)*10,[1]Hugst!$R$4:$W$4,0))))</f>
        <v>70.293386882250417</v>
      </c>
      <c r="Q61">
        <f ca="1">IF($C61-Q$1&lt;År1,0,P60*(1-VLOOKUP($A61,[1]Hugst!$R$5:$W$9,MATCH(ROUNDUP((Q$1)/10,0)*10,[1]Hugst!$R$4:$W$4,0))))</f>
        <v>70.439566194704895</v>
      </c>
      <c r="R61">
        <f ca="1">IF($C61-R$1&lt;År1,0,Q60*(1-VLOOKUP($A61,[1]Hugst!$R$5:$W$9,MATCH(ROUNDUP((R$1)/10,0)*10,[1]Hugst!$R$4:$W$4,0))))</f>
        <v>70.586480076568961</v>
      </c>
      <c r="S61">
        <f ca="1">IF($C61-S$1&lt;År1,0,R60*(1-VLOOKUP($A61,[1]Hugst!$R$5:$W$9,MATCH(ROUNDUP((S$1)/10,0)*10,[1]Hugst!$R$4:$W$4,0))))</f>
        <v>70.734132219146801</v>
      </c>
      <c r="T61">
        <f ca="1">IF($C61-T$1&lt;År1,0,S60*(1-VLOOKUP($A61,[1]Hugst!$R$5:$W$9,MATCH(ROUNDUP((T$1)/10,0)*10,[1]Hugst!$R$4:$W$4,0))))</f>
        <v>70.882526332289189</v>
      </c>
      <c r="U61">
        <f ca="1">IF($C61-U$1&lt;År1,0,T60*(1-VLOOKUP($A61,[1]Hugst!$R$5:$W$9,MATCH(ROUNDUP((U$1)/10,0)*10,[1]Hugst!$R$4:$W$4,0))))</f>
        <v>71.031666144492959</v>
      </c>
      <c r="V61">
        <f ca="1">IF($C61-V$1&lt;År1,0,U60*(1-VLOOKUP($A61,[1]Hugst!$R$5:$W$9,MATCH(ROUNDUP((V$1)/10,0)*10,[1]Hugst!$R$4:$W$4,0))))</f>
        <v>71.181555402989858</v>
      </c>
      <c r="W61">
        <f ca="1">IF($C61-W$1&lt;År1,0,V60*(1-VLOOKUP($A61,[1]Hugst!$R$5:$W$9,MATCH(ROUNDUP((W$1)/10,0)*10,[1]Hugst!$R$4:$W$4,0))))</f>
        <v>71.332197873839419</v>
      </c>
      <c r="X61">
        <f ca="1">IF($C61-X$1&lt;År1,0,W60*(1-VLOOKUP($A61,[1]Hugst!$R$5:$W$9,MATCH(ROUNDUP((X$1)/10,0)*10,[1]Hugst!$R$4:$W$4,0))))</f>
        <v>105.19571855415381</v>
      </c>
      <c r="Y61">
        <f ca="1">IF($C61-Y$1&lt;År1,0,X60*(1-VLOOKUP($A61,[1]Hugst!$R$5:$W$9,MATCH(ROUNDUP((Y$1)/10,0)*10,[1]Hugst!$R$4:$W$4,0))))</f>
        <v>105.34787882369238</v>
      </c>
      <c r="Z61">
        <f ca="1">IF($C61-Z$1&lt;År1,0,Y60*(1-VLOOKUP($A61,[1]Hugst!$R$5:$W$9,MATCH(ROUNDUP((Z$1)/10,0)*10,[1]Hugst!$R$4:$W$4,0))))</f>
        <v>105.50080371770207</v>
      </c>
      <c r="AA61">
        <f ca="1">IF($C61-AA$1&lt;År1,0,Z60*(1-VLOOKUP($A61,[1]Hugst!$R$5:$W$9,MATCH(ROUNDUP((AA$1)/10,0)*10,[1]Hugst!$R$4:$W$4,0))))</f>
        <v>105.65449707851479</v>
      </c>
      <c r="AB61">
        <f ca="1">IF($C61-AB$1&lt;År1,0,AA60*(1-VLOOKUP($A61,[1]Hugst!$R$5:$W$9,MATCH(ROUNDUP((AB$1)/10,0)*10,[1]Hugst!$R$4:$W$4,0))))</f>
        <v>105.80896276777605</v>
      </c>
      <c r="AC61">
        <f ca="1">IF($C61-AC$1&lt;År1,0,AB60*(1-VLOOKUP($A61,[1]Hugst!$R$5:$W$9,MATCH(ROUNDUP((AC$1)/10,0)*10,[1]Hugst!$R$4:$W$4,0))))</f>
        <v>105.96420466652819</v>
      </c>
      <c r="AD61">
        <f ca="1">IF($C61-AD$1&lt;År1,0,AC60*(1-VLOOKUP($A61,[1]Hugst!$R$5:$W$9,MATCH(ROUNDUP((AD$1)/10,0)*10,[1]Hugst!$R$4:$W$4,0))))</f>
        <v>106.12022667532625</v>
      </c>
      <c r="AE61">
        <f ca="1">IF($C61-AE$1&lt;År1,0,AD60*(1-VLOOKUP($A61,[1]Hugst!$R$5:$W$9,MATCH(ROUNDUP((AE$1)/10,0)*10,[1]Hugst!$R$4:$W$4,0))))</f>
        <v>106.27703271431785</v>
      </c>
      <c r="AF61">
        <f ca="1">IF($C61-AF$1&lt;År1,0,AE60*(1-VLOOKUP($A61,[1]Hugst!$R$5:$W$9,MATCH(ROUNDUP((AF$1)/10,0)*10,[1]Hugst!$R$4:$W$4,0))))</f>
        <v>106.4346267233563</v>
      </c>
      <c r="AG61">
        <f ca="1">IF($C61-AG$1&lt;År1,0,AF60*(1-VLOOKUP($A61,[1]Hugst!$R$5:$W$9,MATCH(ROUNDUP((AG$1)/10,0)*10,[1]Hugst!$R$4:$W$4,0))))</f>
        <v>106.59301266208753</v>
      </c>
      <c r="AH61">
        <f ca="1">IF($C61-AH$1&lt;År1,0,AG60*(1-VLOOKUP($A61,[1]Hugst!$R$5:$W$9,MATCH(ROUNDUP((AH$1)/10,0)*10,[1]Hugst!$R$4:$W$4,0))))</f>
        <v>106.75219451005873</v>
      </c>
      <c r="AI61">
        <f>IF($C61-AI$1&lt;År1,0,AH60*(1-VLOOKUP($A61,[1]Hugst!$R$5:$W$9,MATCH(ROUNDUP((AI$1)/10,0)*10,[1]Hugst!$R$4:$W$4,0))))</f>
        <v>0</v>
      </c>
      <c r="AJ61">
        <f>IF($C61-AJ$1&lt;År1,0,AI60*(1-VLOOKUP($A61,[1]Hugst!$R$5:$W$9,MATCH(ROUNDUP((AJ$1)/10,0)*10,[1]Hugst!$R$4:$W$4,0))))</f>
        <v>0</v>
      </c>
    </row>
    <row r="62" spans="1:38" x14ac:dyDescent="0.25">
      <c r="A62" t="s">
        <v>176</v>
      </c>
      <c r="B62" t="s">
        <v>24</v>
      </c>
      <c r="C62">
        <v>2049</v>
      </c>
      <c r="D62" cm="1">
        <f t="array" ref="D62">(IF(B62="Vestdanmark",Skovbrug!$C$22-(Skovbrug!$C$22)*(1-Skovbrug!$C$9)^(C62-Skovbrug!$B$12),Skovbrug!$F$22-(Skovbrug!$F$22)*(1-Skovbrug!$C$9)^(C62-Skovbrug!$B$12)))*VLOOKUP(A62,Skovbrug!$A$13:$D$17,IF('Skovbrug-alder'!C62&lt;=År2,3,4),FALSE)
-IF(C62&gt;2020,SUM(INDEX($C$1:$D$311,MATCH(1,(2020=$C$1:$C$311)*(B62=$B$1:$B$311)*(A62=$A$1:$A$311),0),2):D61),0)</f>
        <v>27.529154901339666</v>
      </c>
      <c r="E62">
        <f t="shared" ca="1" si="0"/>
        <v>0</v>
      </c>
      <c r="F62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68.73285860504339</v>
      </c>
      <c r="G62">
        <f ca="1">IF($C62-G$1&lt;År1,0,F61*(1-VLOOKUP($A62,[1]Hugst!$R$5:$W$9,MATCH(ROUNDUP((G$1)/10,0)*10,[1]Hugst!$R$4:$W$4,0))))</f>
        <v>68.871196066858175</v>
      </c>
      <c r="H62">
        <f ca="1">IF($C62-H$1&lt;År1,0,G61*(1-VLOOKUP($A62,[1]Hugst!$R$5:$W$9,MATCH(ROUNDUP((H$1)/10,0)*10,[1]Hugst!$R$4:$W$4,0))))</f>
        <v>69.010228691797948</v>
      </c>
      <c r="I62">
        <f ca="1">IF($C62-I$1&lt;År1,0,H61*(1-VLOOKUP($A62,[1]Hugst!$R$5:$W$9,MATCH(ROUNDUP((I$1)/10,0)*10,[1]Hugst!$R$4:$W$4,0))))</f>
        <v>69.149959973147048</v>
      </c>
      <c r="J62">
        <f ca="1">IF($C62-J$1&lt;År1,0,I61*(1-VLOOKUP($A62,[1]Hugst!$R$5:$W$9,MATCH(ROUNDUP((J$1)/10,0)*10,[1]Hugst!$R$4:$W$4,0))))</f>
        <v>69.290393421736468</v>
      </c>
      <c r="K62">
        <f ca="1">IF($C62-K$1&lt;År1,0,J61*(1-VLOOKUP($A62,[1]Hugst!$R$5:$W$9,MATCH(ROUNDUP((K$1)/10,0)*10,[1]Hugst!$R$4:$W$4,0))))</f>
        <v>69.431532566047878</v>
      </c>
      <c r="L62">
        <f ca="1">IF($C62-L$1&lt;År1,0,K61*(1-VLOOKUP($A62,[1]Hugst!$R$5:$W$9,MATCH(ROUNDUP((L$1)/10,0)*10,[1]Hugst!$R$4:$W$4,0))))</f>
        <v>69.573380952291387</v>
      </c>
      <c r="M62">
        <f ca="1">IF($C62-M$1&lt;År1,0,L61*(1-VLOOKUP($A62,[1]Hugst!$R$5:$W$9,MATCH(ROUNDUP((M$1)/10,0)*10,[1]Hugst!$R$4:$W$4,0))))</f>
        <v>69.715942144495131</v>
      </c>
      <c r="N62">
        <f ca="1">IF($C62-N$1&lt;År1,0,M61*(1-VLOOKUP($A62,[1]Hugst!$R$5:$W$9,MATCH(ROUNDUP((N$1)/10,0)*10,[1]Hugst!$R$4:$W$4,0))))</f>
        <v>69.859219724599853</v>
      </c>
      <c r="O62">
        <f ca="1">IF($C62-O$1&lt;År1,0,N61*(1-VLOOKUP($A62,[1]Hugst!$R$5:$W$9,MATCH(ROUNDUP((O$1)/10,0)*10,[1]Hugst!$R$4:$W$4,0))))</f>
        <v>70.003217292543724</v>
      </c>
      <c r="P62">
        <f ca="1">IF($C62-P$1&lt;År1,0,O61*(1-VLOOKUP($A62,[1]Hugst!$R$5:$W$9,MATCH(ROUNDUP((P$1)/10,0)*10,[1]Hugst!$R$4:$W$4,0))))</f>
        <v>70.147938466356578</v>
      </c>
      <c r="Q62">
        <f ca="1">IF($C62-Q$1&lt;År1,0,P61*(1-VLOOKUP($A62,[1]Hugst!$R$5:$W$9,MATCH(ROUNDUP((Q$1)/10,0)*10,[1]Hugst!$R$4:$W$4,0))))</f>
        <v>70.293386882250417</v>
      </c>
      <c r="R62">
        <f ca="1">IF($C62-R$1&lt;År1,0,Q61*(1-VLOOKUP($A62,[1]Hugst!$R$5:$W$9,MATCH(ROUNDUP((R$1)/10,0)*10,[1]Hugst!$R$4:$W$4,0))))</f>
        <v>70.439566194704895</v>
      </c>
      <c r="S62">
        <f ca="1">IF($C62-S$1&lt;År1,0,R61*(1-VLOOKUP($A62,[1]Hugst!$R$5:$W$9,MATCH(ROUNDUP((S$1)/10,0)*10,[1]Hugst!$R$4:$W$4,0))))</f>
        <v>70.586480076568961</v>
      </c>
      <c r="T62">
        <f ca="1">IF($C62-T$1&lt;År1,0,S61*(1-VLOOKUP($A62,[1]Hugst!$R$5:$W$9,MATCH(ROUNDUP((T$1)/10,0)*10,[1]Hugst!$R$4:$W$4,0))))</f>
        <v>70.734132219146801</v>
      </c>
      <c r="U62">
        <f ca="1">IF($C62-U$1&lt;År1,0,T61*(1-VLOOKUP($A62,[1]Hugst!$R$5:$W$9,MATCH(ROUNDUP((U$1)/10,0)*10,[1]Hugst!$R$4:$W$4,0))))</f>
        <v>70.882526332289189</v>
      </c>
      <c r="V62">
        <f ca="1">IF($C62-V$1&lt;År1,0,U61*(1-VLOOKUP($A62,[1]Hugst!$R$5:$W$9,MATCH(ROUNDUP((V$1)/10,0)*10,[1]Hugst!$R$4:$W$4,0))))</f>
        <v>71.031666144492959</v>
      </c>
      <c r="W62">
        <f ca="1">IF($C62-W$1&lt;År1,0,V61*(1-VLOOKUP($A62,[1]Hugst!$R$5:$W$9,MATCH(ROUNDUP((W$1)/10,0)*10,[1]Hugst!$R$4:$W$4,0))))</f>
        <v>71.181555402989858</v>
      </c>
      <c r="X62">
        <f ca="1">IF($C62-X$1&lt;År1,0,W61*(1-VLOOKUP($A62,[1]Hugst!$R$5:$W$9,MATCH(ROUNDUP((X$1)/10,0)*10,[1]Hugst!$R$4:$W$4,0))))</f>
        <v>71.332197873839419</v>
      </c>
      <c r="Y62">
        <f ca="1">IF($C62-Y$1&lt;År1,0,X61*(1-VLOOKUP($A62,[1]Hugst!$R$5:$W$9,MATCH(ROUNDUP((Y$1)/10,0)*10,[1]Hugst!$R$4:$W$4,0))))</f>
        <v>105.19571855415381</v>
      </c>
      <c r="Z62">
        <f ca="1">IF($C62-Z$1&lt;År1,0,Y61*(1-VLOOKUP($A62,[1]Hugst!$R$5:$W$9,MATCH(ROUNDUP((Z$1)/10,0)*10,[1]Hugst!$R$4:$W$4,0))))</f>
        <v>105.34787882369238</v>
      </c>
      <c r="AA62">
        <f ca="1">IF($C62-AA$1&lt;År1,0,Z61*(1-VLOOKUP($A62,[1]Hugst!$R$5:$W$9,MATCH(ROUNDUP((AA$1)/10,0)*10,[1]Hugst!$R$4:$W$4,0))))</f>
        <v>105.50080371770207</v>
      </c>
      <c r="AB62">
        <f ca="1">IF($C62-AB$1&lt;År1,0,AA61*(1-VLOOKUP($A62,[1]Hugst!$R$5:$W$9,MATCH(ROUNDUP((AB$1)/10,0)*10,[1]Hugst!$R$4:$W$4,0))))</f>
        <v>105.65449707851479</v>
      </c>
      <c r="AC62">
        <f ca="1">IF($C62-AC$1&lt;År1,0,AB61*(1-VLOOKUP($A62,[1]Hugst!$R$5:$W$9,MATCH(ROUNDUP((AC$1)/10,0)*10,[1]Hugst!$R$4:$W$4,0))))</f>
        <v>105.80896276777605</v>
      </c>
      <c r="AD62">
        <f ca="1">IF($C62-AD$1&lt;År1,0,AC61*(1-VLOOKUP($A62,[1]Hugst!$R$5:$W$9,MATCH(ROUNDUP((AD$1)/10,0)*10,[1]Hugst!$R$4:$W$4,0))))</f>
        <v>105.96420466652819</v>
      </c>
      <c r="AE62">
        <f ca="1">IF($C62-AE$1&lt;År1,0,AD61*(1-VLOOKUP($A62,[1]Hugst!$R$5:$W$9,MATCH(ROUNDUP((AE$1)/10,0)*10,[1]Hugst!$R$4:$W$4,0))))</f>
        <v>106.12022667532625</v>
      </c>
      <c r="AF62">
        <f ca="1">IF($C62-AF$1&lt;År1,0,AE61*(1-VLOOKUP($A62,[1]Hugst!$R$5:$W$9,MATCH(ROUNDUP((AF$1)/10,0)*10,[1]Hugst!$R$4:$W$4,0))))</f>
        <v>106.27703271431785</v>
      </c>
      <c r="AG62">
        <f ca="1">IF($C62-AG$1&lt;År1,0,AF61*(1-VLOOKUP($A62,[1]Hugst!$R$5:$W$9,MATCH(ROUNDUP((AG$1)/10,0)*10,[1]Hugst!$R$4:$W$4,0))))</f>
        <v>106.4346267233563</v>
      </c>
      <c r="AH62">
        <f ca="1">IF($C62-AH$1&lt;År1,0,AG61*(1-VLOOKUP($A62,[1]Hugst!$R$5:$W$9,MATCH(ROUNDUP((AH$1)/10,0)*10,[1]Hugst!$R$4:$W$4,0))))</f>
        <v>106.59301266208753</v>
      </c>
      <c r="AI62">
        <f ca="1">IF($C62-AI$1&lt;År1,0,AH61*(1-VLOOKUP($A62,[1]Hugst!$R$5:$W$9,MATCH(ROUNDUP((AI$1)/10,0)*10,[1]Hugst!$R$4:$W$4,0))))</f>
        <v>106.75219451005873</v>
      </c>
      <c r="AJ62">
        <f>IF($C62-AJ$1&lt;År1,0,AI61*(1-VLOOKUP($A62,[1]Hugst!$R$5:$W$9,MATCH(ROUNDUP((AJ$1)/10,0)*10,[1]Hugst!$R$4:$W$4,0))))</f>
        <v>0</v>
      </c>
    </row>
    <row r="63" spans="1:38" x14ac:dyDescent="0.25">
      <c r="A63" t="s">
        <v>176</v>
      </c>
      <c r="B63" t="s">
        <v>24</v>
      </c>
      <c r="C63">
        <v>2050</v>
      </c>
      <c r="D63" cm="1">
        <f t="array" ref="D63">(IF(B63="Vestdanmark",Skovbrug!$C$22-(Skovbrug!$C$22)*(1-Skovbrug!$C$9)^(C63-Skovbrug!$B$12),Skovbrug!$F$22-(Skovbrug!$F$22)*(1-Skovbrug!$C$9)^(C63-Skovbrug!$B$12)))*VLOOKUP(A63,Skovbrug!$A$13:$D$17,IF('Skovbrug-alder'!C63&lt;=År2,3,4),FALSE)
-IF(C63&gt;2020,SUM(INDEX($C$1:$D$311,MATCH(1,(2020=$C$1:$C$311)*(B63=$B$1:$B$311)*(A63=$A$1:$A$311),0),2):D62),0)</f>
        <v>27.391509126832602</v>
      </c>
      <c r="E63">
        <f t="shared" ca="1" si="0"/>
        <v>0.35205510955438513</v>
      </c>
      <c r="F63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68.947267940090711</v>
      </c>
      <c r="G63">
        <f ca="1">IF($C63-G$1&lt;År1,0,F62*(1-VLOOKUP($A63,[1]Hugst!$R$5:$W$9,MATCH(ROUNDUP((G$1)/10,0)*10,[1]Hugst!$R$4:$W$4,0))))</f>
        <v>68.73285860504339</v>
      </c>
      <c r="H63">
        <f ca="1">IF($C63-H$1&lt;År1,0,G62*(1-VLOOKUP($A63,[1]Hugst!$R$5:$W$9,MATCH(ROUNDUP((H$1)/10,0)*10,[1]Hugst!$R$4:$W$4,0))))</f>
        <v>68.871196066858175</v>
      </c>
      <c r="I63">
        <f ca="1">IF($C63-I$1&lt;År1,0,H62*(1-VLOOKUP($A63,[1]Hugst!$R$5:$W$9,MATCH(ROUNDUP((I$1)/10,0)*10,[1]Hugst!$R$4:$W$4,0))))</f>
        <v>69.010228691797948</v>
      </c>
      <c r="J63">
        <f ca="1">IF($C63-J$1&lt;År1,0,I62*(1-VLOOKUP($A63,[1]Hugst!$R$5:$W$9,MATCH(ROUNDUP((J$1)/10,0)*10,[1]Hugst!$R$4:$W$4,0))))</f>
        <v>69.149959973147048</v>
      </c>
      <c r="K63">
        <f ca="1">IF($C63-K$1&lt;År1,0,J62*(1-VLOOKUP($A63,[1]Hugst!$R$5:$W$9,MATCH(ROUNDUP((K$1)/10,0)*10,[1]Hugst!$R$4:$W$4,0))))</f>
        <v>69.290393421736468</v>
      </c>
      <c r="L63">
        <f ca="1">IF($C63-L$1&lt;År1,0,K62*(1-VLOOKUP($A63,[1]Hugst!$R$5:$W$9,MATCH(ROUNDUP((L$1)/10,0)*10,[1]Hugst!$R$4:$W$4,0))))</f>
        <v>69.431532566047878</v>
      </c>
      <c r="M63">
        <f ca="1">IF($C63-M$1&lt;År1,0,L62*(1-VLOOKUP($A63,[1]Hugst!$R$5:$W$9,MATCH(ROUNDUP((M$1)/10,0)*10,[1]Hugst!$R$4:$W$4,0))))</f>
        <v>69.573380952291387</v>
      </c>
      <c r="N63">
        <f ca="1">IF($C63-N$1&lt;År1,0,M62*(1-VLOOKUP($A63,[1]Hugst!$R$5:$W$9,MATCH(ROUNDUP((N$1)/10,0)*10,[1]Hugst!$R$4:$W$4,0))))</f>
        <v>69.715942144495131</v>
      </c>
      <c r="O63">
        <f ca="1">IF($C63-O$1&lt;År1,0,N62*(1-VLOOKUP($A63,[1]Hugst!$R$5:$W$9,MATCH(ROUNDUP((O$1)/10,0)*10,[1]Hugst!$R$4:$W$4,0))))</f>
        <v>69.859219724599853</v>
      </c>
      <c r="P63">
        <f ca="1">IF($C63-P$1&lt;År1,0,O62*(1-VLOOKUP($A63,[1]Hugst!$R$5:$W$9,MATCH(ROUNDUP((P$1)/10,0)*10,[1]Hugst!$R$4:$W$4,0))))</f>
        <v>70.003217292543724</v>
      </c>
      <c r="Q63">
        <f ca="1">IF($C63-Q$1&lt;År1,0,P62*(1-VLOOKUP($A63,[1]Hugst!$R$5:$W$9,MATCH(ROUNDUP((Q$1)/10,0)*10,[1]Hugst!$R$4:$W$4,0))))</f>
        <v>70.147938466356578</v>
      </c>
      <c r="R63">
        <f ca="1">IF($C63-R$1&lt;År1,0,Q62*(1-VLOOKUP($A63,[1]Hugst!$R$5:$W$9,MATCH(ROUNDUP((R$1)/10,0)*10,[1]Hugst!$R$4:$W$4,0))))</f>
        <v>70.293386882250417</v>
      </c>
      <c r="S63">
        <f ca="1">IF($C63-S$1&lt;År1,0,R62*(1-VLOOKUP($A63,[1]Hugst!$R$5:$W$9,MATCH(ROUNDUP((S$1)/10,0)*10,[1]Hugst!$R$4:$W$4,0))))</f>
        <v>70.439566194704895</v>
      </c>
      <c r="T63">
        <f ca="1">IF($C63-T$1&lt;År1,0,S62*(1-VLOOKUP($A63,[1]Hugst!$R$5:$W$9,MATCH(ROUNDUP((T$1)/10,0)*10,[1]Hugst!$R$4:$W$4,0))))</f>
        <v>70.586480076568961</v>
      </c>
      <c r="U63">
        <f ca="1">IF($C63-U$1&lt;År1,0,T62*(1-VLOOKUP($A63,[1]Hugst!$R$5:$W$9,MATCH(ROUNDUP((U$1)/10,0)*10,[1]Hugst!$R$4:$W$4,0))))</f>
        <v>70.734132219146801</v>
      </c>
      <c r="V63">
        <f ca="1">IF($C63-V$1&lt;År1,0,U62*(1-VLOOKUP($A63,[1]Hugst!$R$5:$W$9,MATCH(ROUNDUP((V$1)/10,0)*10,[1]Hugst!$R$4:$W$4,0))))</f>
        <v>70.882526332289189</v>
      </c>
      <c r="W63">
        <f ca="1">IF($C63-W$1&lt;År1,0,V62*(1-VLOOKUP($A63,[1]Hugst!$R$5:$W$9,MATCH(ROUNDUP((W$1)/10,0)*10,[1]Hugst!$R$4:$W$4,0))))</f>
        <v>71.031666144492959</v>
      </c>
      <c r="X63">
        <f ca="1">IF($C63-X$1&lt;År1,0,W62*(1-VLOOKUP($A63,[1]Hugst!$R$5:$W$9,MATCH(ROUNDUP((X$1)/10,0)*10,[1]Hugst!$R$4:$W$4,0))))</f>
        <v>71.181555402989858</v>
      </c>
      <c r="Y63">
        <f ca="1">IF($C63-Y$1&lt;År1,0,X62*(1-VLOOKUP($A63,[1]Hugst!$R$5:$W$9,MATCH(ROUNDUP((Y$1)/10,0)*10,[1]Hugst!$R$4:$W$4,0))))</f>
        <v>71.332197873839419</v>
      </c>
      <c r="Z63">
        <f ca="1">IF($C63-Z$1&lt;År1,0,Y62*(1-VLOOKUP($A63,[1]Hugst!$R$5:$W$9,MATCH(ROUNDUP((Z$1)/10,0)*10,[1]Hugst!$R$4:$W$4,0))))</f>
        <v>105.19571855415381</v>
      </c>
      <c r="AA63">
        <f ca="1">IF($C63-AA$1&lt;År1,0,Z62*(1-VLOOKUP($A63,[1]Hugst!$R$5:$W$9,MATCH(ROUNDUP((AA$1)/10,0)*10,[1]Hugst!$R$4:$W$4,0))))</f>
        <v>105.34787882369238</v>
      </c>
      <c r="AB63">
        <f ca="1">IF($C63-AB$1&lt;År1,0,AA62*(1-VLOOKUP($A63,[1]Hugst!$R$5:$W$9,MATCH(ROUNDUP((AB$1)/10,0)*10,[1]Hugst!$R$4:$W$4,0))))</f>
        <v>105.50080371770207</v>
      </c>
      <c r="AC63">
        <f ca="1">IF($C63-AC$1&lt;År1,0,AB62*(1-VLOOKUP($A63,[1]Hugst!$R$5:$W$9,MATCH(ROUNDUP((AC$1)/10,0)*10,[1]Hugst!$R$4:$W$4,0))))</f>
        <v>105.65449707851479</v>
      </c>
      <c r="AD63">
        <f ca="1">IF($C63-AD$1&lt;År1,0,AC62*(1-VLOOKUP($A63,[1]Hugst!$R$5:$W$9,MATCH(ROUNDUP((AD$1)/10,0)*10,[1]Hugst!$R$4:$W$4,0))))</f>
        <v>105.80896276777605</v>
      </c>
      <c r="AE63">
        <f ca="1">IF($C63-AE$1&lt;År1,0,AD62*(1-VLOOKUP($A63,[1]Hugst!$R$5:$W$9,MATCH(ROUNDUP((AE$1)/10,0)*10,[1]Hugst!$R$4:$W$4,0))))</f>
        <v>105.96420466652819</v>
      </c>
      <c r="AF63">
        <f ca="1">IF($C63-AF$1&lt;År1,0,AE62*(1-VLOOKUP($A63,[1]Hugst!$R$5:$W$9,MATCH(ROUNDUP((AF$1)/10,0)*10,[1]Hugst!$R$4:$W$4,0))))</f>
        <v>106.12022667532625</v>
      </c>
      <c r="AG63">
        <f ca="1">IF($C63-AG$1&lt;År1,0,AF62*(1-VLOOKUP($A63,[1]Hugst!$R$5:$W$9,MATCH(ROUNDUP((AG$1)/10,0)*10,[1]Hugst!$R$4:$W$4,0))))</f>
        <v>106.27703271431785</v>
      </c>
      <c r="AH63">
        <f ca="1">IF($C63-AH$1&lt;År1,0,AG62*(1-VLOOKUP($A63,[1]Hugst!$R$5:$W$9,MATCH(ROUNDUP((AH$1)/10,0)*10,[1]Hugst!$R$4:$W$4,0))))</f>
        <v>106.4346267233563</v>
      </c>
      <c r="AI63">
        <f ca="1">IF($C63-AI$1&lt;År1,0,AH62*(1-VLOOKUP($A63,[1]Hugst!$R$5:$W$9,MATCH(ROUNDUP((AI$1)/10,0)*10,[1]Hugst!$R$4:$W$4,0))))</f>
        <v>106.59301266208753</v>
      </c>
      <c r="AJ63">
        <f ca="1">IF($C63-AJ$1&lt;År1,0,AI62*(1-VLOOKUP($A63,[1]Hugst!$R$5:$W$9,MATCH(ROUNDUP((AJ$1)/10,0)*10,[1]Hugst!$R$4:$W$4,0))))</f>
        <v>106.40013940050427</v>
      </c>
      <c r="AL63">
        <f ca="1">SUM(F63:AJ63)</f>
        <v>2564.51175075525</v>
      </c>
    </row>
    <row r="64" spans="1:38" x14ac:dyDescent="0.25">
      <c r="A64" t="s">
        <v>177</v>
      </c>
      <c r="B64" t="s">
        <v>23</v>
      </c>
      <c r="C64">
        <v>2020</v>
      </c>
      <c r="D64" cm="1">
        <f t="array" ref="D64">(IF(B64="Vestdanmark",Skovbrug!$C$22-(Skovbrug!$C$22)*(1-Skovbrug!$C$9)^(C64-Skovbrug!$B$12),Skovbrug!$F$22-(Skovbrug!$F$22)*(1-Skovbrug!$C$9)^(C64-Skovbrug!$B$12)))*VLOOKUP(A64,Skovbrug!$A$13:$D$17,IF('Skovbrug-alder'!C64&lt;=År2,3,4),FALSE)
-IF(C64&gt;2020,SUM(INDEX($C$1:$D$311,MATCH(1,(2020=$C$1:$C$311)*(B64=$B$1:$B$311)*(A64=$A$1:$A$311),0),2):D63),0)</f>
        <v>978.89517365189681</v>
      </c>
      <c r="E64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5418.2891130458347</v>
      </c>
      <c r="G64">
        <f>IF($C64-G$1&lt;År1,0,F63*(1-VLOOKUP($A64,[1]Hugst!$R$5:$W$9,MATCH(ROUNDUP((G$1)/10,0)*10,[1]Hugst!$R$4:$W$4,0))))</f>
        <v>0</v>
      </c>
      <c r="H64">
        <f>IF($C64-H$1&lt;År1,0,G63*(1-VLOOKUP($A64,[1]Hugst!$R$5:$W$9,MATCH(ROUNDUP((H$1)/10,0)*10,[1]Hugst!$R$4:$W$4,0))))</f>
        <v>0</v>
      </c>
      <c r="I64">
        <f>IF($C64-I$1&lt;År1,0,H63*(1-VLOOKUP($A64,[1]Hugst!$R$5:$W$9,MATCH(ROUNDUP((I$1)/10,0)*10,[1]Hugst!$R$4:$W$4,0))))</f>
        <v>0</v>
      </c>
      <c r="J64">
        <f>IF($C64-J$1&lt;År1,0,I63*(1-VLOOKUP($A64,[1]Hugst!$R$5:$W$9,MATCH(ROUNDUP((J$1)/10,0)*10,[1]Hugst!$R$4:$W$4,0))))</f>
        <v>0</v>
      </c>
      <c r="K64">
        <f>IF($C64-K$1&lt;År1,0,J63*(1-VLOOKUP($A64,[1]Hugst!$R$5:$W$9,MATCH(ROUNDUP((K$1)/10,0)*10,[1]Hugst!$R$4:$W$4,0))))</f>
        <v>0</v>
      </c>
      <c r="L64">
        <f>IF($C64-L$1&lt;År1,0,K63*(1-VLOOKUP($A64,[1]Hugst!$R$5:$W$9,MATCH(ROUNDUP((L$1)/10,0)*10,[1]Hugst!$R$4:$W$4,0))))</f>
        <v>0</v>
      </c>
      <c r="M64">
        <f>IF($C64-M$1&lt;År1,0,L63*(1-VLOOKUP($A64,[1]Hugst!$R$5:$W$9,MATCH(ROUNDUP((M$1)/10,0)*10,[1]Hugst!$R$4:$W$4,0))))</f>
        <v>0</v>
      </c>
      <c r="N64">
        <f>IF($C64-N$1&lt;År1,0,M63*(1-VLOOKUP($A64,[1]Hugst!$R$5:$W$9,MATCH(ROUNDUP((N$1)/10,0)*10,[1]Hugst!$R$4:$W$4,0))))</f>
        <v>0</v>
      </c>
      <c r="O64">
        <f>IF($C64-O$1&lt;År1,0,N63*(1-VLOOKUP($A64,[1]Hugst!$R$5:$W$9,MATCH(ROUNDUP((O$1)/10,0)*10,[1]Hugst!$R$4:$W$4,0))))</f>
        <v>0</v>
      </c>
      <c r="P64">
        <f>IF($C64-P$1&lt;År1,0,O63*(1-VLOOKUP($A64,[1]Hugst!$R$5:$W$9,MATCH(ROUNDUP((P$1)/10,0)*10,[1]Hugst!$R$4:$W$4,0))))</f>
        <v>0</v>
      </c>
      <c r="Q64">
        <f>IF($C64-Q$1&lt;År1,0,P63*(1-VLOOKUP($A64,[1]Hugst!$R$5:$W$9,MATCH(ROUNDUP((Q$1)/10,0)*10,[1]Hugst!$R$4:$W$4,0))))</f>
        <v>0</v>
      </c>
      <c r="R64">
        <f>IF($C64-R$1&lt;År1,0,Q63*(1-VLOOKUP($A64,[1]Hugst!$R$5:$W$9,MATCH(ROUNDUP((R$1)/10,0)*10,[1]Hugst!$R$4:$W$4,0))))</f>
        <v>0</v>
      </c>
      <c r="S64">
        <f>IF($C64-S$1&lt;År1,0,R63*(1-VLOOKUP($A64,[1]Hugst!$R$5:$W$9,MATCH(ROUNDUP((S$1)/10,0)*10,[1]Hugst!$R$4:$W$4,0))))</f>
        <v>0</v>
      </c>
      <c r="T64">
        <f>IF($C64-T$1&lt;År1,0,S63*(1-VLOOKUP($A64,[1]Hugst!$R$5:$W$9,MATCH(ROUNDUP((T$1)/10,0)*10,[1]Hugst!$R$4:$W$4,0))))</f>
        <v>0</v>
      </c>
      <c r="U64">
        <f>IF($C64-U$1&lt;År1,0,T63*(1-VLOOKUP($A64,[1]Hugst!$R$5:$W$9,MATCH(ROUNDUP((U$1)/10,0)*10,[1]Hugst!$R$4:$W$4,0))))</f>
        <v>0</v>
      </c>
      <c r="V64">
        <f>IF($C64-V$1&lt;År1,0,U63*(1-VLOOKUP($A64,[1]Hugst!$R$5:$W$9,MATCH(ROUNDUP((V$1)/10,0)*10,[1]Hugst!$R$4:$W$4,0))))</f>
        <v>0</v>
      </c>
      <c r="W64">
        <f>IF($C64-W$1&lt;År1,0,V63*(1-VLOOKUP($A64,[1]Hugst!$R$5:$W$9,MATCH(ROUNDUP((W$1)/10,0)*10,[1]Hugst!$R$4:$W$4,0))))</f>
        <v>0</v>
      </c>
      <c r="X64">
        <f>IF($C64-X$1&lt;År1,0,W63*(1-VLOOKUP($A64,[1]Hugst!$R$5:$W$9,MATCH(ROUNDUP((X$1)/10,0)*10,[1]Hugst!$R$4:$W$4,0))))</f>
        <v>0</v>
      </c>
      <c r="Y64">
        <f>IF($C64-Y$1&lt;År1,0,X63*(1-VLOOKUP($A64,[1]Hugst!$R$5:$W$9,MATCH(ROUNDUP((Y$1)/10,0)*10,[1]Hugst!$R$4:$W$4,0))))</f>
        <v>0</v>
      </c>
      <c r="Z64">
        <f>IF($C64-Z$1&lt;År1,0,Y63*(1-VLOOKUP($A64,[1]Hugst!$R$5:$W$9,MATCH(ROUNDUP((Z$1)/10,0)*10,[1]Hugst!$R$4:$W$4,0))))</f>
        <v>0</v>
      </c>
      <c r="AA64">
        <f>IF($C64-AA$1&lt;År1,0,Z63*(1-VLOOKUP($A64,[1]Hugst!$R$5:$W$9,MATCH(ROUNDUP((AA$1)/10,0)*10,[1]Hugst!$R$4:$W$4,0))))</f>
        <v>0</v>
      </c>
      <c r="AB64">
        <f>IF($C64-AB$1&lt;År1,0,AA63*(1-VLOOKUP($A64,[1]Hugst!$R$5:$W$9,MATCH(ROUNDUP((AB$1)/10,0)*10,[1]Hugst!$R$4:$W$4,0))))</f>
        <v>0</v>
      </c>
      <c r="AC64">
        <f>IF($C64-AC$1&lt;År1,0,AB63*(1-VLOOKUP($A64,[1]Hugst!$R$5:$W$9,MATCH(ROUNDUP((AC$1)/10,0)*10,[1]Hugst!$R$4:$W$4,0))))</f>
        <v>0</v>
      </c>
      <c r="AD64">
        <f>IF($C64-AD$1&lt;År1,0,AC63*(1-VLOOKUP($A64,[1]Hugst!$R$5:$W$9,MATCH(ROUNDUP((AD$1)/10,0)*10,[1]Hugst!$R$4:$W$4,0))))</f>
        <v>0</v>
      </c>
      <c r="AE64">
        <f>IF($C64-AE$1&lt;År1,0,AD63*(1-VLOOKUP($A64,[1]Hugst!$R$5:$W$9,MATCH(ROUNDUP((AE$1)/10,0)*10,[1]Hugst!$R$4:$W$4,0))))</f>
        <v>0</v>
      </c>
      <c r="AF64">
        <f>IF($C64-AF$1&lt;År1,0,AE63*(1-VLOOKUP($A64,[1]Hugst!$R$5:$W$9,MATCH(ROUNDUP((AF$1)/10,0)*10,[1]Hugst!$R$4:$W$4,0))))</f>
        <v>0</v>
      </c>
      <c r="AG64">
        <f>IF($C64-AG$1&lt;År1,0,AF63*(1-VLOOKUP($A64,[1]Hugst!$R$5:$W$9,MATCH(ROUNDUP((AG$1)/10,0)*10,[1]Hugst!$R$4:$W$4,0))))</f>
        <v>0</v>
      </c>
      <c r="AH64">
        <f>IF($C64-AH$1&lt;År1,0,AG63*(1-VLOOKUP($A64,[1]Hugst!$R$5:$W$9,MATCH(ROUNDUP((AH$1)/10,0)*10,[1]Hugst!$R$4:$W$4,0))))</f>
        <v>0</v>
      </c>
      <c r="AI64">
        <f>IF($C64-AI$1&lt;År1,0,AH63*(1-VLOOKUP($A64,[1]Hugst!$R$5:$W$9,MATCH(ROUNDUP((AI$1)/10,0)*10,[1]Hugst!$R$4:$W$4,0))))</f>
        <v>0</v>
      </c>
      <c r="AJ64">
        <f>IF($C64-AJ$1&lt;År1,0,AI63*(1-VLOOKUP($A64,[1]Hugst!$R$5:$W$9,MATCH(ROUNDUP((AJ$1)/10,0)*10,[1]Hugst!$R$4:$W$4,0))))</f>
        <v>0</v>
      </c>
    </row>
    <row r="65" spans="1:36" x14ac:dyDescent="0.25">
      <c r="A65" t="s">
        <v>177</v>
      </c>
      <c r="B65" t="s">
        <v>23</v>
      </c>
      <c r="C65">
        <v>2021</v>
      </c>
      <c r="D65" cm="1">
        <f t="array" ref="D65">(IF(B65="Vestdanmark",Skovbrug!$C$22-(Skovbrug!$C$22)*(1-Skovbrug!$C$9)^(C65-Skovbrug!$B$12),Skovbrug!$F$22-(Skovbrug!$F$22)*(1-Skovbrug!$C$9)^(C65-Skovbrug!$B$12)))*VLOOKUP(A65,Skovbrug!$A$13:$D$17,IF('Skovbrug-alder'!C65&lt;=År2,3,4),FALSE)
-IF(C65&gt;2020,SUM(INDEX($C$1:$D$311,MATCH(1,(2020=$C$1:$C$311)*(B65=$B$1:$B$311)*(A65=$A$1:$A$311),0),2):D64),0)</f>
        <v>974.00069778361353</v>
      </c>
      <c r="E65">
        <f t="shared" ref="E65:E94" ca="1" si="1">IF(C65=2020,SUM(G65:AJ65),SUM(F64:AJ64)-SUM(G65:AJ65))</f>
        <v>0</v>
      </c>
      <c r="F65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5413.3946371775519</v>
      </c>
      <c r="G65">
        <f ca="1">IF($C65-G$1&lt;År1,0,F64*(1-VLOOKUP($A65,[1]Hugst!$R$5:$W$9,MATCH(ROUNDUP((G$1)/10,0)*10,[1]Hugst!$R$4:$W$4,0))))</f>
        <v>5418.2891130458347</v>
      </c>
      <c r="H65">
        <f>IF($C65-H$1&lt;År1,0,G64*(1-VLOOKUP($A65,[1]Hugst!$R$5:$W$9,MATCH(ROUNDUP((H$1)/10,0)*10,[1]Hugst!$R$4:$W$4,0))))</f>
        <v>0</v>
      </c>
      <c r="I65">
        <f>IF($C65-I$1&lt;År1,0,H64*(1-VLOOKUP($A65,[1]Hugst!$R$5:$W$9,MATCH(ROUNDUP((I$1)/10,0)*10,[1]Hugst!$R$4:$W$4,0))))</f>
        <v>0</v>
      </c>
      <c r="J65">
        <f>IF($C65-J$1&lt;År1,0,I64*(1-VLOOKUP($A65,[1]Hugst!$R$5:$W$9,MATCH(ROUNDUP((J$1)/10,0)*10,[1]Hugst!$R$4:$W$4,0))))</f>
        <v>0</v>
      </c>
      <c r="K65">
        <f>IF($C65-K$1&lt;År1,0,J64*(1-VLOOKUP($A65,[1]Hugst!$R$5:$W$9,MATCH(ROUNDUP((K$1)/10,0)*10,[1]Hugst!$R$4:$W$4,0))))</f>
        <v>0</v>
      </c>
      <c r="L65">
        <f>IF($C65-L$1&lt;År1,0,K64*(1-VLOOKUP($A65,[1]Hugst!$R$5:$W$9,MATCH(ROUNDUP((L$1)/10,0)*10,[1]Hugst!$R$4:$W$4,0))))</f>
        <v>0</v>
      </c>
      <c r="M65">
        <f>IF($C65-M$1&lt;År1,0,L64*(1-VLOOKUP($A65,[1]Hugst!$R$5:$W$9,MATCH(ROUNDUP((M$1)/10,0)*10,[1]Hugst!$R$4:$W$4,0))))</f>
        <v>0</v>
      </c>
      <c r="N65">
        <f>IF($C65-N$1&lt;År1,0,M64*(1-VLOOKUP($A65,[1]Hugst!$R$5:$W$9,MATCH(ROUNDUP((N$1)/10,0)*10,[1]Hugst!$R$4:$W$4,0))))</f>
        <v>0</v>
      </c>
      <c r="O65">
        <f>IF($C65-O$1&lt;År1,0,N64*(1-VLOOKUP($A65,[1]Hugst!$R$5:$W$9,MATCH(ROUNDUP((O$1)/10,0)*10,[1]Hugst!$R$4:$W$4,0))))</f>
        <v>0</v>
      </c>
      <c r="P65">
        <f>IF($C65-P$1&lt;År1,0,O64*(1-VLOOKUP($A65,[1]Hugst!$R$5:$W$9,MATCH(ROUNDUP((P$1)/10,0)*10,[1]Hugst!$R$4:$W$4,0))))</f>
        <v>0</v>
      </c>
      <c r="Q65">
        <f>IF($C65-Q$1&lt;År1,0,P64*(1-VLOOKUP($A65,[1]Hugst!$R$5:$W$9,MATCH(ROUNDUP((Q$1)/10,0)*10,[1]Hugst!$R$4:$W$4,0))))</f>
        <v>0</v>
      </c>
      <c r="R65">
        <f>IF($C65-R$1&lt;År1,0,Q64*(1-VLOOKUP($A65,[1]Hugst!$R$5:$W$9,MATCH(ROUNDUP((R$1)/10,0)*10,[1]Hugst!$R$4:$W$4,0))))</f>
        <v>0</v>
      </c>
      <c r="S65">
        <f>IF($C65-S$1&lt;År1,0,R64*(1-VLOOKUP($A65,[1]Hugst!$R$5:$W$9,MATCH(ROUNDUP((S$1)/10,0)*10,[1]Hugst!$R$4:$W$4,0))))</f>
        <v>0</v>
      </c>
      <c r="T65">
        <f>IF($C65-T$1&lt;År1,0,S64*(1-VLOOKUP($A65,[1]Hugst!$R$5:$W$9,MATCH(ROUNDUP((T$1)/10,0)*10,[1]Hugst!$R$4:$W$4,0))))</f>
        <v>0</v>
      </c>
      <c r="U65">
        <f>IF($C65-U$1&lt;År1,0,T64*(1-VLOOKUP($A65,[1]Hugst!$R$5:$W$9,MATCH(ROUNDUP((U$1)/10,0)*10,[1]Hugst!$R$4:$W$4,0))))</f>
        <v>0</v>
      </c>
      <c r="V65">
        <f>IF($C65-V$1&lt;År1,0,U64*(1-VLOOKUP($A65,[1]Hugst!$R$5:$W$9,MATCH(ROUNDUP((V$1)/10,0)*10,[1]Hugst!$R$4:$W$4,0))))</f>
        <v>0</v>
      </c>
      <c r="W65">
        <f>IF($C65-W$1&lt;År1,0,V64*(1-VLOOKUP($A65,[1]Hugst!$R$5:$W$9,MATCH(ROUNDUP((W$1)/10,0)*10,[1]Hugst!$R$4:$W$4,0))))</f>
        <v>0</v>
      </c>
      <c r="X65">
        <f>IF($C65-X$1&lt;År1,0,W64*(1-VLOOKUP($A65,[1]Hugst!$R$5:$W$9,MATCH(ROUNDUP((X$1)/10,0)*10,[1]Hugst!$R$4:$W$4,0))))</f>
        <v>0</v>
      </c>
      <c r="Y65">
        <f>IF($C65-Y$1&lt;År1,0,X64*(1-VLOOKUP($A65,[1]Hugst!$R$5:$W$9,MATCH(ROUNDUP((Y$1)/10,0)*10,[1]Hugst!$R$4:$W$4,0))))</f>
        <v>0</v>
      </c>
      <c r="Z65">
        <f>IF($C65-Z$1&lt;År1,0,Y64*(1-VLOOKUP($A65,[1]Hugst!$R$5:$W$9,MATCH(ROUNDUP((Z$1)/10,0)*10,[1]Hugst!$R$4:$W$4,0))))</f>
        <v>0</v>
      </c>
      <c r="AA65">
        <f>IF($C65-AA$1&lt;År1,0,Z64*(1-VLOOKUP($A65,[1]Hugst!$R$5:$W$9,MATCH(ROUNDUP((AA$1)/10,0)*10,[1]Hugst!$R$4:$W$4,0))))</f>
        <v>0</v>
      </c>
      <c r="AB65">
        <f>IF($C65-AB$1&lt;År1,0,AA64*(1-VLOOKUP($A65,[1]Hugst!$R$5:$W$9,MATCH(ROUNDUP((AB$1)/10,0)*10,[1]Hugst!$R$4:$W$4,0))))</f>
        <v>0</v>
      </c>
      <c r="AC65">
        <f>IF($C65-AC$1&lt;År1,0,AB64*(1-VLOOKUP($A65,[1]Hugst!$R$5:$W$9,MATCH(ROUNDUP((AC$1)/10,0)*10,[1]Hugst!$R$4:$W$4,0))))</f>
        <v>0</v>
      </c>
      <c r="AD65">
        <f>IF($C65-AD$1&lt;År1,0,AC64*(1-VLOOKUP($A65,[1]Hugst!$R$5:$W$9,MATCH(ROUNDUP((AD$1)/10,0)*10,[1]Hugst!$R$4:$W$4,0))))</f>
        <v>0</v>
      </c>
      <c r="AE65">
        <f>IF($C65-AE$1&lt;År1,0,AD64*(1-VLOOKUP($A65,[1]Hugst!$R$5:$W$9,MATCH(ROUNDUP((AE$1)/10,0)*10,[1]Hugst!$R$4:$W$4,0))))</f>
        <v>0</v>
      </c>
      <c r="AF65">
        <f>IF($C65-AF$1&lt;År1,0,AE64*(1-VLOOKUP($A65,[1]Hugst!$R$5:$W$9,MATCH(ROUNDUP((AF$1)/10,0)*10,[1]Hugst!$R$4:$W$4,0))))</f>
        <v>0</v>
      </c>
      <c r="AG65">
        <f>IF($C65-AG$1&lt;År1,0,AF64*(1-VLOOKUP($A65,[1]Hugst!$R$5:$W$9,MATCH(ROUNDUP((AG$1)/10,0)*10,[1]Hugst!$R$4:$W$4,0))))</f>
        <v>0</v>
      </c>
      <c r="AH65">
        <f>IF($C65-AH$1&lt;År1,0,AG64*(1-VLOOKUP($A65,[1]Hugst!$R$5:$W$9,MATCH(ROUNDUP((AH$1)/10,0)*10,[1]Hugst!$R$4:$W$4,0))))</f>
        <v>0</v>
      </c>
      <c r="AI65">
        <f>IF($C65-AI$1&lt;År1,0,AH64*(1-VLOOKUP($A65,[1]Hugst!$R$5:$W$9,MATCH(ROUNDUP((AI$1)/10,0)*10,[1]Hugst!$R$4:$W$4,0))))</f>
        <v>0</v>
      </c>
      <c r="AJ65">
        <f>IF($C65-AJ$1&lt;År1,0,AI64*(1-VLOOKUP($A65,[1]Hugst!$R$5:$W$9,MATCH(ROUNDUP((AJ$1)/10,0)*10,[1]Hugst!$R$4:$W$4,0))))</f>
        <v>0</v>
      </c>
    </row>
    <row r="66" spans="1:36" x14ac:dyDescent="0.25">
      <c r="A66" t="s">
        <v>177</v>
      </c>
      <c r="B66" t="s">
        <v>23</v>
      </c>
      <c r="C66">
        <v>2022</v>
      </c>
      <c r="D66" cm="1">
        <f t="array" ref="D66">(IF(B66="Vestdanmark",Skovbrug!$C$22-(Skovbrug!$C$22)*(1-Skovbrug!$C$9)^(C66-Skovbrug!$B$12),Skovbrug!$F$22-(Skovbrug!$F$22)*(1-Skovbrug!$C$9)^(C66-Skovbrug!$B$12)))*VLOOKUP(A66,Skovbrug!$A$13:$D$17,IF('Skovbrug-alder'!C66&lt;=År2,3,4),FALSE)
-IF(C66&gt;2020,SUM(INDEX($C$1:$D$311,MATCH(1,(2020=$C$1:$C$311)*(B66=$B$1:$B$311)*(A66=$A$1:$A$311),0),2):D65),0)</f>
        <v>969.13069429472398</v>
      </c>
      <c r="E66">
        <f t="shared" ca="1" si="1"/>
        <v>0</v>
      </c>
      <c r="F66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5408.5246336886621</v>
      </c>
      <c r="G66">
        <f ca="1">IF($C66-G$1&lt;År1,0,F65*(1-VLOOKUP($A66,[1]Hugst!$R$5:$W$9,MATCH(ROUNDUP((G$1)/10,0)*10,[1]Hugst!$R$4:$W$4,0))))</f>
        <v>5413.3946371775519</v>
      </c>
      <c r="H66">
        <f ca="1">IF($C66-H$1&lt;År1,0,G65*(1-VLOOKUP($A66,[1]Hugst!$R$5:$W$9,MATCH(ROUNDUP((H$1)/10,0)*10,[1]Hugst!$R$4:$W$4,0))))</f>
        <v>5418.2891130458347</v>
      </c>
      <c r="I66">
        <f>IF($C66-I$1&lt;År1,0,H65*(1-VLOOKUP($A66,[1]Hugst!$R$5:$W$9,MATCH(ROUNDUP((I$1)/10,0)*10,[1]Hugst!$R$4:$W$4,0))))</f>
        <v>0</v>
      </c>
      <c r="J66">
        <f>IF($C66-J$1&lt;År1,0,I65*(1-VLOOKUP($A66,[1]Hugst!$R$5:$W$9,MATCH(ROUNDUP((J$1)/10,0)*10,[1]Hugst!$R$4:$W$4,0))))</f>
        <v>0</v>
      </c>
      <c r="K66">
        <f>IF($C66-K$1&lt;År1,0,J65*(1-VLOOKUP($A66,[1]Hugst!$R$5:$W$9,MATCH(ROUNDUP((K$1)/10,0)*10,[1]Hugst!$R$4:$W$4,0))))</f>
        <v>0</v>
      </c>
      <c r="L66">
        <f>IF($C66-L$1&lt;År1,0,K65*(1-VLOOKUP($A66,[1]Hugst!$R$5:$W$9,MATCH(ROUNDUP((L$1)/10,0)*10,[1]Hugst!$R$4:$W$4,0))))</f>
        <v>0</v>
      </c>
      <c r="M66">
        <f>IF($C66-M$1&lt;År1,0,L65*(1-VLOOKUP($A66,[1]Hugst!$R$5:$W$9,MATCH(ROUNDUP((M$1)/10,0)*10,[1]Hugst!$R$4:$W$4,0))))</f>
        <v>0</v>
      </c>
      <c r="N66">
        <f>IF($C66-N$1&lt;År1,0,M65*(1-VLOOKUP($A66,[1]Hugst!$R$5:$W$9,MATCH(ROUNDUP((N$1)/10,0)*10,[1]Hugst!$R$4:$W$4,0))))</f>
        <v>0</v>
      </c>
      <c r="O66">
        <f>IF($C66-O$1&lt;År1,0,N65*(1-VLOOKUP($A66,[1]Hugst!$R$5:$W$9,MATCH(ROUNDUP((O$1)/10,0)*10,[1]Hugst!$R$4:$W$4,0))))</f>
        <v>0</v>
      </c>
      <c r="P66">
        <f>IF($C66-P$1&lt;År1,0,O65*(1-VLOOKUP($A66,[1]Hugst!$R$5:$W$9,MATCH(ROUNDUP((P$1)/10,0)*10,[1]Hugst!$R$4:$W$4,0))))</f>
        <v>0</v>
      </c>
      <c r="Q66">
        <f>IF($C66-Q$1&lt;År1,0,P65*(1-VLOOKUP($A66,[1]Hugst!$R$5:$W$9,MATCH(ROUNDUP((Q$1)/10,0)*10,[1]Hugst!$R$4:$W$4,0))))</f>
        <v>0</v>
      </c>
      <c r="R66">
        <f>IF($C66-R$1&lt;År1,0,Q65*(1-VLOOKUP($A66,[1]Hugst!$R$5:$W$9,MATCH(ROUNDUP((R$1)/10,0)*10,[1]Hugst!$R$4:$W$4,0))))</f>
        <v>0</v>
      </c>
      <c r="S66">
        <f>IF($C66-S$1&lt;År1,0,R65*(1-VLOOKUP($A66,[1]Hugst!$R$5:$W$9,MATCH(ROUNDUP((S$1)/10,0)*10,[1]Hugst!$R$4:$W$4,0))))</f>
        <v>0</v>
      </c>
      <c r="T66">
        <f>IF($C66-T$1&lt;År1,0,S65*(1-VLOOKUP($A66,[1]Hugst!$R$5:$W$9,MATCH(ROUNDUP((T$1)/10,0)*10,[1]Hugst!$R$4:$W$4,0))))</f>
        <v>0</v>
      </c>
      <c r="U66">
        <f>IF($C66-U$1&lt;År1,0,T65*(1-VLOOKUP($A66,[1]Hugst!$R$5:$W$9,MATCH(ROUNDUP((U$1)/10,0)*10,[1]Hugst!$R$4:$W$4,0))))</f>
        <v>0</v>
      </c>
      <c r="V66">
        <f>IF($C66-V$1&lt;År1,0,U65*(1-VLOOKUP($A66,[1]Hugst!$R$5:$W$9,MATCH(ROUNDUP((V$1)/10,0)*10,[1]Hugst!$R$4:$W$4,0))))</f>
        <v>0</v>
      </c>
      <c r="W66">
        <f>IF($C66-W$1&lt;År1,0,V65*(1-VLOOKUP($A66,[1]Hugst!$R$5:$W$9,MATCH(ROUNDUP((W$1)/10,0)*10,[1]Hugst!$R$4:$W$4,0))))</f>
        <v>0</v>
      </c>
      <c r="X66">
        <f>IF($C66-X$1&lt;År1,0,W65*(1-VLOOKUP($A66,[1]Hugst!$R$5:$W$9,MATCH(ROUNDUP((X$1)/10,0)*10,[1]Hugst!$R$4:$W$4,0))))</f>
        <v>0</v>
      </c>
      <c r="Y66">
        <f>IF($C66-Y$1&lt;År1,0,X65*(1-VLOOKUP($A66,[1]Hugst!$R$5:$W$9,MATCH(ROUNDUP((Y$1)/10,0)*10,[1]Hugst!$R$4:$W$4,0))))</f>
        <v>0</v>
      </c>
      <c r="Z66">
        <f>IF($C66-Z$1&lt;År1,0,Y65*(1-VLOOKUP($A66,[1]Hugst!$R$5:$W$9,MATCH(ROUNDUP((Z$1)/10,0)*10,[1]Hugst!$R$4:$W$4,0))))</f>
        <v>0</v>
      </c>
      <c r="AA66">
        <f>IF($C66-AA$1&lt;År1,0,Z65*(1-VLOOKUP($A66,[1]Hugst!$R$5:$W$9,MATCH(ROUNDUP((AA$1)/10,0)*10,[1]Hugst!$R$4:$W$4,0))))</f>
        <v>0</v>
      </c>
      <c r="AB66">
        <f>IF($C66-AB$1&lt;År1,0,AA65*(1-VLOOKUP($A66,[1]Hugst!$R$5:$W$9,MATCH(ROUNDUP((AB$1)/10,0)*10,[1]Hugst!$R$4:$W$4,0))))</f>
        <v>0</v>
      </c>
      <c r="AC66">
        <f>IF($C66-AC$1&lt;År1,0,AB65*(1-VLOOKUP($A66,[1]Hugst!$R$5:$W$9,MATCH(ROUNDUP((AC$1)/10,0)*10,[1]Hugst!$R$4:$W$4,0))))</f>
        <v>0</v>
      </c>
      <c r="AD66">
        <f>IF($C66-AD$1&lt;År1,0,AC65*(1-VLOOKUP($A66,[1]Hugst!$R$5:$W$9,MATCH(ROUNDUP((AD$1)/10,0)*10,[1]Hugst!$R$4:$W$4,0))))</f>
        <v>0</v>
      </c>
      <c r="AE66">
        <f>IF($C66-AE$1&lt;År1,0,AD65*(1-VLOOKUP($A66,[1]Hugst!$R$5:$W$9,MATCH(ROUNDUP((AE$1)/10,0)*10,[1]Hugst!$R$4:$W$4,0))))</f>
        <v>0</v>
      </c>
      <c r="AF66">
        <f>IF($C66-AF$1&lt;År1,0,AE65*(1-VLOOKUP($A66,[1]Hugst!$R$5:$W$9,MATCH(ROUNDUP((AF$1)/10,0)*10,[1]Hugst!$R$4:$W$4,0))))</f>
        <v>0</v>
      </c>
      <c r="AG66">
        <f>IF($C66-AG$1&lt;År1,0,AF65*(1-VLOOKUP($A66,[1]Hugst!$R$5:$W$9,MATCH(ROUNDUP((AG$1)/10,0)*10,[1]Hugst!$R$4:$W$4,0))))</f>
        <v>0</v>
      </c>
      <c r="AH66">
        <f>IF($C66-AH$1&lt;År1,0,AG65*(1-VLOOKUP($A66,[1]Hugst!$R$5:$W$9,MATCH(ROUNDUP((AH$1)/10,0)*10,[1]Hugst!$R$4:$W$4,0))))</f>
        <v>0</v>
      </c>
      <c r="AI66">
        <f>IF($C66-AI$1&lt;År1,0,AH65*(1-VLOOKUP($A66,[1]Hugst!$R$5:$W$9,MATCH(ROUNDUP((AI$1)/10,0)*10,[1]Hugst!$R$4:$W$4,0))))</f>
        <v>0</v>
      </c>
      <c r="AJ66">
        <f>IF($C66-AJ$1&lt;År1,0,AI65*(1-VLOOKUP($A66,[1]Hugst!$R$5:$W$9,MATCH(ROUNDUP((AJ$1)/10,0)*10,[1]Hugst!$R$4:$W$4,0))))</f>
        <v>0</v>
      </c>
    </row>
    <row r="67" spans="1:36" x14ac:dyDescent="0.25">
      <c r="A67" t="s">
        <v>177</v>
      </c>
      <c r="B67" t="s">
        <v>23</v>
      </c>
      <c r="C67">
        <v>2023</v>
      </c>
      <c r="D67" cm="1">
        <f t="array" ref="D67">(IF(B67="Vestdanmark",Skovbrug!$C$22-(Skovbrug!$C$22)*(1-Skovbrug!$C$9)^(C67-Skovbrug!$B$12),Skovbrug!$F$22-(Skovbrug!$F$22)*(1-Skovbrug!$C$9)^(C67-Skovbrug!$B$12)))*VLOOKUP(A67,Skovbrug!$A$13:$D$17,IF('Skovbrug-alder'!C67&lt;=År2,3,4),FALSE)
-IF(C67&gt;2020,SUM(INDEX($C$1:$D$311,MATCH(1,(2020=$C$1:$C$311)*(B67=$B$1:$B$311)*(A67=$A$1:$A$311),0),2):D66),0)</f>
        <v>964.2850408232448</v>
      </c>
      <c r="E67">
        <f t="shared" ca="1" si="1"/>
        <v>0</v>
      </c>
      <c r="F67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5403.6789802171825</v>
      </c>
      <c r="G67">
        <f ca="1">IF($C67-G$1&lt;År1,0,F66*(1-VLOOKUP($A67,[1]Hugst!$R$5:$W$9,MATCH(ROUNDUP((G$1)/10,0)*10,[1]Hugst!$R$4:$W$4,0))))</f>
        <v>5408.5246336886621</v>
      </c>
      <c r="H67">
        <f ca="1">IF($C67-H$1&lt;År1,0,G66*(1-VLOOKUP($A67,[1]Hugst!$R$5:$W$9,MATCH(ROUNDUP((H$1)/10,0)*10,[1]Hugst!$R$4:$W$4,0))))</f>
        <v>5413.3946371775519</v>
      </c>
      <c r="I67">
        <f ca="1">IF($C67-I$1&lt;År1,0,H66*(1-VLOOKUP($A67,[1]Hugst!$R$5:$W$9,MATCH(ROUNDUP((I$1)/10,0)*10,[1]Hugst!$R$4:$W$4,0))))</f>
        <v>5418.2891130458347</v>
      </c>
      <c r="J67">
        <f>IF($C67-J$1&lt;År1,0,I66*(1-VLOOKUP($A67,[1]Hugst!$R$5:$W$9,MATCH(ROUNDUP((J$1)/10,0)*10,[1]Hugst!$R$4:$W$4,0))))</f>
        <v>0</v>
      </c>
      <c r="K67">
        <f>IF($C67-K$1&lt;År1,0,J66*(1-VLOOKUP($A67,[1]Hugst!$R$5:$W$9,MATCH(ROUNDUP((K$1)/10,0)*10,[1]Hugst!$R$4:$W$4,0))))</f>
        <v>0</v>
      </c>
      <c r="L67">
        <f>IF($C67-L$1&lt;År1,0,K66*(1-VLOOKUP($A67,[1]Hugst!$R$5:$W$9,MATCH(ROUNDUP((L$1)/10,0)*10,[1]Hugst!$R$4:$W$4,0))))</f>
        <v>0</v>
      </c>
      <c r="M67">
        <f>IF($C67-M$1&lt;År1,0,L66*(1-VLOOKUP($A67,[1]Hugst!$R$5:$W$9,MATCH(ROUNDUP((M$1)/10,0)*10,[1]Hugst!$R$4:$W$4,0))))</f>
        <v>0</v>
      </c>
      <c r="N67">
        <f>IF($C67-N$1&lt;År1,0,M66*(1-VLOOKUP($A67,[1]Hugst!$R$5:$W$9,MATCH(ROUNDUP((N$1)/10,0)*10,[1]Hugst!$R$4:$W$4,0))))</f>
        <v>0</v>
      </c>
      <c r="O67">
        <f>IF($C67-O$1&lt;År1,0,N66*(1-VLOOKUP($A67,[1]Hugst!$R$5:$W$9,MATCH(ROUNDUP((O$1)/10,0)*10,[1]Hugst!$R$4:$W$4,0))))</f>
        <v>0</v>
      </c>
      <c r="P67">
        <f>IF($C67-P$1&lt;År1,0,O66*(1-VLOOKUP($A67,[1]Hugst!$R$5:$W$9,MATCH(ROUNDUP((P$1)/10,0)*10,[1]Hugst!$R$4:$W$4,0))))</f>
        <v>0</v>
      </c>
      <c r="Q67">
        <f>IF($C67-Q$1&lt;År1,0,P66*(1-VLOOKUP($A67,[1]Hugst!$R$5:$W$9,MATCH(ROUNDUP((Q$1)/10,0)*10,[1]Hugst!$R$4:$W$4,0))))</f>
        <v>0</v>
      </c>
      <c r="R67">
        <f>IF($C67-R$1&lt;År1,0,Q66*(1-VLOOKUP($A67,[1]Hugst!$R$5:$W$9,MATCH(ROUNDUP((R$1)/10,0)*10,[1]Hugst!$R$4:$W$4,0))))</f>
        <v>0</v>
      </c>
      <c r="S67">
        <f>IF($C67-S$1&lt;År1,0,R66*(1-VLOOKUP($A67,[1]Hugst!$R$5:$W$9,MATCH(ROUNDUP((S$1)/10,0)*10,[1]Hugst!$R$4:$W$4,0))))</f>
        <v>0</v>
      </c>
      <c r="T67">
        <f>IF($C67-T$1&lt;År1,0,S66*(1-VLOOKUP($A67,[1]Hugst!$R$5:$W$9,MATCH(ROUNDUP((T$1)/10,0)*10,[1]Hugst!$R$4:$W$4,0))))</f>
        <v>0</v>
      </c>
      <c r="U67">
        <f>IF($C67-U$1&lt;År1,0,T66*(1-VLOOKUP($A67,[1]Hugst!$R$5:$W$9,MATCH(ROUNDUP((U$1)/10,0)*10,[1]Hugst!$R$4:$W$4,0))))</f>
        <v>0</v>
      </c>
      <c r="V67">
        <f>IF($C67-V$1&lt;År1,0,U66*(1-VLOOKUP($A67,[1]Hugst!$R$5:$W$9,MATCH(ROUNDUP((V$1)/10,0)*10,[1]Hugst!$R$4:$W$4,0))))</f>
        <v>0</v>
      </c>
      <c r="W67">
        <f>IF($C67-W$1&lt;År1,0,V66*(1-VLOOKUP($A67,[1]Hugst!$R$5:$W$9,MATCH(ROUNDUP((W$1)/10,0)*10,[1]Hugst!$R$4:$W$4,0))))</f>
        <v>0</v>
      </c>
      <c r="X67">
        <f>IF($C67-X$1&lt;År1,0,W66*(1-VLOOKUP($A67,[1]Hugst!$R$5:$W$9,MATCH(ROUNDUP((X$1)/10,0)*10,[1]Hugst!$R$4:$W$4,0))))</f>
        <v>0</v>
      </c>
      <c r="Y67">
        <f>IF($C67-Y$1&lt;År1,0,X66*(1-VLOOKUP($A67,[1]Hugst!$R$5:$W$9,MATCH(ROUNDUP((Y$1)/10,0)*10,[1]Hugst!$R$4:$W$4,0))))</f>
        <v>0</v>
      </c>
      <c r="Z67">
        <f>IF($C67-Z$1&lt;År1,0,Y66*(1-VLOOKUP($A67,[1]Hugst!$R$5:$W$9,MATCH(ROUNDUP((Z$1)/10,0)*10,[1]Hugst!$R$4:$W$4,0))))</f>
        <v>0</v>
      </c>
      <c r="AA67">
        <f>IF($C67-AA$1&lt;År1,0,Z66*(1-VLOOKUP($A67,[1]Hugst!$R$5:$W$9,MATCH(ROUNDUP((AA$1)/10,0)*10,[1]Hugst!$R$4:$W$4,0))))</f>
        <v>0</v>
      </c>
      <c r="AB67">
        <f>IF($C67-AB$1&lt;År1,0,AA66*(1-VLOOKUP($A67,[1]Hugst!$R$5:$W$9,MATCH(ROUNDUP((AB$1)/10,0)*10,[1]Hugst!$R$4:$W$4,0))))</f>
        <v>0</v>
      </c>
      <c r="AC67">
        <f>IF($C67-AC$1&lt;År1,0,AB66*(1-VLOOKUP($A67,[1]Hugst!$R$5:$W$9,MATCH(ROUNDUP((AC$1)/10,0)*10,[1]Hugst!$R$4:$W$4,0))))</f>
        <v>0</v>
      </c>
      <c r="AD67">
        <f>IF($C67-AD$1&lt;År1,0,AC66*(1-VLOOKUP($A67,[1]Hugst!$R$5:$W$9,MATCH(ROUNDUP((AD$1)/10,0)*10,[1]Hugst!$R$4:$W$4,0))))</f>
        <v>0</v>
      </c>
      <c r="AE67">
        <f>IF($C67-AE$1&lt;År1,0,AD66*(1-VLOOKUP($A67,[1]Hugst!$R$5:$W$9,MATCH(ROUNDUP((AE$1)/10,0)*10,[1]Hugst!$R$4:$W$4,0))))</f>
        <v>0</v>
      </c>
      <c r="AF67">
        <f>IF($C67-AF$1&lt;År1,0,AE66*(1-VLOOKUP($A67,[1]Hugst!$R$5:$W$9,MATCH(ROUNDUP((AF$1)/10,0)*10,[1]Hugst!$R$4:$W$4,0))))</f>
        <v>0</v>
      </c>
      <c r="AG67">
        <f>IF($C67-AG$1&lt;År1,0,AF66*(1-VLOOKUP($A67,[1]Hugst!$R$5:$W$9,MATCH(ROUNDUP((AG$1)/10,0)*10,[1]Hugst!$R$4:$W$4,0))))</f>
        <v>0</v>
      </c>
      <c r="AH67">
        <f>IF($C67-AH$1&lt;År1,0,AG66*(1-VLOOKUP($A67,[1]Hugst!$R$5:$W$9,MATCH(ROUNDUP((AH$1)/10,0)*10,[1]Hugst!$R$4:$W$4,0))))</f>
        <v>0</v>
      </c>
      <c r="AI67">
        <f>IF($C67-AI$1&lt;År1,0,AH66*(1-VLOOKUP($A67,[1]Hugst!$R$5:$W$9,MATCH(ROUNDUP((AI$1)/10,0)*10,[1]Hugst!$R$4:$W$4,0))))</f>
        <v>0</v>
      </c>
      <c r="AJ67">
        <f>IF($C67-AJ$1&lt;År1,0,AI66*(1-VLOOKUP($A67,[1]Hugst!$R$5:$W$9,MATCH(ROUNDUP((AJ$1)/10,0)*10,[1]Hugst!$R$4:$W$4,0))))</f>
        <v>0</v>
      </c>
    </row>
    <row r="68" spans="1:36" x14ac:dyDescent="0.25">
      <c r="A68" t="s">
        <v>177</v>
      </c>
      <c r="B68" t="s">
        <v>23</v>
      </c>
      <c r="C68">
        <v>2024</v>
      </c>
      <c r="D68" cm="1">
        <f t="array" ref="D68">(IF(B68="Vestdanmark",Skovbrug!$C$22-(Skovbrug!$C$22)*(1-Skovbrug!$C$9)^(C68-Skovbrug!$B$12),Skovbrug!$F$22-(Skovbrug!$F$22)*(1-Skovbrug!$C$9)^(C68-Skovbrug!$B$12)))*VLOOKUP(A68,Skovbrug!$A$13:$D$17,IF('Skovbrug-alder'!C68&lt;=År2,3,4),FALSE)
-IF(C68&gt;2020,SUM(INDEX($C$1:$D$311,MATCH(1,(2020=$C$1:$C$311)*(B68=$B$1:$B$311)*(A68=$A$1:$A$311),0),2):D67),0)</f>
        <v>959.46361561912681</v>
      </c>
      <c r="E68">
        <f t="shared" ca="1" si="1"/>
        <v>0</v>
      </c>
      <c r="F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5398.8575550130645</v>
      </c>
      <c r="G68">
        <f ca="1">IF($C68-G$1&lt;År1,0,F67*(1-VLOOKUP($A68,[1]Hugst!$R$5:$W$9,MATCH(ROUNDUP((G$1)/10,0)*10,[1]Hugst!$R$4:$W$4,0))))</f>
        <v>5403.6789802171825</v>
      </c>
      <c r="H68">
        <f ca="1">IF($C68-H$1&lt;År1,0,G67*(1-VLOOKUP($A68,[1]Hugst!$R$5:$W$9,MATCH(ROUNDUP((H$1)/10,0)*10,[1]Hugst!$R$4:$W$4,0))))</f>
        <v>5408.5246336886621</v>
      </c>
      <c r="I68">
        <f ca="1">IF($C68-I$1&lt;År1,0,H67*(1-VLOOKUP($A68,[1]Hugst!$R$5:$W$9,MATCH(ROUNDUP((I$1)/10,0)*10,[1]Hugst!$R$4:$W$4,0))))</f>
        <v>5413.3946371775519</v>
      </c>
      <c r="J68">
        <f ca="1">IF($C68-J$1&lt;År1,0,I67*(1-VLOOKUP($A68,[1]Hugst!$R$5:$W$9,MATCH(ROUNDUP((J$1)/10,0)*10,[1]Hugst!$R$4:$W$4,0))))</f>
        <v>5418.2891130458347</v>
      </c>
      <c r="K68">
        <f>IF($C68-K$1&lt;År1,0,J67*(1-VLOOKUP($A68,[1]Hugst!$R$5:$W$9,MATCH(ROUNDUP((K$1)/10,0)*10,[1]Hugst!$R$4:$W$4,0))))</f>
        <v>0</v>
      </c>
      <c r="L68">
        <f>IF($C68-L$1&lt;År1,0,K67*(1-VLOOKUP($A68,[1]Hugst!$R$5:$W$9,MATCH(ROUNDUP((L$1)/10,0)*10,[1]Hugst!$R$4:$W$4,0))))</f>
        <v>0</v>
      </c>
      <c r="M68">
        <f>IF($C68-M$1&lt;År1,0,L67*(1-VLOOKUP($A68,[1]Hugst!$R$5:$W$9,MATCH(ROUNDUP((M$1)/10,0)*10,[1]Hugst!$R$4:$W$4,0))))</f>
        <v>0</v>
      </c>
      <c r="N68">
        <f>IF($C68-N$1&lt;År1,0,M67*(1-VLOOKUP($A68,[1]Hugst!$R$5:$W$9,MATCH(ROUNDUP((N$1)/10,0)*10,[1]Hugst!$R$4:$W$4,0))))</f>
        <v>0</v>
      </c>
      <c r="O68">
        <f>IF($C68-O$1&lt;År1,0,N67*(1-VLOOKUP($A68,[1]Hugst!$R$5:$W$9,MATCH(ROUNDUP((O$1)/10,0)*10,[1]Hugst!$R$4:$W$4,0))))</f>
        <v>0</v>
      </c>
      <c r="P68">
        <f>IF($C68-P$1&lt;År1,0,O67*(1-VLOOKUP($A68,[1]Hugst!$R$5:$W$9,MATCH(ROUNDUP((P$1)/10,0)*10,[1]Hugst!$R$4:$W$4,0))))</f>
        <v>0</v>
      </c>
      <c r="Q68">
        <f>IF($C68-Q$1&lt;År1,0,P67*(1-VLOOKUP($A68,[1]Hugst!$R$5:$W$9,MATCH(ROUNDUP((Q$1)/10,0)*10,[1]Hugst!$R$4:$W$4,0))))</f>
        <v>0</v>
      </c>
      <c r="R68">
        <f>IF($C68-R$1&lt;År1,0,Q67*(1-VLOOKUP($A68,[1]Hugst!$R$5:$W$9,MATCH(ROUNDUP((R$1)/10,0)*10,[1]Hugst!$R$4:$W$4,0))))</f>
        <v>0</v>
      </c>
      <c r="S68">
        <f>IF($C68-S$1&lt;År1,0,R67*(1-VLOOKUP($A68,[1]Hugst!$R$5:$W$9,MATCH(ROUNDUP((S$1)/10,0)*10,[1]Hugst!$R$4:$W$4,0))))</f>
        <v>0</v>
      </c>
      <c r="T68">
        <f>IF($C68-T$1&lt;År1,0,S67*(1-VLOOKUP($A68,[1]Hugst!$R$5:$W$9,MATCH(ROUNDUP((T$1)/10,0)*10,[1]Hugst!$R$4:$W$4,0))))</f>
        <v>0</v>
      </c>
      <c r="U68">
        <f>IF($C68-U$1&lt;År1,0,T67*(1-VLOOKUP($A68,[1]Hugst!$R$5:$W$9,MATCH(ROUNDUP((U$1)/10,0)*10,[1]Hugst!$R$4:$W$4,0))))</f>
        <v>0</v>
      </c>
      <c r="V68">
        <f>IF($C68-V$1&lt;År1,0,U67*(1-VLOOKUP($A68,[1]Hugst!$R$5:$W$9,MATCH(ROUNDUP((V$1)/10,0)*10,[1]Hugst!$R$4:$W$4,0))))</f>
        <v>0</v>
      </c>
      <c r="W68">
        <f>IF($C68-W$1&lt;År1,0,V67*(1-VLOOKUP($A68,[1]Hugst!$R$5:$W$9,MATCH(ROUNDUP((W$1)/10,0)*10,[1]Hugst!$R$4:$W$4,0))))</f>
        <v>0</v>
      </c>
      <c r="X68">
        <f>IF($C68-X$1&lt;År1,0,W67*(1-VLOOKUP($A68,[1]Hugst!$R$5:$W$9,MATCH(ROUNDUP((X$1)/10,0)*10,[1]Hugst!$R$4:$W$4,0))))</f>
        <v>0</v>
      </c>
      <c r="Y68">
        <f>IF($C68-Y$1&lt;År1,0,X67*(1-VLOOKUP($A68,[1]Hugst!$R$5:$W$9,MATCH(ROUNDUP((Y$1)/10,0)*10,[1]Hugst!$R$4:$W$4,0))))</f>
        <v>0</v>
      </c>
      <c r="Z68">
        <f>IF($C68-Z$1&lt;År1,0,Y67*(1-VLOOKUP($A68,[1]Hugst!$R$5:$W$9,MATCH(ROUNDUP((Z$1)/10,0)*10,[1]Hugst!$R$4:$W$4,0))))</f>
        <v>0</v>
      </c>
      <c r="AA68">
        <f>IF($C68-AA$1&lt;År1,0,Z67*(1-VLOOKUP($A68,[1]Hugst!$R$5:$W$9,MATCH(ROUNDUP((AA$1)/10,0)*10,[1]Hugst!$R$4:$W$4,0))))</f>
        <v>0</v>
      </c>
      <c r="AB68">
        <f>IF($C68-AB$1&lt;År1,0,AA67*(1-VLOOKUP($A68,[1]Hugst!$R$5:$W$9,MATCH(ROUNDUP((AB$1)/10,0)*10,[1]Hugst!$R$4:$W$4,0))))</f>
        <v>0</v>
      </c>
      <c r="AC68">
        <f>IF($C68-AC$1&lt;År1,0,AB67*(1-VLOOKUP($A68,[1]Hugst!$R$5:$W$9,MATCH(ROUNDUP((AC$1)/10,0)*10,[1]Hugst!$R$4:$W$4,0))))</f>
        <v>0</v>
      </c>
      <c r="AD68">
        <f>IF($C68-AD$1&lt;År1,0,AC67*(1-VLOOKUP($A68,[1]Hugst!$R$5:$W$9,MATCH(ROUNDUP((AD$1)/10,0)*10,[1]Hugst!$R$4:$W$4,0))))</f>
        <v>0</v>
      </c>
      <c r="AE68">
        <f>IF($C68-AE$1&lt;År1,0,AD67*(1-VLOOKUP($A68,[1]Hugst!$R$5:$W$9,MATCH(ROUNDUP((AE$1)/10,0)*10,[1]Hugst!$R$4:$W$4,0))))</f>
        <v>0</v>
      </c>
      <c r="AF68">
        <f>IF($C68-AF$1&lt;År1,0,AE67*(1-VLOOKUP($A68,[1]Hugst!$R$5:$W$9,MATCH(ROUNDUP((AF$1)/10,0)*10,[1]Hugst!$R$4:$W$4,0))))</f>
        <v>0</v>
      </c>
      <c r="AG68">
        <f>IF($C68-AG$1&lt;År1,0,AF67*(1-VLOOKUP($A68,[1]Hugst!$R$5:$W$9,MATCH(ROUNDUP((AG$1)/10,0)*10,[1]Hugst!$R$4:$W$4,0))))</f>
        <v>0</v>
      </c>
      <c r="AH68">
        <f>IF($C68-AH$1&lt;År1,0,AG67*(1-VLOOKUP($A68,[1]Hugst!$R$5:$W$9,MATCH(ROUNDUP((AH$1)/10,0)*10,[1]Hugst!$R$4:$W$4,0))))</f>
        <v>0</v>
      </c>
      <c r="AI68">
        <f>IF($C68-AI$1&lt;År1,0,AH67*(1-VLOOKUP($A68,[1]Hugst!$R$5:$W$9,MATCH(ROUNDUP((AI$1)/10,0)*10,[1]Hugst!$R$4:$W$4,0))))</f>
        <v>0</v>
      </c>
      <c r="AJ68">
        <f>IF($C68-AJ$1&lt;År1,0,AI67*(1-VLOOKUP($A68,[1]Hugst!$R$5:$W$9,MATCH(ROUNDUP((AJ$1)/10,0)*10,[1]Hugst!$R$4:$W$4,0))))</f>
        <v>0</v>
      </c>
    </row>
    <row r="69" spans="1:36" x14ac:dyDescent="0.25">
      <c r="A69" t="s">
        <v>177</v>
      </c>
      <c r="B69" t="s">
        <v>23</v>
      </c>
      <c r="C69">
        <v>2025</v>
      </c>
      <c r="D69" cm="1">
        <f t="array" ref="D69">(IF(B69="Vestdanmark",Skovbrug!$C$22-(Skovbrug!$C$22)*(1-Skovbrug!$C$9)^(C69-Skovbrug!$B$12),Skovbrug!$F$22-(Skovbrug!$F$22)*(1-Skovbrug!$C$9)^(C69-Skovbrug!$B$12)))*VLOOKUP(A69,Skovbrug!$A$13:$D$17,IF('Skovbrug-alder'!C69&lt;=År2,3,4),FALSE)
-IF(C69&gt;2020,SUM(INDEX($C$1:$D$311,MATCH(1,(2020=$C$1:$C$311)*(B69=$B$1:$B$311)*(A69=$A$1:$A$311),0),2):D68),0)</f>
        <v>954.66629754102632</v>
      </c>
      <c r="E69">
        <f t="shared" ca="1" si="1"/>
        <v>0</v>
      </c>
      <c r="F69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5394.0602369349645</v>
      </c>
      <c r="G69">
        <f ca="1">IF($C69-G$1&lt;År1,0,F68*(1-VLOOKUP($A69,[1]Hugst!$R$5:$W$9,MATCH(ROUNDUP((G$1)/10,0)*10,[1]Hugst!$R$4:$W$4,0))))</f>
        <v>5398.8575550130645</v>
      </c>
      <c r="H69">
        <f ca="1">IF($C69-H$1&lt;År1,0,G68*(1-VLOOKUP($A69,[1]Hugst!$R$5:$W$9,MATCH(ROUNDUP((H$1)/10,0)*10,[1]Hugst!$R$4:$W$4,0))))</f>
        <v>5403.6789802171825</v>
      </c>
      <c r="I69">
        <f ca="1">IF($C69-I$1&lt;År1,0,H68*(1-VLOOKUP($A69,[1]Hugst!$R$5:$W$9,MATCH(ROUNDUP((I$1)/10,0)*10,[1]Hugst!$R$4:$W$4,0))))</f>
        <v>5408.5246336886621</v>
      </c>
      <c r="J69">
        <f ca="1">IF($C69-J$1&lt;År1,0,I68*(1-VLOOKUP($A69,[1]Hugst!$R$5:$W$9,MATCH(ROUNDUP((J$1)/10,0)*10,[1]Hugst!$R$4:$W$4,0))))</f>
        <v>5413.3946371775519</v>
      </c>
      <c r="K69">
        <f ca="1">IF($C69-K$1&lt;År1,0,J68*(1-VLOOKUP($A69,[1]Hugst!$R$5:$W$9,MATCH(ROUNDUP((K$1)/10,0)*10,[1]Hugst!$R$4:$W$4,0))))</f>
        <v>5418.2891130458347</v>
      </c>
      <c r="L69">
        <f>IF($C69-L$1&lt;År1,0,K68*(1-VLOOKUP($A69,[1]Hugst!$R$5:$W$9,MATCH(ROUNDUP((L$1)/10,0)*10,[1]Hugst!$R$4:$W$4,0))))</f>
        <v>0</v>
      </c>
      <c r="M69">
        <f>IF($C69-M$1&lt;År1,0,L68*(1-VLOOKUP($A69,[1]Hugst!$R$5:$W$9,MATCH(ROUNDUP((M$1)/10,0)*10,[1]Hugst!$R$4:$W$4,0))))</f>
        <v>0</v>
      </c>
      <c r="N69">
        <f>IF($C69-N$1&lt;År1,0,M68*(1-VLOOKUP($A69,[1]Hugst!$R$5:$W$9,MATCH(ROUNDUP((N$1)/10,0)*10,[1]Hugst!$R$4:$W$4,0))))</f>
        <v>0</v>
      </c>
      <c r="O69">
        <f>IF($C69-O$1&lt;År1,0,N68*(1-VLOOKUP($A69,[1]Hugst!$R$5:$W$9,MATCH(ROUNDUP((O$1)/10,0)*10,[1]Hugst!$R$4:$W$4,0))))</f>
        <v>0</v>
      </c>
      <c r="P69">
        <f>IF($C69-P$1&lt;År1,0,O68*(1-VLOOKUP($A69,[1]Hugst!$R$5:$W$9,MATCH(ROUNDUP((P$1)/10,0)*10,[1]Hugst!$R$4:$W$4,0))))</f>
        <v>0</v>
      </c>
      <c r="Q69">
        <f>IF($C69-Q$1&lt;År1,0,P68*(1-VLOOKUP($A69,[1]Hugst!$R$5:$W$9,MATCH(ROUNDUP((Q$1)/10,0)*10,[1]Hugst!$R$4:$W$4,0))))</f>
        <v>0</v>
      </c>
      <c r="R69">
        <f>IF($C69-R$1&lt;År1,0,Q68*(1-VLOOKUP($A69,[1]Hugst!$R$5:$W$9,MATCH(ROUNDUP((R$1)/10,0)*10,[1]Hugst!$R$4:$W$4,0))))</f>
        <v>0</v>
      </c>
      <c r="S69">
        <f>IF($C69-S$1&lt;År1,0,R68*(1-VLOOKUP($A69,[1]Hugst!$R$5:$W$9,MATCH(ROUNDUP((S$1)/10,0)*10,[1]Hugst!$R$4:$W$4,0))))</f>
        <v>0</v>
      </c>
      <c r="T69">
        <f>IF($C69-T$1&lt;År1,0,S68*(1-VLOOKUP($A69,[1]Hugst!$R$5:$W$9,MATCH(ROUNDUP((T$1)/10,0)*10,[1]Hugst!$R$4:$W$4,0))))</f>
        <v>0</v>
      </c>
      <c r="U69">
        <f>IF($C69-U$1&lt;År1,0,T68*(1-VLOOKUP($A69,[1]Hugst!$R$5:$W$9,MATCH(ROUNDUP((U$1)/10,0)*10,[1]Hugst!$R$4:$W$4,0))))</f>
        <v>0</v>
      </c>
      <c r="V69">
        <f>IF($C69-V$1&lt;År1,0,U68*(1-VLOOKUP($A69,[1]Hugst!$R$5:$W$9,MATCH(ROUNDUP((V$1)/10,0)*10,[1]Hugst!$R$4:$W$4,0))))</f>
        <v>0</v>
      </c>
      <c r="W69">
        <f>IF($C69-W$1&lt;År1,0,V68*(1-VLOOKUP($A69,[1]Hugst!$R$5:$W$9,MATCH(ROUNDUP((W$1)/10,0)*10,[1]Hugst!$R$4:$W$4,0))))</f>
        <v>0</v>
      </c>
      <c r="X69">
        <f>IF($C69-X$1&lt;År1,0,W68*(1-VLOOKUP($A69,[1]Hugst!$R$5:$W$9,MATCH(ROUNDUP((X$1)/10,0)*10,[1]Hugst!$R$4:$W$4,0))))</f>
        <v>0</v>
      </c>
      <c r="Y69">
        <f>IF($C69-Y$1&lt;År1,0,X68*(1-VLOOKUP($A69,[1]Hugst!$R$5:$W$9,MATCH(ROUNDUP((Y$1)/10,0)*10,[1]Hugst!$R$4:$W$4,0))))</f>
        <v>0</v>
      </c>
      <c r="Z69">
        <f>IF($C69-Z$1&lt;År1,0,Y68*(1-VLOOKUP($A69,[1]Hugst!$R$5:$W$9,MATCH(ROUNDUP((Z$1)/10,0)*10,[1]Hugst!$R$4:$W$4,0))))</f>
        <v>0</v>
      </c>
      <c r="AA69">
        <f>IF($C69-AA$1&lt;År1,0,Z68*(1-VLOOKUP($A69,[1]Hugst!$R$5:$W$9,MATCH(ROUNDUP((AA$1)/10,0)*10,[1]Hugst!$R$4:$W$4,0))))</f>
        <v>0</v>
      </c>
      <c r="AB69">
        <f>IF($C69-AB$1&lt;År1,0,AA68*(1-VLOOKUP($A69,[1]Hugst!$R$5:$W$9,MATCH(ROUNDUP((AB$1)/10,0)*10,[1]Hugst!$R$4:$W$4,0))))</f>
        <v>0</v>
      </c>
      <c r="AC69">
        <f>IF($C69-AC$1&lt;År1,0,AB68*(1-VLOOKUP($A69,[1]Hugst!$R$5:$W$9,MATCH(ROUNDUP((AC$1)/10,0)*10,[1]Hugst!$R$4:$W$4,0))))</f>
        <v>0</v>
      </c>
      <c r="AD69">
        <f>IF($C69-AD$1&lt;År1,0,AC68*(1-VLOOKUP($A69,[1]Hugst!$R$5:$W$9,MATCH(ROUNDUP((AD$1)/10,0)*10,[1]Hugst!$R$4:$W$4,0))))</f>
        <v>0</v>
      </c>
      <c r="AE69">
        <f>IF($C69-AE$1&lt;År1,0,AD68*(1-VLOOKUP($A69,[1]Hugst!$R$5:$W$9,MATCH(ROUNDUP((AE$1)/10,0)*10,[1]Hugst!$R$4:$W$4,0))))</f>
        <v>0</v>
      </c>
      <c r="AF69">
        <f>IF($C69-AF$1&lt;År1,0,AE68*(1-VLOOKUP($A69,[1]Hugst!$R$5:$W$9,MATCH(ROUNDUP((AF$1)/10,0)*10,[1]Hugst!$R$4:$W$4,0))))</f>
        <v>0</v>
      </c>
      <c r="AG69">
        <f>IF($C69-AG$1&lt;År1,0,AF68*(1-VLOOKUP($A69,[1]Hugst!$R$5:$W$9,MATCH(ROUNDUP((AG$1)/10,0)*10,[1]Hugst!$R$4:$W$4,0))))</f>
        <v>0</v>
      </c>
      <c r="AH69">
        <f>IF($C69-AH$1&lt;År1,0,AG68*(1-VLOOKUP($A69,[1]Hugst!$R$5:$W$9,MATCH(ROUNDUP((AH$1)/10,0)*10,[1]Hugst!$R$4:$W$4,0))))</f>
        <v>0</v>
      </c>
      <c r="AI69">
        <f>IF($C69-AI$1&lt;År1,0,AH68*(1-VLOOKUP($A69,[1]Hugst!$R$5:$W$9,MATCH(ROUNDUP((AI$1)/10,0)*10,[1]Hugst!$R$4:$W$4,0))))</f>
        <v>0</v>
      </c>
      <c r="AJ69">
        <f>IF($C69-AJ$1&lt;År1,0,AI68*(1-VLOOKUP($A69,[1]Hugst!$R$5:$W$9,MATCH(ROUNDUP((AJ$1)/10,0)*10,[1]Hugst!$R$4:$W$4,0))))</f>
        <v>0</v>
      </c>
    </row>
    <row r="70" spans="1:36" x14ac:dyDescent="0.25">
      <c r="A70" t="s">
        <v>177</v>
      </c>
      <c r="B70" t="s">
        <v>23</v>
      </c>
      <c r="C70">
        <v>2026</v>
      </c>
      <c r="D70" cm="1">
        <f t="array" ref="D70">(IF(B70="Vestdanmark",Skovbrug!$C$22-(Skovbrug!$C$22)*(1-Skovbrug!$C$9)^(C70-Skovbrug!$B$12),Skovbrug!$F$22-(Skovbrug!$F$22)*(1-Skovbrug!$C$9)^(C70-Skovbrug!$B$12)))*VLOOKUP(A70,Skovbrug!$A$13:$D$17,IF('Skovbrug-alder'!C70&lt;=År2,3,4),FALSE)
-IF(C70&gt;2020,SUM(INDEX($C$1:$D$311,MATCH(1,(2020=$C$1:$C$311)*(B70=$B$1:$B$311)*(A70=$A$1:$A$311),0),2):D69),0)</f>
        <v>949.89296605332584</v>
      </c>
      <c r="E70">
        <f t="shared" ca="1" si="1"/>
        <v>0</v>
      </c>
      <c r="F70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5389.286905447264</v>
      </c>
      <c r="G70">
        <f ca="1">IF($C70-G$1&lt;År1,0,F69*(1-VLOOKUP($A70,[1]Hugst!$R$5:$W$9,MATCH(ROUNDUP((G$1)/10,0)*10,[1]Hugst!$R$4:$W$4,0))))</f>
        <v>5394.0602369349645</v>
      </c>
      <c r="H70">
        <f ca="1">IF($C70-H$1&lt;År1,0,G69*(1-VLOOKUP($A70,[1]Hugst!$R$5:$W$9,MATCH(ROUNDUP((H$1)/10,0)*10,[1]Hugst!$R$4:$W$4,0))))</f>
        <v>5398.8575550130645</v>
      </c>
      <c r="I70">
        <f ca="1">IF($C70-I$1&lt;År1,0,H69*(1-VLOOKUP($A70,[1]Hugst!$R$5:$W$9,MATCH(ROUNDUP((I$1)/10,0)*10,[1]Hugst!$R$4:$W$4,0))))</f>
        <v>5403.6789802171825</v>
      </c>
      <c r="J70">
        <f ca="1">IF($C70-J$1&lt;År1,0,I69*(1-VLOOKUP($A70,[1]Hugst!$R$5:$W$9,MATCH(ROUNDUP((J$1)/10,0)*10,[1]Hugst!$R$4:$W$4,0))))</f>
        <v>5408.5246336886621</v>
      </c>
      <c r="K70">
        <f ca="1">IF($C70-K$1&lt;År1,0,J69*(1-VLOOKUP($A70,[1]Hugst!$R$5:$W$9,MATCH(ROUNDUP((K$1)/10,0)*10,[1]Hugst!$R$4:$W$4,0))))</f>
        <v>5413.3946371775519</v>
      </c>
      <c r="L70">
        <f ca="1">IF($C70-L$1&lt;År1,0,K69*(1-VLOOKUP($A70,[1]Hugst!$R$5:$W$9,MATCH(ROUNDUP((L$1)/10,0)*10,[1]Hugst!$R$4:$W$4,0))))</f>
        <v>5418.2891130458347</v>
      </c>
      <c r="M70">
        <f>IF($C70-M$1&lt;År1,0,L69*(1-VLOOKUP($A70,[1]Hugst!$R$5:$W$9,MATCH(ROUNDUP((M$1)/10,0)*10,[1]Hugst!$R$4:$W$4,0))))</f>
        <v>0</v>
      </c>
      <c r="N70">
        <f>IF($C70-N$1&lt;År1,0,M69*(1-VLOOKUP($A70,[1]Hugst!$R$5:$W$9,MATCH(ROUNDUP((N$1)/10,0)*10,[1]Hugst!$R$4:$W$4,0))))</f>
        <v>0</v>
      </c>
      <c r="O70">
        <f>IF($C70-O$1&lt;År1,0,N69*(1-VLOOKUP($A70,[1]Hugst!$R$5:$W$9,MATCH(ROUNDUP((O$1)/10,0)*10,[1]Hugst!$R$4:$W$4,0))))</f>
        <v>0</v>
      </c>
      <c r="P70">
        <f>IF($C70-P$1&lt;År1,0,O69*(1-VLOOKUP($A70,[1]Hugst!$R$5:$W$9,MATCH(ROUNDUP((P$1)/10,0)*10,[1]Hugst!$R$4:$W$4,0))))</f>
        <v>0</v>
      </c>
      <c r="Q70">
        <f>IF($C70-Q$1&lt;År1,0,P69*(1-VLOOKUP($A70,[1]Hugst!$R$5:$W$9,MATCH(ROUNDUP((Q$1)/10,0)*10,[1]Hugst!$R$4:$W$4,0))))</f>
        <v>0</v>
      </c>
      <c r="R70">
        <f>IF($C70-R$1&lt;År1,0,Q69*(1-VLOOKUP($A70,[1]Hugst!$R$5:$W$9,MATCH(ROUNDUP((R$1)/10,0)*10,[1]Hugst!$R$4:$W$4,0))))</f>
        <v>0</v>
      </c>
      <c r="S70">
        <f>IF($C70-S$1&lt;År1,0,R69*(1-VLOOKUP($A70,[1]Hugst!$R$5:$W$9,MATCH(ROUNDUP((S$1)/10,0)*10,[1]Hugst!$R$4:$W$4,0))))</f>
        <v>0</v>
      </c>
      <c r="T70">
        <f>IF($C70-T$1&lt;År1,0,S69*(1-VLOOKUP($A70,[1]Hugst!$R$5:$W$9,MATCH(ROUNDUP((T$1)/10,0)*10,[1]Hugst!$R$4:$W$4,0))))</f>
        <v>0</v>
      </c>
      <c r="U70">
        <f>IF($C70-U$1&lt;År1,0,T69*(1-VLOOKUP($A70,[1]Hugst!$R$5:$W$9,MATCH(ROUNDUP((U$1)/10,0)*10,[1]Hugst!$R$4:$W$4,0))))</f>
        <v>0</v>
      </c>
      <c r="V70">
        <f>IF($C70-V$1&lt;År1,0,U69*(1-VLOOKUP($A70,[1]Hugst!$R$5:$W$9,MATCH(ROUNDUP((V$1)/10,0)*10,[1]Hugst!$R$4:$W$4,0))))</f>
        <v>0</v>
      </c>
      <c r="W70">
        <f>IF($C70-W$1&lt;År1,0,V69*(1-VLOOKUP($A70,[1]Hugst!$R$5:$W$9,MATCH(ROUNDUP((W$1)/10,0)*10,[1]Hugst!$R$4:$W$4,0))))</f>
        <v>0</v>
      </c>
      <c r="X70">
        <f>IF($C70-X$1&lt;År1,0,W69*(1-VLOOKUP($A70,[1]Hugst!$R$5:$W$9,MATCH(ROUNDUP((X$1)/10,0)*10,[1]Hugst!$R$4:$W$4,0))))</f>
        <v>0</v>
      </c>
      <c r="Y70">
        <f>IF($C70-Y$1&lt;År1,0,X69*(1-VLOOKUP($A70,[1]Hugst!$R$5:$W$9,MATCH(ROUNDUP((Y$1)/10,0)*10,[1]Hugst!$R$4:$W$4,0))))</f>
        <v>0</v>
      </c>
      <c r="Z70">
        <f>IF($C70-Z$1&lt;År1,0,Y69*(1-VLOOKUP($A70,[1]Hugst!$R$5:$W$9,MATCH(ROUNDUP((Z$1)/10,0)*10,[1]Hugst!$R$4:$W$4,0))))</f>
        <v>0</v>
      </c>
      <c r="AA70">
        <f>IF($C70-AA$1&lt;År1,0,Z69*(1-VLOOKUP($A70,[1]Hugst!$R$5:$W$9,MATCH(ROUNDUP((AA$1)/10,0)*10,[1]Hugst!$R$4:$W$4,0))))</f>
        <v>0</v>
      </c>
      <c r="AB70">
        <f>IF($C70-AB$1&lt;År1,0,AA69*(1-VLOOKUP($A70,[1]Hugst!$R$5:$W$9,MATCH(ROUNDUP((AB$1)/10,0)*10,[1]Hugst!$R$4:$W$4,0))))</f>
        <v>0</v>
      </c>
      <c r="AC70">
        <f>IF($C70-AC$1&lt;År1,0,AB69*(1-VLOOKUP($A70,[1]Hugst!$R$5:$W$9,MATCH(ROUNDUP((AC$1)/10,0)*10,[1]Hugst!$R$4:$W$4,0))))</f>
        <v>0</v>
      </c>
      <c r="AD70">
        <f>IF($C70-AD$1&lt;År1,0,AC69*(1-VLOOKUP($A70,[1]Hugst!$R$5:$W$9,MATCH(ROUNDUP((AD$1)/10,0)*10,[1]Hugst!$R$4:$W$4,0))))</f>
        <v>0</v>
      </c>
      <c r="AE70">
        <f>IF($C70-AE$1&lt;År1,0,AD69*(1-VLOOKUP($A70,[1]Hugst!$R$5:$W$9,MATCH(ROUNDUP((AE$1)/10,0)*10,[1]Hugst!$R$4:$W$4,0))))</f>
        <v>0</v>
      </c>
      <c r="AF70">
        <f>IF($C70-AF$1&lt;År1,0,AE69*(1-VLOOKUP($A70,[1]Hugst!$R$5:$W$9,MATCH(ROUNDUP((AF$1)/10,0)*10,[1]Hugst!$R$4:$W$4,0))))</f>
        <v>0</v>
      </c>
      <c r="AG70">
        <f>IF($C70-AG$1&lt;År1,0,AF69*(1-VLOOKUP($A70,[1]Hugst!$R$5:$W$9,MATCH(ROUNDUP((AG$1)/10,0)*10,[1]Hugst!$R$4:$W$4,0))))</f>
        <v>0</v>
      </c>
      <c r="AH70">
        <f>IF($C70-AH$1&lt;År1,0,AG69*(1-VLOOKUP($A70,[1]Hugst!$R$5:$W$9,MATCH(ROUNDUP((AH$1)/10,0)*10,[1]Hugst!$R$4:$W$4,0))))</f>
        <v>0</v>
      </c>
      <c r="AI70">
        <f>IF($C70-AI$1&lt;År1,0,AH69*(1-VLOOKUP($A70,[1]Hugst!$R$5:$W$9,MATCH(ROUNDUP((AI$1)/10,0)*10,[1]Hugst!$R$4:$W$4,0))))</f>
        <v>0</v>
      </c>
      <c r="AJ70">
        <f>IF($C70-AJ$1&lt;År1,0,AI69*(1-VLOOKUP($A70,[1]Hugst!$R$5:$W$9,MATCH(ROUNDUP((AJ$1)/10,0)*10,[1]Hugst!$R$4:$W$4,0))))</f>
        <v>0</v>
      </c>
    </row>
    <row r="71" spans="1:36" x14ac:dyDescent="0.25">
      <c r="A71" t="s">
        <v>177</v>
      </c>
      <c r="B71" t="s">
        <v>23</v>
      </c>
      <c r="C71">
        <v>2027</v>
      </c>
      <c r="D71" cm="1">
        <f t="array" ref="D71">(IF(B71="Vestdanmark",Skovbrug!$C$22-(Skovbrug!$C$22)*(1-Skovbrug!$C$9)^(C71-Skovbrug!$B$12),Skovbrug!$F$22-(Skovbrug!$F$22)*(1-Skovbrug!$C$9)^(C71-Skovbrug!$B$12)))*VLOOKUP(A71,Skovbrug!$A$13:$D$17,IF('Skovbrug-alder'!C71&lt;=År2,3,4),FALSE)
-IF(C71&gt;2020,SUM(INDEX($C$1:$D$311,MATCH(1,(2020=$C$1:$C$311)*(B71=$B$1:$B$311)*(A71=$A$1:$A$311),0),2):D70),0)</f>
        <v>945.14350122306769</v>
      </c>
      <c r="E71">
        <f t="shared" ca="1" si="1"/>
        <v>0</v>
      </c>
      <c r="F71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5384.5374406170058</v>
      </c>
      <c r="G71">
        <f ca="1">IF($C71-G$1&lt;År1,0,F70*(1-VLOOKUP($A71,[1]Hugst!$R$5:$W$9,MATCH(ROUNDUP((G$1)/10,0)*10,[1]Hugst!$R$4:$W$4,0))))</f>
        <v>5389.286905447264</v>
      </c>
      <c r="H71">
        <f ca="1">IF($C71-H$1&lt;År1,0,G70*(1-VLOOKUP($A71,[1]Hugst!$R$5:$W$9,MATCH(ROUNDUP((H$1)/10,0)*10,[1]Hugst!$R$4:$W$4,0))))</f>
        <v>5394.0602369349645</v>
      </c>
      <c r="I71">
        <f ca="1">IF($C71-I$1&lt;År1,0,H70*(1-VLOOKUP($A71,[1]Hugst!$R$5:$W$9,MATCH(ROUNDUP((I$1)/10,0)*10,[1]Hugst!$R$4:$W$4,0))))</f>
        <v>5398.8575550130645</v>
      </c>
      <c r="J71">
        <f ca="1">IF($C71-J$1&lt;År1,0,I70*(1-VLOOKUP($A71,[1]Hugst!$R$5:$W$9,MATCH(ROUNDUP((J$1)/10,0)*10,[1]Hugst!$R$4:$W$4,0))))</f>
        <v>5403.6789802171825</v>
      </c>
      <c r="K71">
        <f ca="1">IF($C71-K$1&lt;År1,0,J70*(1-VLOOKUP($A71,[1]Hugst!$R$5:$W$9,MATCH(ROUNDUP((K$1)/10,0)*10,[1]Hugst!$R$4:$W$4,0))))</f>
        <v>5408.5246336886621</v>
      </c>
      <c r="L71">
        <f ca="1">IF($C71-L$1&lt;År1,0,K70*(1-VLOOKUP($A71,[1]Hugst!$R$5:$W$9,MATCH(ROUNDUP((L$1)/10,0)*10,[1]Hugst!$R$4:$W$4,0))))</f>
        <v>5413.3946371775519</v>
      </c>
      <c r="M71">
        <f ca="1">IF($C71-M$1&lt;År1,0,L70*(1-VLOOKUP($A71,[1]Hugst!$R$5:$W$9,MATCH(ROUNDUP((M$1)/10,0)*10,[1]Hugst!$R$4:$W$4,0))))</f>
        <v>5418.2891130458347</v>
      </c>
      <c r="N71">
        <f>IF($C71-N$1&lt;År1,0,M70*(1-VLOOKUP($A71,[1]Hugst!$R$5:$W$9,MATCH(ROUNDUP((N$1)/10,0)*10,[1]Hugst!$R$4:$W$4,0))))</f>
        <v>0</v>
      </c>
      <c r="O71">
        <f>IF($C71-O$1&lt;År1,0,N70*(1-VLOOKUP($A71,[1]Hugst!$R$5:$W$9,MATCH(ROUNDUP((O$1)/10,0)*10,[1]Hugst!$R$4:$W$4,0))))</f>
        <v>0</v>
      </c>
      <c r="P71">
        <f>IF($C71-P$1&lt;År1,0,O70*(1-VLOOKUP($A71,[1]Hugst!$R$5:$W$9,MATCH(ROUNDUP((P$1)/10,0)*10,[1]Hugst!$R$4:$W$4,0))))</f>
        <v>0</v>
      </c>
      <c r="Q71">
        <f>IF($C71-Q$1&lt;År1,0,P70*(1-VLOOKUP($A71,[1]Hugst!$R$5:$W$9,MATCH(ROUNDUP((Q$1)/10,0)*10,[1]Hugst!$R$4:$W$4,0))))</f>
        <v>0</v>
      </c>
      <c r="R71">
        <f>IF($C71-R$1&lt;År1,0,Q70*(1-VLOOKUP($A71,[1]Hugst!$R$5:$W$9,MATCH(ROUNDUP((R$1)/10,0)*10,[1]Hugst!$R$4:$W$4,0))))</f>
        <v>0</v>
      </c>
      <c r="S71">
        <f>IF($C71-S$1&lt;År1,0,R70*(1-VLOOKUP($A71,[1]Hugst!$R$5:$W$9,MATCH(ROUNDUP((S$1)/10,0)*10,[1]Hugst!$R$4:$W$4,0))))</f>
        <v>0</v>
      </c>
      <c r="T71">
        <f>IF($C71-T$1&lt;År1,0,S70*(1-VLOOKUP($A71,[1]Hugst!$R$5:$W$9,MATCH(ROUNDUP((T$1)/10,0)*10,[1]Hugst!$R$4:$W$4,0))))</f>
        <v>0</v>
      </c>
      <c r="U71">
        <f>IF($C71-U$1&lt;År1,0,T70*(1-VLOOKUP($A71,[1]Hugst!$R$5:$W$9,MATCH(ROUNDUP((U$1)/10,0)*10,[1]Hugst!$R$4:$W$4,0))))</f>
        <v>0</v>
      </c>
      <c r="V71">
        <f>IF($C71-V$1&lt;År1,0,U70*(1-VLOOKUP($A71,[1]Hugst!$R$5:$W$9,MATCH(ROUNDUP((V$1)/10,0)*10,[1]Hugst!$R$4:$W$4,0))))</f>
        <v>0</v>
      </c>
      <c r="W71">
        <f>IF($C71-W$1&lt;År1,0,V70*(1-VLOOKUP($A71,[1]Hugst!$R$5:$W$9,MATCH(ROUNDUP((W$1)/10,0)*10,[1]Hugst!$R$4:$W$4,0))))</f>
        <v>0</v>
      </c>
      <c r="X71">
        <f>IF($C71-X$1&lt;År1,0,W70*(1-VLOOKUP($A71,[1]Hugst!$R$5:$W$9,MATCH(ROUNDUP((X$1)/10,0)*10,[1]Hugst!$R$4:$W$4,0))))</f>
        <v>0</v>
      </c>
      <c r="Y71">
        <f>IF($C71-Y$1&lt;År1,0,X70*(1-VLOOKUP($A71,[1]Hugst!$R$5:$W$9,MATCH(ROUNDUP((Y$1)/10,0)*10,[1]Hugst!$R$4:$W$4,0))))</f>
        <v>0</v>
      </c>
      <c r="Z71">
        <f>IF($C71-Z$1&lt;År1,0,Y70*(1-VLOOKUP($A71,[1]Hugst!$R$5:$W$9,MATCH(ROUNDUP((Z$1)/10,0)*10,[1]Hugst!$R$4:$W$4,0))))</f>
        <v>0</v>
      </c>
      <c r="AA71">
        <f>IF($C71-AA$1&lt;År1,0,Z70*(1-VLOOKUP($A71,[1]Hugst!$R$5:$W$9,MATCH(ROUNDUP((AA$1)/10,0)*10,[1]Hugst!$R$4:$W$4,0))))</f>
        <v>0</v>
      </c>
      <c r="AB71">
        <f>IF($C71-AB$1&lt;År1,0,AA70*(1-VLOOKUP($A71,[1]Hugst!$R$5:$W$9,MATCH(ROUNDUP((AB$1)/10,0)*10,[1]Hugst!$R$4:$W$4,0))))</f>
        <v>0</v>
      </c>
      <c r="AC71">
        <f>IF($C71-AC$1&lt;År1,0,AB70*(1-VLOOKUP($A71,[1]Hugst!$R$5:$W$9,MATCH(ROUNDUP((AC$1)/10,0)*10,[1]Hugst!$R$4:$W$4,0))))</f>
        <v>0</v>
      </c>
      <c r="AD71">
        <f>IF($C71-AD$1&lt;År1,0,AC70*(1-VLOOKUP($A71,[1]Hugst!$R$5:$W$9,MATCH(ROUNDUP((AD$1)/10,0)*10,[1]Hugst!$R$4:$W$4,0))))</f>
        <v>0</v>
      </c>
      <c r="AE71">
        <f>IF($C71-AE$1&lt;År1,0,AD70*(1-VLOOKUP($A71,[1]Hugst!$R$5:$W$9,MATCH(ROUNDUP((AE$1)/10,0)*10,[1]Hugst!$R$4:$W$4,0))))</f>
        <v>0</v>
      </c>
      <c r="AF71">
        <f>IF($C71-AF$1&lt;År1,0,AE70*(1-VLOOKUP($A71,[1]Hugst!$R$5:$W$9,MATCH(ROUNDUP((AF$1)/10,0)*10,[1]Hugst!$R$4:$W$4,0))))</f>
        <v>0</v>
      </c>
      <c r="AG71">
        <f>IF($C71-AG$1&lt;År1,0,AF70*(1-VLOOKUP($A71,[1]Hugst!$R$5:$W$9,MATCH(ROUNDUP((AG$1)/10,0)*10,[1]Hugst!$R$4:$W$4,0))))</f>
        <v>0</v>
      </c>
      <c r="AH71">
        <f>IF($C71-AH$1&lt;År1,0,AG70*(1-VLOOKUP($A71,[1]Hugst!$R$5:$W$9,MATCH(ROUNDUP((AH$1)/10,0)*10,[1]Hugst!$R$4:$W$4,0))))</f>
        <v>0</v>
      </c>
      <c r="AI71">
        <f>IF($C71-AI$1&lt;År1,0,AH70*(1-VLOOKUP($A71,[1]Hugst!$R$5:$W$9,MATCH(ROUNDUP((AI$1)/10,0)*10,[1]Hugst!$R$4:$W$4,0))))</f>
        <v>0</v>
      </c>
      <c r="AJ71">
        <f>IF($C71-AJ$1&lt;År1,0,AI70*(1-VLOOKUP($A71,[1]Hugst!$R$5:$W$9,MATCH(ROUNDUP((AJ$1)/10,0)*10,[1]Hugst!$R$4:$W$4,0))))</f>
        <v>0</v>
      </c>
    </row>
    <row r="72" spans="1:36" x14ac:dyDescent="0.25">
      <c r="A72" t="s">
        <v>177</v>
      </c>
      <c r="B72" t="s">
        <v>23</v>
      </c>
      <c r="C72">
        <v>2028</v>
      </c>
      <c r="D72" cm="1">
        <f t="array" ref="D72">(IF(B72="Vestdanmark",Skovbrug!$C$22-(Skovbrug!$C$22)*(1-Skovbrug!$C$9)^(C72-Skovbrug!$B$12),Skovbrug!$F$22-(Skovbrug!$F$22)*(1-Skovbrug!$C$9)^(C72-Skovbrug!$B$12)))*VLOOKUP(A72,Skovbrug!$A$13:$D$17,IF('Skovbrug-alder'!C72&lt;=År2,3,4),FALSE)
-IF(C72&gt;2020,SUM(INDEX($C$1:$D$311,MATCH(1,(2020=$C$1:$C$311)*(B72=$B$1:$B$311)*(A72=$A$1:$A$311),0),2):D71),0)</f>
        <v>940.41778371696546</v>
      </c>
      <c r="E72">
        <f t="shared" ca="1" si="1"/>
        <v>0</v>
      </c>
      <c r="F72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5379.8117231109036</v>
      </c>
      <c r="G72">
        <f ca="1">IF($C72-G$1&lt;År1,0,F71*(1-VLOOKUP($A72,[1]Hugst!$R$5:$W$9,MATCH(ROUNDUP((G$1)/10,0)*10,[1]Hugst!$R$4:$W$4,0))))</f>
        <v>5384.5374406170058</v>
      </c>
      <c r="H72">
        <f ca="1">IF($C72-H$1&lt;År1,0,G71*(1-VLOOKUP($A72,[1]Hugst!$R$5:$W$9,MATCH(ROUNDUP((H$1)/10,0)*10,[1]Hugst!$R$4:$W$4,0))))</f>
        <v>5389.286905447264</v>
      </c>
      <c r="I72">
        <f ca="1">IF($C72-I$1&lt;År1,0,H71*(1-VLOOKUP($A72,[1]Hugst!$R$5:$W$9,MATCH(ROUNDUP((I$1)/10,0)*10,[1]Hugst!$R$4:$W$4,0))))</f>
        <v>5394.0602369349645</v>
      </c>
      <c r="J72">
        <f ca="1">IF($C72-J$1&lt;År1,0,I71*(1-VLOOKUP($A72,[1]Hugst!$R$5:$W$9,MATCH(ROUNDUP((J$1)/10,0)*10,[1]Hugst!$R$4:$W$4,0))))</f>
        <v>5398.8575550130645</v>
      </c>
      <c r="K72">
        <f ca="1">IF($C72-K$1&lt;År1,0,J71*(1-VLOOKUP($A72,[1]Hugst!$R$5:$W$9,MATCH(ROUNDUP((K$1)/10,0)*10,[1]Hugst!$R$4:$W$4,0))))</f>
        <v>5403.6789802171825</v>
      </c>
      <c r="L72">
        <f ca="1">IF($C72-L$1&lt;År1,0,K71*(1-VLOOKUP($A72,[1]Hugst!$R$5:$W$9,MATCH(ROUNDUP((L$1)/10,0)*10,[1]Hugst!$R$4:$W$4,0))))</f>
        <v>5408.5246336886621</v>
      </c>
      <c r="M72">
        <f ca="1">IF($C72-M$1&lt;År1,0,L71*(1-VLOOKUP($A72,[1]Hugst!$R$5:$W$9,MATCH(ROUNDUP((M$1)/10,0)*10,[1]Hugst!$R$4:$W$4,0))))</f>
        <v>5413.3946371775519</v>
      </c>
      <c r="N72">
        <f ca="1">IF($C72-N$1&lt;År1,0,M71*(1-VLOOKUP($A72,[1]Hugst!$R$5:$W$9,MATCH(ROUNDUP((N$1)/10,0)*10,[1]Hugst!$R$4:$W$4,0))))</f>
        <v>5418.2891130458347</v>
      </c>
      <c r="O72">
        <f>IF($C72-O$1&lt;År1,0,N71*(1-VLOOKUP($A72,[1]Hugst!$R$5:$W$9,MATCH(ROUNDUP((O$1)/10,0)*10,[1]Hugst!$R$4:$W$4,0))))</f>
        <v>0</v>
      </c>
      <c r="P72">
        <f>IF($C72-P$1&lt;År1,0,O71*(1-VLOOKUP($A72,[1]Hugst!$R$5:$W$9,MATCH(ROUNDUP((P$1)/10,0)*10,[1]Hugst!$R$4:$W$4,0))))</f>
        <v>0</v>
      </c>
      <c r="Q72">
        <f>IF($C72-Q$1&lt;År1,0,P71*(1-VLOOKUP($A72,[1]Hugst!$R$5:$W$9,MATCH(ROUNDUP((Q$1)/10,0)*10,[1]Hugst!$R$4:$W$4,0))))</f>
        <v>0</v>
      </c>
      <c r="R72">
        <f>IF($C72-R$1&lt;År1,0,Q71*(1-VLOOKUP($A72,[1]Hugst!$R$5:$W$9,MATCH(ROUNDUP((R$1)/10,0)*10,[1]Hugst!$R$4:$W$4,0))))</f>
        <v>0</v>
      </c>
      <c r="S72">
        <f>IF($C72-S$1&lt;År1,0,R71*(1-VLOOKUP($A72,[1]Hugst!$R$5:$W$9,MATCH(ROUNDUP((S$1)/10,0)*10,[1]Hugst!$R$4:$W$4,0))))</f>
        <v>0</v>
      </c>
      <c r="T72">
        <f>IF($C72-T$1&lt;År1,0,S71*(1-VLOOKUP($A72,[1]Hugst!$R$5:$W$9,MATCH(ROUNDUP((T$1)/10,0)*10,[1]Hugst!$R$4:$W$4,0))))</f>
        <v>0</v>
      </c>
      <c r="U72">
        <f>IF($C72-U$1&lt;År1,0,T71*(1-VLOOKUP($A72,[1]Hugst!$R$5:$W$9,MATCH(ROUNDUP((U$1)/10,0)*10,[1]Hugst!$R$4:$W$4,0))))</f>
        <v>0</v>
      </c>
      <c r="V72">
        <f>IF($C72-V$1&lt;År1,0,U71*(1-VLOOKUP($A72,[1]Hugst!$R$5:$W$9,MATCH(ROUNDUP((V$1)/10,0)*10,[1]Hugst!$R$4:$W$4,0))))</f>
        <v>0</v>
      </c>
      <c r="W72">
        <f>IF($C72-W$1&lt;År1,0,V71*(1-VLOOKUP($A72,[1]Hugst!$R$5:$W$9,MATCH(ROUNDUP((W$1)/10,0)*10,[1]Hugst!$R$4:$W$4,0))))</f>
        <v>0</v>
      </c>
      <c r="X72">
        <f>IF($C72-X$1&lt;År1,0,W71*(1-VLOOKUP($A72,[1]Hugst!$R$5:$W$9,MATCH(ROUNDUP((X$1)/10,0)*10,[1]Hugst!$R$4:$W$4,0))))</f>
        <v>0</v>
      </c>
      <c r="Y72">
        <f>IF($C72-Y$1&lt;År1,0,X71*(1-VLOOKUP($A72,[1]Hugst!$R$5:$W$9,MATCH(ROUNDUP((Y$1)/10,0)*10,[1]Hugst!$R$4:$W$4,0))))</f>
        <v>0</v>
      </c>
      <c r="Z72">
        <f>IF($C72-Z$1&lt;År1,0,Y71*(1-VLOOKUP($A72,[1]Hugst!$R$5:$W$9,MATCH(ROUNDUP((Z$1)/10,0)*10,[1]Hugst!$R$4:$W$4,0))))</f>
        <v>0</v>
      </c>
      <c r="AA72">
        <f>IF($C72-AA$1&lt;År1,0,Z71*(1-VLOOKUP($A72,[1]Hugst!$R$5:$W$9,MATCH(ROUNDUP((AA$1)/10,0)*10,[1]Hugst!$R$4:$W$4,0))))</f>
        <v>0</v>
      </c>
      <c r="AB72">
        <f>IF($C72-AB$1&lt;År1,0,AA71*(1-VLOOKUP($A72,[1]Hugst!$R$5:$W$9,MATCH(ROUNDUP((AB$1)/10,0)*10,[1]Hugst!$R$4:$W$4,0))))</f>
        <v>0</v>
      </c>
      <c r="AC72">
        <f>IF($C72-AC$1&lt;År1,0,AB71*(1-VLOOKUP($A72,[1]Hugst!$R$5:$W$9,MATCH(ROUNDUP((AC$1)/10,0)*10,[1]Hugst!$R$4:$W$4,0))))</f>
        <v>0</v>
      </c>
      <c r="AD72">
        <f>IF($C72-AD$1&lt;År1,0,AC71*(1-VLOOKUP($A72,[1]Hugst!$R$5:$W$9,MATCH(ROUNDUP((AD$1)/10,0)*10,[1]Hugst!$R$4:$W$4,0))))</f>
        <v>0</v>
      </c>
      <c r="AE72">
        <f>IF($C72-AE$1&lt;År1,0,AD71*(1-VLOOKUP($A72,[1]Hugst!$R$5:$W$9,MATCH(ROUNDUP((AE$1)/10,0)*10,[1]Hugst!$R$4:$W$4,0))))</f>
        <v>0</v>
      </c>
      <c r="AF72">
        <f>IF($C72-AF$1&lt;År1,0,AE71*(1-VLOOKUP($A72,[1]Hugst!$R$5:$W$9,MATCH(ROUNDUP((AF$1)/10,0)*10,[1]Hugst!$R$4:$W$4,0))))</f>
        <v>0</v>
      </c>
      <c r="AG72">
        <f>IF($C72-AG$1&lt;År1,0,AF71*(1-VLOOKUP($A72,[1]Hugst!$R$5:$W$9,MATCH(ROUNDUP((AG$1)/10,0)*10,[1]Hugst!$R$4:$W$4,0))))</f>
        <v>0</v>
      </c>
      <c r="AH72">
        <f>IF($C72-AH$1&lt;År1,0,AG71*(1-VLOOKUP($A72,[1]Hugst!$R$5:$W$9,MATCH(ROUNDUP((AH$1)/10,0)*10,[1]Hugst!$R$4:$W$4,0))))</f>
        <v>0</v>
      </c>
      <c r="AI72">
        <f>IF($C72-AI$1&lt;År1,0,AH71*(1-VLOOKUP($A72,[1]Hugst!$R$5:$W$9,MATCH(ROUNDUP((AI$1)/10,0)*10,[1]Hugst!$R$4:$W$4,0))))</f>
        <v>0</v>
      </c>
      <c r="AJ72">
        <f>IF($C72-AJ$1&lt;År1,0,AI71*(1-VLOOKUP($A72,[1]Hugst!$R$5:$W$9,MATCH(ROUNDUP((AJ$1)/10,0)*10,[1]Hugst!$R$4:$W$4,0))))</f>
        <v>0</v>
      </c>
    </row>
    <row r="73" spans="1:36" x14ac:dyDescent="0.25">
      <c r="A73" t="s">
        <v>177</v>
      </c>
      <c r="B73" t="s">
        <v>23</v>
      </c>
      <c r="C73">
        <v>2029</v>
      </c>
      <c r="D73" cm="1">
        <f t="array" ref="D73">(IF(B73="Vestdanmark",Skovbrug!$C$22-(Skovbrug!$C$22)*(1-Skovbrug!$C$9)^(C73-Skovbrug!$B$12),Skovbrug!$F$22-(Skovbrug!$F$22)*(1-Skovbrug!$C$9)^(C73-Skovbrug!$B$12)))*VLOOKUP(A73,Skovbrug!$A$13:$D$17,IF('Skovbrug-alder'!C73&lt;=År2,3,4),FALSE)
-IF(C73&gt;2020,SUM(INDEX($C$1:$D$311,MATCH(1,(2020=$C$1:$C$311)*(B73=$B$1:$B$311)*(A73=$A$1:$A$311),0),2):D72),0)</f>
        <v>935.7156947983367</v>
      </c>
      <c r="E73">
        <f t="shared" ca="1" si="1"/>
        <v>0</v>
      </c>
      <c r="F73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5375.1096341922748</v>
      </c>
      <c r="G73">
        <f ca="1">IF($C73-G$1&lt;År1,0,F72*(1-VLOOKUP($A73,[1]Hugst!$R$5:$W$9,MATCH(ROUNDUP((G$1)/10,0)*10,[1]Hugst!$R$4:$W$4,0))))</f>
        <v>5379.8117231109036</v>
      </c>
      <c r="H73">
        <f ca="1">IF($C73-H$1&lt;År1,0,G72*(1-VLOOKUP($A73,[1]Hugst!$R$5:$W$9,MATCH(ROUNDUP((H$1)/10,0)*10,[1]Hugst!$R$4:$W$4,0))))</f>
        <v>5384.5374406170058</v>
      </c>
      <c r="I73">
        <f ca="1">IF($C73-I$1&lt;År1,0,H72*(1-VLOOKUP($A73,[1]Hugst!$R$5:$W$9,MATCH(ROUNDUP((I$1)/10,0)*10,[1]Hugst!$R$4:$W$4,0))))</f>
        <v>5389.286905447264</v>
      </c>
      <c r="J73">
        <f ca="1">IF($C73-J$1&lt;År1,0,I72*(1-VLOOKUP($A73,[1]Hugst!$R$5:$W$9,MATCH(ROUNDUP((J$1)/10,0)*10,[1]Hugst!$R$4:$W$4,0))))</f>
        <v>5394.0602369349645</v>
      </c>
      <c r="K73">
        <f ca="1">IF($C73-K$1&lt;År1,0,J72*(1-VLOOKUP($A73,[1]Hugst!$R$5:$W$9,MATCH(ROUNDUP((K$1)/10,0)*10,[1]Hugst!$R$4:$W$4,0))))</f>
        <v>5398.8575550130645</v>
      </c>
      <c r="L73">
        <f ca="1">IF($C73-L$1&lt;År1,0,K72*(1-VLOOKUP($A73,[1]Hugst!$R$5:$W$9,MATCH(ROUNDUP((L$1)/10,0)*10,[1]Hugst!$R$4:$W$4,0))))</f>
        <v>5403.6789802171825</v>
      </c>
      <c r="M73">
        <f ca="1">IF($C73-M$1&lt;År1,0,L72*(1-VLOOKUP($A73,[1]Hugst!$R$5:$W$9,MATCH(ROUNDUP((M$1)/10,0)*10,[1]Hugst!$R$4:$W$4,0))))</f>
        <v>5408.5246336886621</v>
      </c>
      <c r="N73">
        <f ca="1">IF($C73-N$1&lt;År1,0,M72*(1-VLOOKUP($A73,[1]Hugst!$R$5:$W$9,MATCH(ROUNDUP((N$1)/10,0)*10,[1]Hugst!$R$4:$W$4,0))))</f>
        <v>5413.3946371775519</v>
      </c>
      <c r="O73">
        <f ca="1">IF($C73-O$1&lt;År1,0,N72*(1-VLOOKUP($A73,[1]Hugst!$R$5:$W$9,MATCH(ROUNDUP((O$1)/10,0)*10,[1]Hugst!$R$4:$W$4,0))))</f>
        <v>5418.2891130458347</v>
      </c>
      <c r="P73">
        <f>IF($C73-P$1&lt;År1,0,O72*(1-VLOOKUP($A73,[1]Hugst!$R$5:$W$9,MATCH(ROUNDUP((P$1)/10,0)*10,[1]Hugst!$R$4:$W$4,0))))</f>
        <v>0</v>
      </c>
      <c r="Q73">
        <f>IF($C73-Q$1&lt;År1,0,P72*(1-VLOOKUP($A73,[1]Hugst!$R$5:$W$9,MATCH(ROUNDUP((Q$1)/10,0)*10,[1]Hugst!$R$4:$W$4,0))))</f>
        <v>0</v>
      </c>
      <c r="R73">
        <f>IF($C73-R$1&lt;År1,0,Q72*(1-VLOOKUP($A73,[1]Hugst!$R$5:$W$9,MATCH(ROUNDUP((R$1)/10,0)*10,[1]Hugst!$R$4:$W$4,0))))</f>
        <v>0</v>
      </c>
      <c r="S73">
        <f>IF($C73-S$1&lt;År1,0,R72*(1-VLOOKUP($A73,[1]Hugst!$R$5:$W$9,MATCH(ROUNDUP((S$1)/10,0)*10,[1]Hugst!$R$4:$W$4,0))))</f>
        <v>0</v>
      </c>
      <c r="T73">
        <f>IF($C73-T$1&lt;År1,0,S72*(1-VLOOKUP($A73,[1]Hugst!$R$5:$W$9,MATCH(ROUNDUP((T$1)/10,0)*10,[1]Hugst!$R$4:$W$4,0))))</f>
        <v>0</v>
      </c>
      <c r="U73">
        <f>IF($C73-U$1&lt;År1,0,T72*(1-VLOOKUP($A73,[1]Hugst!$R$5:$W$9,MATCH(ROUNDUP((U$1)/10,0)*10,[1]Hugst!$R$4:$W$4,0))))</f>
        <v>0</v>
      </c>
      <c r="V73">
        <f>IF($C73-V$1&lt;År1,0,U72*(1-VLOOKUP($A73,[1]Hugst!$R$5:$W$9,MATCH(ROUNDUP((V$1)/10,0)*10,[1]Hugst!$R$4:$W$4,0))))</f>
        <v>0</v>
      </c>
      <c r="W73">
        <f>IF($C73-W$1&lt;År1,0,V72*(1-VLOOKUP($A73,[1]Hugst!$R$5:$W$9,MATCH(ROUNDUP((W$1)/10,0)*10,[1]Hugst!$R$4:$W$4,0))))</f>
        <v>0</v>
      </c>
      <c r="X73">
        <f>IF($C73-X$1&lt;År1,0,W72*(1-VLOOKUP($A73,[1]Hugst!$R$5:$W$9,MATCH(ROUNDUP((X$1)/10,0)*10,[1]Hugst!$R$4:$W$4,0))))</f>
        <v>0</v>
      </c>
      <c r="Y73">
        <f>IF($C73-Y$1&lt;År1,0,X72*(1-VLOOKUP($A73,[1]Hugst!$R$5:$W$9,MATCH(ROUNDUP((Y$1)/10,0)*10,[1]Hugst!$R$4:$W$4,0))))</f>
        <v>0</v>
      </c>
      <c r="Z73">
        <f>IF($C73-Z$1&lt;År1,0,Y72*(1-VLOOKUP($A73,[1]Hugst!$R$5:$W$9,MATCH(ROUNDUP((Z$1)/10,0)*10,[1]Hugst!$R$4:$W$4,0))))</f>
        <v>0</v>
      </c>
      <c r="AA73">
        <f>IF($C73-AA$1&lt;År1,0,Z72*(1-VLOOKUP($A73,[1]Hugst!$R$5:$W$9,MATCH(ROUNDUP((AA$1)/10,0)*10,[1]Hugst!$R$4:$W$4,0))))</f>
        <v>0</v>
      </c>
      <c r="AB73">
        <f>IF($C73-AB$1&lt;År1,0,AA72*(1-VLOOKUP($A73,[1]Hugst!$R$5:$W$9,MATCH(ROUNDUP((AB$1)/10,0)*10,[1]Hugst!$R$4:$W$4,0))))</f>
        <v>0</v>
      </c>
      <c r="AC73">
        <f>IF($C73-AC$1&lt;År1,0,AB72*(1-VLOOKUP($A73,[1]Hugst!$R$5:$W$9,MATCH(ROUNDUP((AC$1)/10,0)*10,[1]Hugst!$R$4:$W$4,0))))</f>
        <v>0</v>
      </c>
      <c r="AD73">
        <f>IF($C73-AD$1&lt;År1,0,AC72*(1-VLOOKUP($A73,[1]Hugst!$R$5:$W$9,MATCH(ROUNDUP((AD$1)/10,0)*10,[1]Hugst!$R$4:$W$4,0))))</f>
        <v>0</v>
      </c>
      <c r="AE73">
        <f>IF($C73-AE$1&lt;År1,0,AD72*(1-VLOOKUP($A73,[1]Hugst!$R$5:$W$9,MATCH(ROUNDUP((AE$1)/10,0)*10,[1]Hugst!$R$4:$W$4,0))))</f>
        <v>0</v>
      </c>
      <c r="AF73">
        <f>IF($C73-AF$1&lt;År1,0,AE72*(1-VLOOKUP($A73,[1]Hugst!$R$5:$W$9,MATCH(ROUNDUP((AF$1)/10,0)*10,[1]Hugst!$R$4:$W$4,0))))</f>
        <v>0</v>
      </c>
      <c r="AG73">
        <f>IF($C73-AG$1&lt;År1,0,AF72*(1-VLOOKUP($A73,[1]Hugst!$R$5:$W$9,MATCH(ROUNDUP((AG$1)/10,0)*10,[1]Hugst!$R$4:$W$4,0))))</f>
        <v>0</v>
      </c>
      <c r="AH73">
        <f>IF($C73-AH$1&lt;År1,0,AG72*(1-VLOOKUP($A73,[1]Hugst!$R$5:$W$9,MATCH(ROUNDUP((AH$1)/10,0)*10,[1]Hugst!$R$4:$W$4,0))))</f>
        <v>0</v>
      </c>
      <c r="AI73">
        <f>IF($C73-AI$1&lt;År1,0,AH72*(1-VLOOKUP($A73,[1]Hugst!$R$5:$W$9,MATCH(ROUNDUP((AI$1)/10,0)*10,[1]Hugst!$R$4:$W$4,0))))</f>
        <v>0</v>
      </c>
      <c r="AJ73">
        <f>IF($C73-AJ$1&lt;År1,0,AI72*(1-VLOOKUP($A73,[1]Hugst!$R$5:$W$9,MATCH(ROUNDUP((AJ$1)/10,0)*10,[1]Hugst!$R$4:$W$4,0))))</f>
        <v>0</v>
      </c>
    </row>
    <row r="74" spans="1:36" x14ac:dyDescent="0.25">
      <c r="A74" t="s">
        <v>177</v>
      </c>
      <c r="B74" t="s">
        <v>23</v>
      </c>
      <c r="C74">
        <v>2030</v>
      </c>
      <c r="D74" cm="1">
        <f t="array" ref="D74">(IF(B74="Vestdanmark",Skovbrug!$C$22-(Skovbrug!$C$22)*(1-Skovbrug!$C$9)^(C74-Skovbrug!$B$12),Skovbrug!$F$22-(Skovbrug!$F$22)*(1-Skovbrug!$C$9)^(C74-Skovbrug!$B$12)))*VLOOKUP(A74,Skovbrug!$A$13:$D$17,IF('Skovbrug-alder'!C74&lt;=År2,3,4),FALSE)
-IF(C74&gt;2020,SUM(INDEX($C$1:$D$311,MATCH(1,(2020=$C$1:$C$311)*(B74=$B$1:$B$311)*(A74=$A$1:$A$311),0),2):D73),0)</f>
        <v>931.03711632439263</v>
      </c>
      <c r="E74">
        <f t="shared" ca="1" si="1"/>
        <v>8.2651867826134549</v>
      </c>
      <c r="F74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5378.6962425009442</v>
      </c>
      <c r="G74">
        <f ca="1">IF($C74-G$1&lt;År1,0,F73*(1-VLOOKUP($A74,[1]Hugst!$R$5:$W$9,MATCH(ROUNDUP((G$1)/10,0)*10,[1]Hugst!$R$4:$W$4,0))))</f>
        <v>5375.1096341922748</v>
      </c>
      <c r="H74">
        <f ca="1">IF($C74-H$1&lt;År1,0,G73*(1-VLOOKUP($A74,[1]Hugst!$R$5:$W$9,MATCH(ROUNDUP((H$1)/10,0)*10,[1]Hugst!$R$4:$W$4,0))))</f>
        <v>5379.8117231109036</v>
      </c>
      <c r="I74">
        <f ca="1">IF($C74-I$1&lt;År1,0,H73*(1-VLOOKUP($A74,[1]Hugst!$R$5:$W$9,MATCH(ROUNDUP((I$1)/10,0)*10,[1]Hugst!$R$4:$W$4,0))))</f>
        <v>5384.5374406170058</v>
      </c>
      <c r="J74">
        <f ca="1">IF($C74-J$1&lt;År1,0,I73*(1-VLOOKUP($A74,[1]Hugst!$R$5:$W$9,MATCH(ROUNDUP((J$1)/10,0)*10,[1]Hugst!$R$4:$W$4,0))))</f>
        <v>5389.286905447264</v>
      </c>
      <c r="K74">
        <f ca="1">IF($C74-K$1&lt;År1,0,J73*(1-VLOOKUP($A74,[1]Hugst!$R$5:$W$9,MATCH(ROUNDUP((K$1)/10,0)*10,[1]Hugst!$R$4:$W$4,0))))</f>
        <v>5394.0602369349645</v>
      </c>
      <c r="L74">
        <f ca="1">IF($C74-L$1&lt;År1,0,K73*(1-VLOOKUP($A74,[1]Hugst!$R$5:$W$9,MATCH(ROUNDUP((L$1)/10,0)*10,[1]Hugst!$R$4:$W$4,0))))</f>
        <v>5398.8575550130645</v>
      </c>
      <c r="M74">
        <f ca="1">IF($C74-M$1&lt;År1,0,L73*(1-VLOOKUP($A74,[1]Hugst!$R$5:$W$9,MATCH(ROUNDUP((M$1)/10,0)*10,[1]Hugst!$R$4:$W$4,0))))</f>
        <v>5403.6789802171825</v>
      </c>
      <c r="N74">
        <f ca="1">IF($C74-N$1&lt;År1,0,M73*(1-VLOOKUP($A74,[1]Hugst!$R$5:$W$9,MATCH(ROUNDUP((N$1)/10,0)*10,[1]Hugst!$R$4:$W$4,0))))</f>
        <v>5408.5246336886621</v>
      </c>
      <c r="O74">
        <f ca="1">IF($C74-O$1&lt;År1,0,N73*(1-VLOOKUP($A74,[1]Hugst!$R$5:$W$9,MATCH(ROUNDUP((O$1)/10,0)*10,[1]Hugst!$R$4:$W$4,0))))</f>
        <v>5413.3946371775519</v>
      </c>
      <c r="P74">
        <f ca="1">IF($C74-P$1&lt;År1,0,O73*(1-VLOOKUP($A74,[1]Hugst!$R$5:$W$9,MATCH(ROUNDUP((P$1)/10,0)*10,[1]Hugst!$R$4:$W$4,0))))</f>
        <v>5410.0239262632222</v>
      </c>
      <c r="Q74">
        <f>IF($C74-Q$1&lt;År1,0,P73*(1-VLOOKUP($A74,[1]Hugst!$R$5:$W$9,MATCH(ROUNDUP((Q$1)/10,0)*10,[1]Hugst!$R$4:$W$4,0))))</f>
        <v>0</v>
      </c>
      <c r="R74">
        <f>IF($C74-R$1&lt;År1,0,Q73*(1-VLOOKUP($A74,[1]Hugst!$R$5:$W$9,MATCH(ROUNDUP((R$1)/10,0)*10,[1]Hugst!$R$4:$W$4,0))))</f>
        <v>0</v>
      </c>
      <c r="S74">
        <f>IF($C74-S$1&lt;År1,0,R73*(1-VLOOKUP($A74,[1]Hugst!$R$5:$W$9,MATCH(ROUNDUP((S$1)/10,0)*10,[1]Hugst!$R$4:$W$4,0))))</f>
        <v>0</v>
      </c>
      <c r="T74">
        <f>IF($C74-T$1&lt;År1,0,S73*(1-VLOOKUP($A74,[1]Hugst!$R$5:$W$9,MATCH(ROUNDUP((T$1)/10,0)*10,[1]Hugst!$R$4:$W$4,0))))</f>
        <v>0</v>
      </c>
      <c r="U74">
        <f>IF($C74-U$1&lt;År1,0,T73*(1-VLOOKUP($A74,[1]Hugst!$R$5:$W$9,MATCH(ROUNDUP((U$1)/10,0)*10,[1]Hugst!$R$4:$W$4,0))))</f>
        <v>0</v>
      </c>
      <c r="V74">
        <f>IF($C74-V$1&lt;År1,0,U73*(1-VLOOKUP($A74,[1]Hugst!$R$5:$W$9,MATCH(ROUNDUP((V$1)/10,0)*10,[1]Hugst!$R$4:$W$4,0))))</f>
        <v>0</v>
      </c>
      <c r="W74">
        <f>IF($C74-W$1&lt;År1,0,V73*(1-VLOOKUP($A74,[1]Hugst!$R$5:$W$9,MATCH(ROUNDUP((W$1)/10,0)*10,[1]Hugst!$R$4:$W$4,0))))</f>
        <v>0</v>
      </c>
      <c r="X74">
        <f>IF($C74-X$1&lt;År1,0,W73*(1-VLOOKUP($A74,[1]Hugst!$R$5:$W$9,MATCH(ROUNDUP((X$1)/10,0)*10,[1]Hugst!$R$4:$W$4,0))))</f>
        <v>0</v>
      </c>
      <c r="Y74">
        <f>IF($C74-Y$1&lt;År1,0,X73*(1-VLOOKUP($A74,[1]Hugst!$R$5:$W$9,MATCH(ROUNDUP((Y$1)/10,0)*10,[1]Hugst!$R$4:$W$4,0))))</f>
        <v>0</v>
      </c>
      <c r="Z74">
        <f>IF($C74-Z$1&lt;År1,0,Y73*(1-VLOOKUP($A74,[1]Hugst!$R$5:$W$9,MATCH(ROUNDUP((Z$1)/10,0)*10,[1]Hugst!$R$4:$W$4,0))))</f>
        <v>0</v>
      </c>
      <c r="AA74">
        <f>IF($C74-AA$1&lt;År1,0,Z73*(1-VLOOKUP($A74,[1]Hugst!$R$5:$W$9,MATCH(ROUNDUP((AA$1)/10,0)*10,[1]Hugst!$R$4:$W$4,0))))</f>
        <v>0</v>
      </c>
      <c r="AB74">
        <f>IF($C74-AB$1&lt;År1,0,AA73*(1-VLOOKUP($A74,[1]Hugst!$R$5:$W$9,MATCH(ROUNDUP((AB$1)/10,0)*10,[1]Hugst!$R$4:$W$4,0))))</f>
        <v>0</v>
      </c>
      <c r="AC74">
        <f>IF($C74-AC$1&lt;År1,0,AB73*(1-VLOOKUP($A74,[1]Hugst!$R$5:$W$9,MATCH(ROUNDUP((AC$1)/10,0)*10,[1]Hugst!$R$4:$W$4,0))))</f>
        <v>0</v>
      </c>
      <c r="AD74">
        <f>IF($C74-AD$1&lt;År1,0,AC73*(1-VLOOKUP($A74,[1]Hugst!$R$5:$W$9,MATCH(ROUNDUP((AD$1)/10,0)*10,[1]Hugst!$R$4:$W$4,0))))</f>
        <v>0</v>
      </c>
      <c r="AE74">
        <f>IF($C74-AE$1&lt;År1,0,AD73*(1-VLOOKUP($A74,[1]Hugst!$R$5:$W$9,MATCH(ROUNDUP((AE$1)/10,0)*10,[1]Hugst!$R$4:$W$4,0))))</f>
        <v>0</v>
      </c>
      <c r="AF74">
        <f>IF($C74-AF$1&lt;År1,0,AE73*(1-VLOOKUP($A74,[1]Hugst!$R$5:$W$9,MATCH(ROUNDUP((AF$1)/10,0)*10,[1]Hugst!$R$4:$W$4,0))))</f>
        <v>0</v>
      </c>
      <c r="AG74">
        <f>IF($C74-AG$1&lt;År1,0,AF73*(1-VLOOKUP($A74,[1]Hugst!$R$5:$W$9,MATCH(ROUNDUP((AG$1)/10,0)*10,[1]Hugst!$R$4:$W$4,0))))</f>
        <v>0</v>
      </c>
      <c r="AH74">
        <f>IF($C74-AH$1&lt;År1,0,AG73*(1-VLOOKUP($A74,[1]Hugst!$R$5:$W$9,MATCH(ROUNDUP((AH$1)/10,0)*10,[1]Hugst!$R$4:$W$4,0))))</f>
        <v>0</v>
      </c>
      <c r="AI74">
        <f>IF($C74-AI$1&lt;År1,0,AH73*(1-VLOOKUP($A74,[1]Hugst!$R$5:$W$9,MATCH(ROUNDUP((AI$1)/10,0)*10,[1]Hugst!$R$4:$W$4,0))))</f>
        <v>0</v>
      </c>
      <c r="AJ74">
        <f>IF($C74-AJ$1&lt;År1,0,AI73*(1-VLOOKUP($A74,[1]Hugst!$R$5:$W$9,MATCH(ROUNDUP((AJ$1)/10,0)*10,[1]Hugst!$R$4:$W$4,0))))</f>
        <v>0</v>
      </c>
    </row>
    <row r="75" spans="1:36" x14ac:dyDescent="0.25">
      <c r="A75" t="s">
        <v>177</v>
      </c>
      <c r="B75" t="s">
        <v>23</v>
      </c>
      <c r="C75">
        <v>2031</v>
      </c>
      <c r="D75" cm="1">
        <f t="array" ref="D75">(IF(B75="Vestdanmark",Skovbrug!$C$22-(Skovbrug!$C$22)*(1-Skovbrug!$C$9)^(C75-Skovbrug!$B$12),Skovbrug!$F$22-(Skovbrug!$F$22)*(1-Skovbrug!$C$9)^(C75-Skovbrug!$B$12)))*VLOOKUP(A75,Skovbrug!$A$13:$D$17,IF('Skovbrug-alder'!C75&lt;=År2,3,4),FALSE)
-IF(C75&gt;2020,SUM(INDEX($C$1:$D$311,MATCH(1,(2020=$C$1:$C$311)*(B75=$B$1:$B$311)*(A75=$A$1:$A$311),0),2):D74),0)</f>
        <v>926.3819307427093</v>
      </c>
      <c r="E75">
        <f t="shared" ca="1" si="1"/>
        <v>16.510299503555871</v>
      </c>
      <c r="F75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3384.5588969129326</v>
      </c>
      <c r="G75">
        <f ca="1">IF($C75-G$1&lt;År1,0,F74*(1-VLOOKUP($A75,[1]Hugst!$R$5:$W$9,MATCH(ROUNDUP((G$1)/10,0)*10,[1]Hugst!$R$4:$W$4,0))))</f>
        <v>5378.6962425009442</v>
      </c>
      <c r="H75">
        <f ca="1">IF($C75-H$1&lt;År1,0,G74*(1-VLOOKUP($A75,[1]Hugst!$R$5:$W$9,MATCH(ROUNDUP((H$1)/10,0)*10,[1]Hugst!$R$4:$W$4,0))))</f>
        <v>5375.1096341922748</v>
      </c>
      <c r="I75">
        <f ca="1">IF($C75-I$1&lt;År1,0,H74*(1-VLOOKUP($A75,[1]Hugst!$R$5:$W$9,MATCH(ROUNDUP((I$1)/10,0)*10,[1]Hugst!$R$4:$W$4,0))))</f>
        <v>5379.8117231109036</v>
      </c>
      <c r="J75">
        <f ca="1">IF($C75-J$1&lt;År1,0,I74*(1-VLOOKUP($A75,[1]Hugst!$R$5:$W$9,MATCH(ROUNDUP((J$1)/10,0)*10,[1]Hugst!$R$4:$W$4,0))))</f>
        <v>5384.5374406170058</v>
      </c>
      <c r="K75">
        <f ca="1">IF($C75-K$1&lt;År1,0,J74*(1-VLOOKUP($A75,[1]Hugst!$R$5:$W$9,MATCH(ROUNDUP((K$1)/10,0)*10,[1]Hugst!$R$4:$W$4,0))))</f>
        <v>5389.286905447264</v>
      </c>
      <c r="L75">
        <f ca="1">IF($C75-L$1&lt;År1,0,K74*(1-VLOOKUP($A75,[1]Hugst!$R$5:$W$9,MATCH(ROUNDUP((L$1)/10,0)*10,[1]Hugst!$R$4:$W$4,0))))</f>
        <v>5394.0602369349645</v>
      </c>
      <c r="M75">
        <f ca="1">IF($C75-M$1&lt;År1,0,L74*(1-VLOOKUP($A75,[1]Hugst!$R$5:$W$9,MATCH(ROUNDUP((M$1)/10,0)*10,[1]Hugst!$R$4:$W$4,0))))</f>
        <v>5398.8575550130645</v>
      </c>
      <c r="N75">
        <f ca="1">IF($C75-N$1&lt;År1,0,M74*(1-VLOOKUP($A75,[1]Hugst!$R$5:$W$9,MATCH(ROUNDUP((N$1)/10,0)*10,[1]Hugst!$R$4:$W$4,0))))</f>
        <v>5403.6789802171825</v>
      </c>
      <c r="O75">
        <f ca="1">IF($C75-O$1&lt;År1,0,N74*(1-VLOOKUP($A75,[1]Hugst!$R$5:$W$9,MATCH(ROUNDUP((O$1)/10,0)*10,[1]Hugst!$R$4:$W$4,0))))</f>
        <v>5408.5246336886621</v>
      </c>
      <c r="P75">
        <f ca="1">IF($C75-P$1&lt;År1,0,O74*(1-VLOOKUP($A75,[1]Hugst!$R$5:$W$9,MATCH(ROUNDUP((P$1)/10,0)*10,[1]Hugst!$R$4:$W$4,0))))</f>
        <v>5405.1369165445694</v>
      </c>
      <c r="Q75">
        <f ca="1">IF($C75-Q$1&lt;År1,0,P74*(1-VLOOKUP($A75,[1]Hugst!$R$5:$W$9,MATCH(ROUNDUP((Q$1)/10,0)*10,[1]Hugst!$R$4:$W$4,0))))</f>
        <v>5401.7713473926506</v>
      </c>
      <c r="R75">
        <f>IF($C75-R$1&lt;År1,0,Q74*(1-VLOOKUP($A75,[1]Hugst!$R$5:$W$9,MATCH(ROUNDUP((R$1)/10,0)*10,[1]Hugst!$R$4:$W$4,0))))</f>
        <v>0</v>
      </c>
      <c r="S75">
        <f>IF($C75-S$1&lt;År1,0,R74*(1-VLOOKUP($A75,[1]Hugst!$R$5:$W$9,MATCH(ROUNDUP((S$1)/10,0)*10,[1]Hugst!$R$4:$W$4,0))))</f>
        <v>0</v>
      </c>
      <c r="T75">
        <f>IF($C75-T$1&lt;År1,0,S74*(1-VLOOKUP($A75,[1]Hugst!$R$5:$W$9,MATCH(ROUNDUP((T$1)/10,0)*10,[1]Hugst!$R$4:$W$4,0))))</f>
        <v>0</v>
      </c>
      <c r="U75">
        <f>IF($C75-U$1&lt;År1,0,T74*(1-VLOOKUP($A75,[1]Hugst!$R$5:$W$9,MATCH(ROUNDUP((U$1)/10,0)*10,[1]Hugst!$R$4:$W$4,0))))</f>
        <v>0</v>
      </c>
      <c r="V75">
        <f>IF($C75-V$1&lt;År1,0,U74*(1-VLOOKUP($A75,[1]Hugst!$R$5:$W$9,MATCH(ROUNDUP((V$1)/10,0)*10,[1]Hugst!$R$4:$W$4,0))))</f>
        <v>0</v>
      </c>
      <c r="W75">
        <f>IF($C75-W$1&lt;År1,0,V74*(1-VLOOKUP($A75,[1]Hugst!$R$5:$W$9,MATCH(ROUNDUP((W$1)/10,0)*10,[1]Hugst!$R$4:$W$4,0))))</f>
        <v>0</v>
      </c>
      <c r="X75">
        <f>IF($C75-X$1&lt;År1,0,W74*(1-VLOOKUP($A75,[1]Hugst!$R$5:$W$9,MATCH(ROUNDUP((X$1)/10,0)*10,[1]Hugst!$R$4:$W$4,0))))</f>
        <v>0</v>
      </c>
      <c r="Y75">
        <f>IF($C75-Y$1&lt;År1,0,X74*(1-VLOOKUP($A75,[1]Hugst!$R$5:$W$9,MATCH(ROUNDUP((Y$1)/10,0)*10,[1]Hugst!$R$4:$W$4,0))))</f>
        <v>0</v>
      </c>
      <c r="Z75">
        <f>IF($C75-Z$1&lt;År1,0,Y74*(1-VLOOKUP($A75,[1]Hugst!$R$5:$W$9,MATCH(ROUNDUP((Z$1)/10,0)*10,[1]Hugst!$R$4:$W$4,0))))</f>
        <v>0</v>
      </c>
      <c r="AA75">
        <f>IF($C75-AA$1&lt;År1,0,Z74*(1-VLOOKUP($A75,[1]Hugst!$R$5:$W$9,MATCH(ROUNDUP((AA$1)/10,0)*10,[1]Hugst!$R$4:$W$4,0))))</f>
        <v>0</v>
      </c>
      <c r="AB75">
        <f>IF($C75-AB$1&lt;År1,0,AA74*(1-VLOOKUP($A75,[1]Hugst!$R$5:$W$9,MATCH(ROUNDUP((AB$1)/10,0)*10,[1]Hugst!$R$4:$W$4,0))))</f>
        <v>0</v>
      </c>
      <c r="AC75">
        <f>IF($C75-AC$1&lt;År1,0,AB74*(1-VLOOKUP($A75,[1]Hugst!$R$5:$W$9,MATCH(ROUNDUP((AC$1)/10,0)*10,[1]Hugst!$R$4:$W$4,0))))</f>
        <v>0</v>
      </c>
      <c r="AD75">
        <f>IF($C75-AD$1&lt;År1,0,AC74*(1-VLOOKUP($A75,[1]Hugst!$R$5:$W$9,MATCH(ROUNDUP((AD$1)/10,0)*10,[1]Hugst!$R$4:$W$4,0))))</f>
        <v>0</v>
      </c>
      <c r="AE75">
        <f>IF($C75-AE$1&lt;År1,0,AD74*(1-VLOOKUP($A75,[1]Hugst!$R$5:$W$9,MATCH(ROUNDUP((AE$1)/10,0)*10,[1]Hugst!$R$4:$W$4,0))))</f>
        <v>0</v>
      </c>
      <c r="AF75">
        <f>IF($C75-AF$1&lt;År1,0,AE74*(1-VLOOKUP($A75,[1]Hugst!$R$5:$W$9,MATCH(ROUNDUP((AF$1)/10,0)*10,[1]Hugst!$R$4:$W$4,0))))</f>
        <v>0</v>
      </c>
      <c r="AG75">
        <f>IF($C75-AG$1&lt;År1,0,AF74*(1-VLOOKUP($A75,[1]Hugst!$R$5:$W$9,MATCH(ROUNDUP((AG$1)/10,0)*10,[1]Hugst!$R$4:$W$4,0))))</f>
        <v>0</v>
      </c>
      <c r="AH75">
        <f>IF($C75-AH$1&lt;År1,0,AG74*(1-VLOOKUP($A75,[1]Hugst!$R$5:$W$9,MATCH(ROUNDUP((AH$1)/10,0)*10,[1]Hugst!$R$4:$W$4,0))))</f>
        <v>0</v>
      </c>
      <c r="AI75">
        <f>IF($C75-AI$1&lt;År1,0,AH74*(1-VLOOKUP($A75,[1]Hugst!$R$5:$W$9,MATCH(ROUNDUP((AI$1)/10,0)*10,[1]Hugst!$R$4:$W$4,0))))</f>
        <v>0</v>
      </c>
      <c r="AJ75">
        <f>IF($C75-AJ$1&lt;År1,0,AI74*(1-VLOOKUP($A75,[1]Hugst!$R$5:$W$9,MATCH(ROUNDUP((AJ$1)/10,0)*10,[1]Hugst!$R$4:$W$4,0))))</f>
        <v>0</v>
      </c>
    </row>
    <row r="76" spans="1:36" x14ac:dyDescent="0.25">
      <c r="A76" t="s">
        <v>177</v>
      </c>
      <c r="B76" t="s">
        <v>23</v>
      </c>
      <c r="C76">
        <v>2032</v>
      </c>
      <c r="D76" cm="1">
        <f t="array" ref="D76">(IF(B76="Vestdanmark",Skovbrug!$C$22-(Skovbrug!$C$22)*(1-Skovbrug!$C$9)^(C76-Skovbrug!$B$12),Skovbrug!$F$22-(Skovbrug!$F$22)*(1-Skovbrug!$C$9)^(C76-Skovbrug!$B$12)))*VLOOKUP(A76,Skovbrug!$A$13:$D$17,IF('Skovbrug-alder'!C76&lt;=År2,3,4),FALSE)
-IF(C76&gt;2020,SUM(INDEX($C$1:$D$311,MATCH(1,(2020=$C$1:$C$311)*(B76=$B$1:$B$311)*(A76=$A$1:$A$311),0),2):D75),0)</f>
        <v>921.750021089043</v>
      </c>
      <c r="E76">
        <f t="shared" ca="1" si="1"/>
        <v>24.735406115025398</v>
      </c>
      <c r="F76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3388.1520938707358</v>
      </c>
      <c r="G76">
        <f ca="1">IF($C76-G$1&lt;År1,0,F75*(1-VLOOKUP($A76,[1]Hugst!$R$5:$W$9,MATCH(ROUNDUP((G$1)/10,0)*10,[1]Hugst!$R$4:$W$4,0))))</f>
        <v>3384.5588969129326</v>
      </c>
      <c r="H76">
        <f ca="1">IF($C76-H$1&lt;År1,0,G75*(1-VLOOKUP($A76,[1]Hugst!$R$5:$W$9,MATCH(ROUNDUP((H$1)/10,0)*10,[1]Hugst!$R$4:$W$4,0))))</f>
        <v>5378.6962425009442</v>
      </c>
      <c r="I76">
        <f ca="1">IF($C76-I$1&lt;År1,0,H75*(1-VLOOKUP($A76,[1]Hugst!$R$5:$W$9,MATCH(ROUNDUP((I$1)/10,0)*10,[1]Hugst!$R$4:$W$4,0))))</f>
        <v>5375.1096341922748</v>
      </c>
      <c r="J76">
        <f ca="1">IF($C76-J$1&lt;År1,0,I75*(1-VLOOKUP($A76,[1]Hugst!$R$5:$W$9,MATCH(ROUNDUP((J$1)/10,0)*10,[1]Hugst!$R$4:$W$4,0))))</f>
        <v>5379.8117231109036</v>
      </c>
      <c r="K76">
        <f ca="1">IF($C76-K$1&lt;År1,0,J75*(1-VLOOKUP($A76,[1]Hugst!$R$5:$W$9,MATCH(ROUNDUP((K$1)/10,0)*10,[1]Hugst!$R$4:$W$4,0))))</f>
        <v>5384.5374406170058</v>
      </c>
      <c r="L76">
        <f ca="1">IF($C76-L$1&lt;År1,0,K75*(1-VLOOKUP($A76,[1]Hugst!$R$5:$W$9,MATCH(ROUNDUP((L$1)/10,0)*10,[1]Hugst!$R$4:$W$4,0))))</f>
        <v>5389.286905447264</v>
      </c>
      <c r="M76">
        <f ca="1">IF($C76-M$1&lt;År1,0,L75*(1-VLOOKUP($A76,[1]Hugst!$R$5:$W$9,MATCH(ROUNDUP((M$1)/10,0)*10,[1]Hugst!$R$4:$W$4,0))))</f>
        <v>5394.0602369349645</v>
      </c>
      <c r="N76">
        <f ca="1">IF($C76-N$1&lt;År1,0,M75*(1-VLOOKUP($A76,[1]Hugst!$R$5:$W$9,MATCH(ROUNDUP((N$1)/10,0)*10,[1]Hugst!$R$4:$W$4,0))))</f>
        <v>5398.8575550130645</v>
      </c>
      <c r="O76">
        <f ca="1">IF($C76-O$1&lt;År1,0,N75*(1-VLOOKUP($A76,[1]Hugst!$R$5:$W$9,MATCH(ROUNDUP((O$1)/10,0)*10,[1]Hugst!$R$4:$W$4,0))))</f>
        <v>5403.6789802171825</v>
      </c>
      <c r="P76">
        <f ca="1">IF($C76-P$1&lt;År1,0,O75*(1-VLOOKUP($A76,[1]Hugst!$R$5:$W$9,MATCH(ROUNDUP((P$1)/10,0)*10,[1]Hugst!$R$4:$W$4,0))))</f>
        <v>5400.2743418745604</v>
      </c>
      <c r="Q76">
        <f ca="1">IF($C76-Q$1&lt;År1,0,P75*(1-VLOOKUP($A76,[1]Hugst!$R$5:$W$9,MATCH(ROUNDUP((Q$1)/10,0)*10,[1]Hugst!$R$4:$W$4,0))))</f>
        <v>5396.891792434586</v>
      </c>
      <c r="R76">
        <f ca="1">IF($C76-R$1&lt;År1,0,Q75*(1-VLOOKUP($A76,[1]Hugst!$R$5:$W$9,MATCH(ROUNDUP((R$1)/10,0)*10,[1]Hugst!$R$4:$W$4,0))))</f>
        <v>5393.5313572017121</v>
      </c>
      <c r="S76">
        <f>IF($C76-S$1&lt;År1,0,R75*(1-VLOOKUP($A76,[1]Hugst!$R$5:$W$9,MATCH(ROUNDUP((S$1)/10,0)*10,[1]Hugst!$R$4:$W$4,0))))</f>
        <v>0</v>
      </c>
      <c r="T76">
        <f>IF($C76-T$1&lt;År1,0,S75*(1-VLOOKUP($A76,[1]Hugst!$R$5:$W$9,MATCH(ROUNDUP((T$1)/10,0)*10,[1]Hugst!$R$4:$W$4,0))))</f>
        <v>0</v>
      </c>
      <c r="U76">
        <f>IF($C76-U$1&lt;År1,0,T75*(1-VLOOKUP($A76,[1]Hugst!$R$5:$W$9,MATCH(ROUNDUP((U$1)/10,0)*10,[1]Hugst!$R$4:$W$4,0))))</f>
        <v>0</v>
      </c>
      <c r="V76">
        <f>IF($C76-V$1&lt;År1,0,U75*(1-VLOOKUP($A76,[1]Hugst!$R$5:$W$9,MATCH(ROUNDUP((V$1)/10,0)*10,[1]Hugst!$R$4:$W$4,0))))</f>
        <v>0</v>
      </c>
      <c r="W76">
        <f>IF($C76-W$1&lt;År1,0,V75*(1-VLOOKUP($A76,[1]Hugst!$R$5:$W$9,MATCH(ROUNDUP((W$1)/10,0)*10,[1]Hugst!$R$4:$W$4,0))))</f>
        <v>0</v>
      </c>
      <c r="X76">
        <f>IF($C76-X$1&lt;År1,0,W75*(1-VLOOKUP($A76,[1]Hugst!$R$5:$W$9,MATCH(ROUNDUP((X$1)/10,0)*10,[1]Hugst!$R$4:$W$4,0))))</f>
        <v>0</v>
      </c>
      <c r="Y76">
        <f>IF($C76-Y$1&lt;År1,0,X75*(1-VLOOKUP($A76,[1]Hugst!$R$5:$W$9,MATCH(ROUNDUP((Y$1)/10,0)*10,[1]Hugst!$R$4:$W$4,0))))</f>
        <v>0</v>
      </c>
      <c r="Z76">
        <f>IF($C76-Z$1&lt;År1,0,Y75*(1-VLOOKUP($A76,[1]Hugst!$R$5:$W$9,MATCH(ROUNDUP((Z$1)/10,0)*10,[1]Hugst!$R$4:$W$4,0))))</f>
        <v>0</v>
      </c>
      <c r="AA76">
        <f>IF($C76-AA$1&lt;År1,0,Z75*(1-VLOOKUP($A76,[1]Hugst!$R$5:$W$9,MATCH(ROUNDUP((AA$1)/10,0)*10,[1]Hugst!$R$4:$W$4,0))))</f>
        <v>0</v>
      </c>
      <c r="AB76">
        <f>IF($C76-AB$1&lt;År1,0,AA75*(1-VLOOKUP($A76,[1]Hugst!$R$5:$W$9,MATCH(ROUNDUP((AB$1)/10,0)*10,[1]Hugst!$R$4:$W$4,0))))</f>
        <v>0</v>
      </c>
      <c r="AC76">
        <f>IF($C76-AC$1&lt;År1,0,AB75*(1-VLOOKUP($A76,[1]Hugst!$R$5:$W$9,MATCH(ROUNDUP((AC$1)/10,0)*10,[1]Hugst!$R$4:$W$4,0))))</f>
        <v>0</v>
      </c>
      <c r="AD76">
        <f>IF($C76-AD$1&lt;År1,0,AC75*(1-VLOOKUP($A76,[1]Hugst!$R$5:$W$9,MATCH(ROUNDUP((AD$1)/10,0)*10,[1]Hugst!$R$4:$W$4,0))))</f>
        <v>0</v>
      </c>
      <c r="AE76">
        <f>IF($C76-AE$1&lt;År1,0,AD75*(1-VLOOKUP($A76,[1]Hugst!$R$5:$W$9,MATCH(ROUNDUP((AE$1)/10,0)*10,[1]Hugst!$R$4:$W$4,0))))</f>
        <v>0</v>
      </c>
      <c r="AF76">
        <f>IF($C76-AF$1&lt;År1,0,AE75*(1-VLOOKUP($A76,[1]Hugst!$R$5:$W$9,MATCH(ROUNDUP((AF$1)/10,0)*10,[1]Hugst!$R$4:$W$4,0))))</f>
        <v>0</v>
      </c>
      <c r="AG76">
        <f>IF($C76-AG$1&lt;År1,0,AF75*(1-VLOOKUP($A76,[1]Hugst!$R$5:$W$9,MATCH(ROUNDUP((AG$1)/10,0)*10,[1]Hugst!$R$4:$W$4,0))))</f>
        <v>0</v>
      </c>
      <c r="AH76">
        <f>IF($C76-AH$1&lt;År1,0,AG75*(1-VLOOKUP($A76,[1]Hugst!$R$5:$W$9,MATCH(ROUNDUP((AH$1)/10,0)*10,[1]Hugst!$R$4:$W$4,0))))</f>
        <v>0</v>
      </c>
      <c r="AI76">
        <f>IF($C76-AI$1&lt;År1,0,AH75*(1-VLOOKUP($A76,[1]Hugst!$R$5:$W$9,MATCH(ROUNDUP((AI$1)/10,0)*10,[1]Hugst!$R$4:$W$4,0))))</f>
        <v>0</v>
      </c>
      <c r="AJ76">
        <f>IF($C76-AJ$1&lt;År1,0,AI75*(1-VLOOKUP($A76,[1]Hugst!$R$5:$W$9,MATCH(ROUNDUP((AJ$1)/10,0)*10,[1]Hugst!$R$4:$W$4,0))))</f>
        <v>0</v>
      </c>
    </row>
    <row r="77" spans="1:36" x14ac:dyDescent="0.25">
      <c r="A77" t="s">
        <v>177</v>
      </c>
      <c r="B77" t="s">
        <v>23</v>
      </c>
      <c r="C77">
        <v>2033</v>
      </c>
      <c r="D77" cm="1">
        <f t="array" ref="D77">(IF(B77="Vestdanmark",Skovbrug!$C$22-(Skovbrug!$C$22)*(1-Skovbrug!$C$9)^(C77-Skovbrug!$B$12),Skovbrug!$F$22-(Skovbrug!$F$22)*(1-Skovbrug!$C$9)^(C77-Skovbrug!$B$12)))*VLOOKUP(A77,Skovbrug!$A$13:$D$17,IF('Skovbrug-alder'!C77&lt;=År2,3,4),FALSE)
-IF(C77&gt;2020,SUM(INDEX($C$1:$D$311,MATCH(1,(2020=$C$1:$C$311)*(B77=$B$1:$B$311)*(A77=$A$1:$A$311),0),2):D76),0)</f>
        <v>917.14127098357312</v>
      </c>
      <c r="E77">
        <f t="shared" ca="1" si="1"/>
        <v>32.94057427890948</v>
      </c>
      <c r="F77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3391.74851192915</v>
      </c>
      <c r="G77">
        <f ca="1">IF($C77-G$1&lt;År1,0,F76*(1-VLOOKUP($A77,[1]Hugst!$R$5:$W$9,MATCH(ROUNDUP((G$1)/10,0)*10,[1]Hugst!$R$4:$W$4,0))))</f>
        <v>3388.1520938707358</v>
      </c>
      <c r="H77">
        <f ca="1">IF($C77-H$1&lt;År1,0,G76*(1-VLOOKUP($A77,[1]Hugst!$R$5:$W$9,MATCH(ROUNDUP((H$1)/10,0)*10,[1]Hugst!$R$4:$W$4,0))))</f>
        <v>3384.5588969129326</v>
      </c>
      <c r="I77">
        <f ca="1">IF($C77-I$1&lt;År1,0,H76*(1-VLOOKUP($A77,[1]Hugst!$R$5:$W$9,MATCH(ROUNDUP((I$1)/10,0)*10,[1]Hugst!$R$4:$W$4,0))))</f>
        <v>5378.6962425009442</v>
      </c>
      <c r="J77">
        <f ca="1">IF($C77-J$1&lt;År1,0,I76*(1-VLOOKUP($A77,[1]Hugst!$R$5:$W$9,MATCH(ROUNDUP((J$1)/10,0)*10,[1]Hugst!$R$4:$W$4,0))))</f>
        <v>5375.1096341922748</v>
      </c>
      <c r="K77">
        <f ca="1">IF($C77-K$1&lt;År1,0,J76*(1-VLOOKUP($A77,[1]Hugst!$R$5:$W$9,MATCH(ROUNDUP((K$1)/10,0)*10,[1]Hugst!$R$4:$W$4,0))))</f>
        <v>5379.8117231109036</v>
      </c>
      <c r="L77">
        <f ca="1">IF($C77-L$1&lt;År1,0,K76*(1-VLOOKUP($A77,[1]Hugst!$R$5:$W$9,MATCH(ROUNDUP((L$1)/10,0)*10,[1]Hugst!$R$4:$W$4,0))))</f>
        <v>5384.5374406170058</v>
      </c>
      <c r="M77">
        <f ca="1">IF($C77-M$1&lt;År1,0,L76*(1-VLOOKUP($A77,[1]Hugst!$R$5:$W$9,MATCH(ROUNDUP((M$1)/10,0)*10,[1]Hugst!$R$4:$W$4,0))))</f>
        <v>5389.286905447264</v>
      </c>
      <c r="N77">
        <f ca="1">IF($C77-N$1&lt;År1,0,M76*(1-VLOOKUP($A77,[1]Hugst!$R$5:$W$9,MATCH(ROUNDUP((N$1)/10,0)*10,[1]Hugst!$R$4:$W$4,0))))</f>
        <v>5394.0602369349645</v>
      </c>
      <c r="O77">
        <f ca="1">IF($C77-O$1&lt;År1,0,N76*(1-VLOOKUP($A77,[1]Hugst!$R$5:$W$9,MATCH(ROUNDUP((O$1)/10,0)*10,[1]Hugst!$R$4:$W$4,0))))</f>
        <v>5398.8575550130645</v>
      </c>
      <c r="P77">
        <f ca="1">IF($C77-P$1&lt;År1,0,O76*(1-VLOOKUP($A77,[1]Hugst!$R$5:$W$9,MATCH(ROUNDUP((P$1)/10,0)*10,[1]Hugst!$R$4:$W$4,0))))</f>
        <v>5395.4360800778677</v>
      </c>
      <c r="Q77">
        <f ca="1">IF($C77-Q$1&lt;År1,0,P76*(1-VLOOKUP($A77,[1]Hugst!$R$5:$W$9,MATCH(ROUNDUP((Q$1)/10,0)*10,[1]Hugst!$R$4:$W$4,0))))</f>
        <v>5392.036635251362</v>
      </c>
      <c r="R77">
        <f ca="1">IF($C77-R$1&lt;År1,0,Q76*(1-VLOOKUP($A77,[1]Hugst!$R$5:$W$9,MATCH(ROUNDUP((R$1)/10,0)*10,[1]Hugst!$R$4:$W$4,0))))</f>
        <v>5388.659245632567</v>
      </c>
      <c r="S77">
        <f ca="1">IF($C77-S$1&lt;År1,0,R76*(1-VLOOKUP($A77,[1]Hugst!$R$5:$W$9,MATCH(ROUNDUP((S$1)/10,0)*10,[1]Hugst!$R$4:$W$4,0))))</f>
        <v>5385.3039364873366</v>
      </c>
      <c r="T77">
        <f>IF($C77-T$1&lt;År1,0,S76*(1-VLOOKUP($A77,[1]Hugst!$R$5:$W$9,MATCH(ROUNDUP((T$1)/10,0)*10,[1]Hugst!$R$4:$W$4,0))))</f>
        <v>0</v>
      </c>
      <c r="U77">
        <f>IF($C77-U$1&lt;År1,0,T76*(1-VLOOKUP($A77,[1]Hugst!$R$5:$W$9,MATCH(ROUNDUP((U$1)/10,0)*10,[1]Hugst!$R$4:$W$4,0))))</f>
        <v>0</v>
      </c>
      <c r="V77">
        <f>IF($C77-V$1&lt;År1,0,U76*(1-VLOOKUP($A77,[1]Hugst!$R$5:$W$9,MATCH(ROUNDUP((V$1)/10,0)*10,[1]Hugst!$R$4:$W$4,0))))</f>
        <v>0</v>
      </c>
      <c r="W77">
        <f>IF($C77-W$1&lt;År1,0,V76*(1-VLOOKUP($A77,[1]Hugst!$R$5:$W$9,MATCH(ROUNDUP((W$1)/10,0)*10,[1]Hugst!$R$4:$W$4,0))))</f>
        <v>0</v>
      </c>
      <c r="X77">
        <f>IF($C77-X$1&lt;År1,0,W76*(1-VLOOKUP($A77,[1]Hugst!$R$5:$W$9,MATCH(ROUNDUP((X$1)/10,0)*10,[1]Hugst!$R$4:$W$4,0))))</f>
        <v>0</v>
      </c>
      <c r="Y77">
        <f>IF($C77-Y$1&lt;År1,0,X76*(1-VLOOKUP($A77,[1]Hugst!$R$5:$W$9,MATCH(ROUNDUP((Y$1)/10,0)*10,[1]Hugst!$R$4:$W$4,0))))</f>
        <v>0</v>
      </c>
      <c r="Z77">
        <f>IF($C77-Z$1&lt;År1,0,Y76*(1-VLOOKUP($A77,[1]Hugst!$R$5:$W$9,MATCH(ROUNDUP((Z$1)/10,0)*10,[1]Hugst!$R$4:$W$4,0))))</f>
        <v>0</v>
      </c>
      <c r="AA77">
        <f>IF($C77-AA$1&lt;År1,0,Z76*(1-VLOOKUP($A77,[1]Hugst!$R$5:$W$9,MATCH(ROUNDUP((AA$1)/10,0)*10,[1]Hugst!$R$4:$W$4,0))))</f>
        <v>0</v>
      </c>
      <c r="AB77">
        <f>IF($C77-AB$1&lt;År1,0,AA76*(1-VLOOKUP($A77,[1]Hugst!$R$5:$W$9,MATCH(ROUNDUP((AB$1)/10,0)*10,[1]Hugst!$R$4:$W$4,0))))</f>
        <v>0</v>
      </c>
      <c r="AC77">
        <f>IF($C77-AC$1&lt;År1,0,AB76*(1-VLOOKUP($A77,[1]Hugst!$R$5:$W$9,MATCH(ROUNDUP((AC$1)/10,0)*10,[1]Hugst!$R$4:$W$4,0))))</f>
        <v>0</v>
      </c>
      <c r="AD77">
        <f>IF($C77-AD$1&lt;År1,0,AC76*(1-VLOOKUP($A77,[1]Hugst!$R$5:$W$9,MATCH(ROUNDUP((AD$1)/10,0)*10,[1]Hugst!$R$4:$W$4,0))))</f>
        <v>0</v>
      </c>
      <c r="AE77">
        <f>IF($C77-AE$1&lt;År1,0,AD76*(1-VLOOKUP($A77,[1]Hugst!$R$5:$W$9,MATCH(ROUNDUP((AE$1)/10,0)*10,[1]Hugst!$R$4:$W$4,0))))</f>
        <v>0</v>
      </c>
      <c r="AF77">
        <f>IF($C77-AF$1&lt;År1,0,AE76*(1-VLOOKUP($A77,[1]Hugst!$R$5:$W$9,MATCH(ROUNDUP((AF$1)/10,0)*10,[1]Hugst!$R$4:$W$4,0))))</f>
        <v>0</v>
      </c>
      <c r="AG77">
        <f>IF($C77-AG$1&lt;År1,0,AF76*(1-VLOOKUP($A77,[1]Hugst!$R$5:$W$9,MATCH(ROUNDUP((AG$1)/10,0)*10,[1]Hugst!$R$4:$W$4,0))))</f>
        <v>0</v>
      </c>
      <c r="AH77">
        <f>IF($C77-AH$1&lt;År1,0,AG76*(1-VLOOKUP($A77,[1]Hugst!$R$5:$W$9,MATCH(ROUNDUP((AH$1)/10,0)*10,[1]Hugst!$R$4:$W$4,0))))</f>
        <v>0</v>
      </c>
      <c r="AI77">
        <f>IF($C77-AI$1&lt;År1,0,AH76*(1-VLOOKUP($A77,[1]Hugst!$R$5:$W$9,MATCH(ROUNDUP((AI$1)/10,0)*10,[1]Hugst!$R$4:$W$4,0))))</f>
        <v>0</v>
      </c>
      <c r="AJ77">
        <f>IF($C77-AJ$1&lt;År1,0,AI76*(1-VLOOKUP($A77,[1]Hugst!$R$5:$W$9,MATCH(ROUNDUP((AJ$1)/10,0)*10,[1]Hugst!$R$4:$W$4,0))))</f>
        <v>0</v>
      </c>
    </row>
    <row r="78" spans="1:36" x14ac:dyDescent="0.25">
      <c r="A78" t="s">
        <v>177</v>
      </c>
      <c r="B78" t="s">
        <v>23</v>
      </c>
      <c r="C78">
        <v>2034</v>
      </c>
      <c r="D78" cm="1">
        <f t="array" ref="D78">(IF(B78="Vestdanmark",Skovbrug!$C$22-(Skovbrug!$C$22)*(1-Skovbrug!$C$9)^(C78-Skovbrug!$B$12),Skovbrug!$F$22-(Skovbrug!$F$22)*(1-Skovbrug!$C$9)^(C78-Skovbrug!$B$12)))*VLOOKUP(A78,Skovbrug!$A$13:$D$17,IF('Skovbrug-alder'!C78&lt;=År2,3,4),FALSE)
-IF(C78&gt;2020,SUM(INDEX($C$1:$D$311,MATCH(1,(2020=$C$1:$C$311)*(B78=$B$1:$B$311)*(A78=$A$1:$A$311),0),2):D77),0)</f>
        <v>912.55556462866116</v>
      </c>
      <c r="E78">
        <f t="shared" ca="1" si="1"/>
        <v>41.125871368160006</v>
      </c>
      <c r="F7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3395.3481026634886</v>
      </c>
      <c r="G78">
        <f ca="1">IF($C78-G$1&lt;År1,0,F77*(1-VLOOKUP($A78,[1]Hugst!$R$5:$W$9,MATCH(ROUNDUP((G$1)/10,0)*10,[1]Hugst!$R$4:$W$4,0))))</f>
        <v>3391.74851192915</v>
      </c>
      <c r="H78">
        <f ca="1">IF($C78-H$1&lt;År1,0,G77*(1-VLOOKUP($A78,[1]Hugst!$R$5:$W$9,MATCH(ROUNDUP((H$1)/10,0)*10,[1]Hugst!$R$4:$W$4,0))))</f>
        <v>3388.1520938707358</v>
      </c>
      <c r="I78">
        <f ca="1">IF($C78-I$1&lt;År1,0,H77*(1-VLOOKUP($A78,[1]Hugst!$R$5:$W$9,MATCH(ROUNDUP((I$1)/10,0)*10,[1]Hugst!$R$4:$W$4,0))))</f>
        <v>3384.5588969129326</v>
      </c>
      <c r="J78">
        <f ca="1">IF($C78-J$1&lt;År1,0,I77*(1-VLOOKUP($A78,[1]Hugst!$R$5:$W$9,MATCH(ROUNDUP((J$1)/10,0)*10,[1]Hugst!$R$4:$W$4,0))))</f>
        <v>5378.6962425009442</v>
      </c>
      <c r="K78">
        <f ca="1">IF($C78-K$1&lt;År1,0,J77*(1-VLOOKUP($A78,[1]Hugst!$R$5:$W$9,MATCH(ROUNDUP((K$1)/10,0)*10,[1]Hugst!$R$4:$W$4,0))))</f>
        <v>5375.1096341922748</v>
      </c>
      <c r="L78">
        <f ca="1">IF($C78-L$1&lt;År1,0,K77*(1-VLOOKUP($A78,[1]Hugst!$R$5:$W$9,MATCH(ROUNDUP((L$1)/10,0)*10,[1]Hugst!$R$4:$W$4,0))))</f>
        <v>5379.8117231109036</v>
      </c>
      <c r="M78">
        <f ca="1">IF($C78-M$1&lt;År1,0,L77*(1-VLOOKUP($A78,[1]Hugst!$R$5:$W$9,MATCH(ROUNDUP((M$1)/10,0)*10,[1]Hugst!$R$4:$W$4,0))))</f>
        <v>5384.5374406170058</v>
      </c>
      <c r="N78">
        <f ca="1">IF($C78-N$1&lt;År1,0,M77*(1-VLOOKUP($A78,[1]Hugst!$R$5:$W$9,MATCH(ROUNDUP((N$1)/10,0)*10,[1]Hugst!$R$4:$W$4,0))))</f>
        <v>5389.286905447264</v>
      </c>
      <c r="O78">
        <f ca="1">IF($C78-O$1&lt;År1,0,N77*(1-VLOOKUP($A78,[1]Hugst!$R$5:$W$9,MATCH(ROUNDUP((O$1)/10,0)*10,[1]Hugst!$R$4:$W$4,0))))</f>
        <v>5394.0602369349645</v>
      </c>
      <c r="P78">
        <f ca="1">IF($C78-P$1&lt;År1,0,O77*(1-VLOOKUP($A78,[1]Hugst!$R$5:$W$9,MATCH(ROUNDUP((P$1)/10,0)*10,[1]Hugst!$R$4:$W$4,0))))</f>
        <v>5390.6220095901626</v>
      </c>
      <c r="Q78">
        <f ca="1">IF($C78-Q$1&lt;År1,0,P77*(1-VLOOKUP($A78,[1]Hugst!$R$5:$W$9,MATCH(ROUNDUP((Q$1)/10,0)*10,[1]Hugst!$R$4:$W$4,0))))</f>
        <v>5387.2057538540203</v>
      </c>
      <c r="R78">
        <f ca="1">IF($C78-R$1&lt;År1,0,Q77*(1-VLOOKUP($A78,[1]Hugst!$R$5:$W$9,MATCH(ROUNDUP((R$1)/10,0)*10,[1]Hugst!$R$4:$W$4,0))))</f>
        <v>5383.8114946213173</v>
      </c>
      <c r="S78">
        <f ca="1">IF($C78-S$1&lt;År1,0,R77*(1-VLOOKUP($A78,[1]Hugst!$R$5:$W$9,MATCH(ROUNDUP((S$1)/10,0)*10,[1]Hugst!$R$4:$W$4,0))))</f>
        <v>5380.4392569527881</v>
      </c>
      <c r="T78">
        <f ca="1">IF($C78-T$1&lt;År1,0,S77*(1-VLOOKUP($A78,[1]Hugst!$R$5:$W$9,MATCH(ROUNDUP((T$1)/10,0)*10,[1]Hugst!$R$4:$W$4,0))))</f>
        <v>5377.0890660757459</v>
      </c>
      <c r="U78">
        <f>IF($C78-U$1&lt;År1,0,T77*(1-VLOOKUP($A78,[1]Hugst!$R$5:$W$9,MATCH(ROUNDUP((U$1)/10,0)*10,[1]Hugst!$R$4:$W$4,0))))</f>
        <v>0</v>
      </c>
      <c r="V78">
        <f>IF($C78-V$1&lt;År1,0,U77*(1-VLOOKUP($A78,[1]Hugst!$R$5:$W$9,MATCH(ROUNDUP((V$1)/10,0)*10,[1]Hugst!$R$4:$W$4,0))))</f>
        <v>0</v>
      </c>
      <c r="W78">
        <f>IF($C78-W$1&lt;År1,0,V77*(1-VLOOKUP($A78,[1]Hugst!$R$5:$W$9,MATCH(ROUNDUP((W$1)/10,0)*10,[1]Hugst!$R$4:$W$4,0))))</f>
        <v>0</v>
      </c>
      <c r="X78">
        <f>IF($C78-X$1&lt;År1,0,W77*(1-VLOOKUP($A78,[1]Hugst!$R$5:$W$9,MATCH(ROUNDUP((X$1)/10,0)*10,[1]Hugst!$R$4:$W$4,0))))</f>
        <v>0</v>
      </c>
      <c r="Y78">
        <f>IF($C78-Y$1&lt;År1,0,X77*(1-VLOOKUP($A78,[1]Hugst!$R$5:$W$9,MATCH(ROUNDUP((Y$1)/10,0)*10,[1]Hugst!$R$4:$W$4,0))))</f>
        <v>0</v>
      </c>
      <c r="Z78">
        <f>IF($C78-Z$1&lt;År1,0,Y77*(1-VLOOKUP($A78,[1]Hugst!$R$5:$W$9,MATCH(ROUNDUP((Z$1)/10,0)*10,[1]Hugst!$R$4:$W$4,0))))</f>
        <v>0</v>
      </c>
      <c r="AA78">
        <f>IF($C78-AA$1&lt;År1,0,Z77*(1-VLOOKUP($A78,[1]Hugst!$R$5:$W$9,MATCH(ROUNDUP((AA$1)/10,0)*10,[1]Hugst!$R$4:$W$4,0))))</f>
        <v>0</v>
      </c>
      <c r="AB78">
        <f>IF($C78-AB$1&lt;År1,0,AA77*(1-VLOOKUP($A78,[1]Hugst!$R$5:$W$9,MATCH(ROUNDUP((AB$1)/10,0)*10,[1]Hugst!$R$4:$W$4,0))))</f>
        <v>0</v>
      </c>
      <c r="AC78">
        <f>IF($C78-AC$1&lt;År1,0,AB77*(1-VLOOKUP($A78,[1]Hugst!$R$5:$W$9,MATCH(ROUNDUP((AC$1)/10,0)*10,[1]Hugst!$R$4:$W$4,0))))</f>
        <v>0</v>
      </c>
      <c r="AD78">
        <f>IF($C78-AD$1&lt;År1,0,AC77*(1-VLOOKUP($A78,[1]Hugst!$R$5:$W$9,MATCH(ROUNDUP((AD$1)/10,0)*10,[1]Hugst!$R$4:$W$4,0))))</f>
        <v>0</v>
      </c>
      <c r="AE78">
        <f>IF($C78-AE$1&lt;År1,0,AD77*(1-VLOOKUP($A78,[1]Hugst!$R$5:$W$9,MATCH(ROUNDUP((AE$1)/10,0)*10,[1]Hugst!$R$4:$W$4,0))))</f>
        <v>0</v>
      </c>
      <c r="AF78">
        <f>IF($C78-AF$1&lt;År1,0,AE77*(1-VLOOKUP($A78,[1]Hugst!$R$5:$W$9,MATCH(ROUNDUP((AF$1)/10,0)*10,[1]Hugst!$R$4:$W$4,0))))</f>
        <v>0</v>
      </c>
      <c r="AG78">
        <f>IF($C78-AG$1&lt;År1,0,AF77*(1-VLOOKUP($A78,[1]Hugst!$R$5:$W$9,MATCH(ROUNDUP((AG$1)/10,0)*10,[1]Hugst!$R$4:$W$4,0))))</f>
        <v>0</v>
      </c>
      <c r="AH78">
        <f>IF($C78-AH$1&lt;År1,0,AG77*(1-VLOOKUP($A78,[1]Hugst!$R$5:$W$9,MATCH(ROUNDUP((AH$1)/10,0)*10,[1]Hugst!$R$4:$W$4,0))))</f>
        <v>0</v>
      </c>
      <c r="AI78">
        <f>IF($C78-AI$1&lt;År1,0,AH77*(1-VLOOKUP($A78,[1]Hugst!$R$5:$W$9,MATCH(ROUNDUP((AI$1)/10,0)*10,[1]Hugst!$R$4:$W$4,0))))</f>
        <v>0</v>
      </c>
      <c r="AJ78">
        <f>IF($C78-AJ$1&lt;År1,0,AI77*(1-VLOOKUP($A78,[1]Hugst!$R$5:$W$9,MATCH(ROUNDUP((AJ$1)/10,0)*10,[1]Hugst!$R$4:$W$4,0))))</f>
        <v>0</v>
      </c>
    </row>
    <row r="79" spans="1:36" x14ac:dyDescent="0.25">
      <c r="A79" t="s">
        <v>177</v>
      </c>
      <c r="B79" t="s">
        <v>23</v>
      </c>
      <c r="C79">
        <v>2035</v>
      </c>
      <c r="D79" cm="1">
        <f t="array" ref="D79">(IF(B79="Vestdanmark",Skovbrug!$C$22-(Skovbrug!$C$22)*(1-Skovbrug!$C$9)^(C79-Skovbrug!$B$12),Skovbrug!$F$22-(Skovbrug!$F$22)*(1-Skovbrug!$C$9)^(C79-Skovbrug!$B$12)))*VLOOKUP(A79,Skovbrug!$A$13:$D$17,IF('Skovbrug-alder'!C79&lt;=År2,3,4),FALSE)
-IF(C79&gt;2020,SUM(INDEX($C$1:$D$311,MATCH(1,(2020=$C$1:$C$311)*(B79=$B$1:$B$311)*(A79=$A$1:$A$311),0),2):D78),0)</f>
        <v>907.99278680553653</v>
      </c>
      <c r="E79">
        <f t="shared" ca="1" si="1"/>
        <v>49.291364468183019</v>
      </c>
      <c r="F79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3398.950817940387</v>
      </c>
      <c r="G79">
        <f ca="1">IF($C79-G$1&lt;År1,0,F78*(1-VLOOKUP($A79,[1]Hugst!$R$5:$W$9,MATCH(ROUNDUP((G$1)/10,0)*10,[1]Hugst!$R$4:$W$4,0))))</f>
        <v>3395.3481026634886</v>
      </c>
      <c r="H79">
        <f ca="1">IF($C79-H$1&lt;År1,0,G78*(1-VLOOKUP($A79,[1]Hugst!$R$5:$W$9,MATCH(ROUNDUP((H$1)/10,0)*10,[1]Hugst!$R$4:$W$4,0))))</f>
        <v>3391.74851192915</v>
      </c>
      <c r="I79">
        <f ca="1">IF($C79-I$1&lt;År1,0,H78*(1-VLOOKUP($A79,[1]Hugst!$R$5:$W$9,MATCH(ROUNDUP((I$1)/10,0)*10,[1]Hugst!$R$4:$W$4,0))))</f>
        <v>3388.1520938707358</v>
      </c>
      <c r="J79">
        <f ca="1">IF($C79-J$1&lt;År1,0,I78*(1-VLOOKUP($A79,[1]Hugst!$R$5:$W$9,MATCH(ROUNDUP((J$1)/10,0)*10,[1]Hugst!$R$4:$W$4,0))))</f>
        <v>3384.5588969129326</v>
      </c>
      <c r="K79">
        <f ca="1">IF($C79-K$1&lt;År1,0,J78*(1-VLOOKUP($A79,[1]Hugst!$R$5:$W$9,MATCH(ROUNDUP((K$1)/10,0)*10,[1]Hugst!$R$4:$W$4,0))))</f>
        <v>5378.6962425009442</v>
      </c>
      <c r="L79">
        <f ca="1">IF($C79-L$1&lt;År1,0,K78*(1-VLOOKUP($A79,[1]Hugst!$R$5:$W$9,MATCH(ROUNDUP((L$1)/10,0)*10,[1]Hugst!$R$4:$W$4,0))))</f>
        <v>5375.1096341922748</v>
      </c>
      <c r="M79">
        <f ca="1">IF($C79-M$1&lt;År1,0,L78*(1-VLOOKUP($A79,[1]Hugst!$R$5:$W$9,MATCH(ROUNDUP((M$1)/10,0)*10,[1]Hugst!$R$4:$W$4,0))))</f>
        <v>5379.8117231109036</v>
      </c>
      <c r="N79">
        <f ca="1">IF($C79-N$1&lt;År1,0,M78*(1-VLOOKUP($A79,[1]Hugst!$R$5:$W$9,MATCH(ROUNDUP((N$1)/10,0)*10,[1]Hugst!$R$4:$W$4,0))))</f>
        <v>5384.5374406170058</v>
      </c>
      <c r="O79">
        <f ca="1">IF($C79-O$1&lt;År1,0,N78*(1-VLOOKUP($A79,[1]Hugst!$R$5:$W$9,MATCH(ROUNDUP((O$1)/10,0)*10,[1]Hugst!$R$4:$W$4,0))))</f>
        <v>5389.286905447264</v>
      </c>
      <c r="P79">
        <f ca="1">IF($C79-P$1&lt;År1,0,O78*(1-VLOOKUP($A79,[1]Hugst!$R$5:$W$9,MATCH(ROUNDUP((P$1)/10,0)*10,[1]Hugst!$R$4:$W$4,0))))</f>
        <v>5385.8320094548944</v>
      </c>
      <c r="Q79">
        <f ca="1">IF($C79-Q$1&lt;År1,0,P78*(1-VLOOKUP($A79,[1]Hugst!$R$5:$W$9,MATCH(ROUNDUP((Q$1)/10,0)*10,[1]Hugst!$R$4:$W$4,0))))</f>
        <v>5382.399026863669</v>
      </c>
      <c r="R79">
        <f ca="1">IF($C79-R$1&lt;År1,0,Q78*(1-VLOOKUP($A79,[1]Hugst!$R$5:$W$9,MATCH(ROUNDUP((R$1)/10,0)*10,[1]Hugst!$R$4:$W$4,0))))</f>
        <v>5378.9879823650899</v>
      </c>
      <c r="S79">
        <f ca="1">IF($C79-S$1&lt;År1,0,R78*(1-VLOOKUP($A79,[1]Hugst!$R$5:$W$9,MATCH(ROUNDUP((S$1)/10,0)*10,[1]Hugst!$R$4:$W$4,0))))</f>
        <v>5375.5989008159622</v>
      </c>
      <c r="T79">
        <f ca="1">IF($C79-T$1&lt;År1,0,S78*(1-VLOOKUP($A79,[1]Hugst!$R$5:$W$9,MATCH(ROUNDUP((T$1)/10,0)*10,[1]Hugst!$R$4:$W$4,0))))</f>
        <v>5372.2318072387925</v>
      </c>
      <c r="U79">
        <f ca="1">IF($C79-U$1&lt;År1,0,T78*(1-VLOOKUP($A79,[1]Hugst!$R$5:$W$9,MATCH(ROUNDUP((U$1)/10,0)*10,[1]Hugst!$R$4:$W$4,0))))</f>
        <v>5368.8867268224094</v>
      </c>
      <c r="V79">
        <f>IF($C79-V$1&lt;År1,0,U78*(1-VLOOKUP($A79,[1]Hugst!$R$5:$W$9,MATCH(ROUNDUP((V$1)/10,0)*10,[1]Hugst!$R$4:$W$4,0))))</f>
        <v>0</v>
      </c>
      <c r="W79">
        <f>IF($C79-W$1&lt;År1,0,V78*(1-VLOOKUP($A79,[1]Hugst!$R$5:$W$9,MATCH(ROUNDUP((W$1)/10,0)*10,[1]Hugst!$R$4:$W$4,0))))</f>
        <v>0</v>
      </c>
      <c r="X79">
        <f>IF($C79-X$1&lt;År1,0,W78*(1-VLOOKUP($A79,[1]Hugst!$R$5:$W$9,MATCH(ROUNDUP((X$1)/10,0)*10,[1]Hugst!$R$4:$W$4,0))))</f>
        <v>0</v>
      </c>
      <c r="Y79">
        <f>IF($C79-Y$1&lt;År1,0,X78*(1-VLOOKUP($A79,[1]Hugst!$R$5:$W$9,MATCH(ROUNDUP((Y$1)/10,0)*10,[1]Hugst!$R$4:$W$4,0))))</f>
        <v>0</v>
      </c>
      <c r="Z79">
        <f>IF($C79-Z$1&lt;År1,0,Y78*(1-VLOOKUP($A79,[1]Hugst!$R$5:$W$9,MATCH(ROUNDUP((Z$1)/10,0)*10,[1]Hugst!$R$4:$W$4,0))))</f>
        <v>0</v>
      </c>
      <c r="AA79">
        <f>IF($C79-AA$1&lt;År1,0,Z78*(1-VLOOKUP($A79,[1]Hugst!$R$5:$W$9,MATCH(ROUNDUP((AA$1)/10,0)*10,[1]Hugst!$R$4:$W$4,0))))</f>
        <v>0</v>
      </c>
      <c r="AB79">
        <f>IF($C79-AB$1&lt;År1,0,AA78*(1-VLOOKUP($A79,[1]Hugst!$R$5:$W$9,MATCH(ROUNDUP((AB$1)/10,0)*10,[1]Hugst!$R$4:$W$4,0))))</f>
        <v>0</v>
      </c>
      <c r="AC79">
        <f>IF($C79-AC$1&lt;År1,0,AB78*(1-VLOOKUP($A79,[1]Hugst!$R$5:$W$9,MATCH(ROUNDUP((AC$1)/10,0)*10,[1]Hugst!$R$4:$W$4,0))))</f>
        <v>0</v>
      </c>
      <c r="AD79">
        <f>IF($C79-AD$1&lt;År1,0,AC78*(1-VLOOKUP($A79,[1]Hugst!$R$5:$W$9,MATCH(ROUNDUP((AD$1)/10,0)*10,[1]Hugst!$R$4:$W$4,0))))</f>
        <v>0</v>
      </c>
      <c r="AE79">
        <f>IF($C79-AE$1&lt;År1,0,AD78*(1-VLOOKUP($A79,[1]Hugst!$R$5:$W$9,MATCH(ROUNDUP((AE$1)/10,0)*10,[1]Hugst!$R$4:$W$4,0))))</f>
        <v>0</v>
      </c>
      <c r="AF79">
        <f>IF($C79-AF$1&lt;År1,0,AE78*(1-VLOOKUP($A79,[1]Hugst!$R$5:$W$9,MATCH(ROUNDUP((AF$1)/10,0)*10,[1]Hugst!$R$4:$W$4,0))))</f>
        <v>0</v>
      </c>
      <c r="AG79">
        <f>IF($C79-AG$1&lt;År1,0,AF78*(1-VLOOKUP($A79,[1]Hugst!$R$5:$W$9,MATCH(ROUNDUP((AG$1)/10,0)*10,[1]Hugst!$R$4:$W$4,0))))</f>
        <v>0</v>
      </c>
      <c r="AH79">
        <f>IF($C79-AH$1&lt;År1,0,AG78*(1-VLOOKUP($A79,[1]Hugst!$R$5:$W$9,MATCH(ROUNDUP((AH$1)/10,0)*10,[1]Hugst!$R$4:$W$4,0))))</f>
        <v>0</v>
      </c>
      <c r="AI79">
        <f>IF($C79-AI$1&lt;År1,0,AH78*(1-VLOOKUP($A79,[1]Hugst!$R$5:$W$9,MATCH(ROUNDUP((AI$1)/10,0)*10,[1]Hugst!$R$4:$W$4,0))))</f>
        <v>0</v>
      </c>
      <c r="AJ79">
        <f>IF($C79-AJ$1&lt;År1,0,AI78*(1-VLOOKUP($A79,[1]Hugst!$R$5:$W$9,MATCH(ROUNDUP((AJ$1)/10,0)*10,[1]Hugst!$R$4:$W$4,0))))</f>
        <v>0</v>
      </c>
    </row>
    <row r="80" spans="1:36" x14ac:dyDescent="0.25">
      <c r="A80" t="s">
        <v>177</v>
      </c>
      <c r="B80" t="s">
        <v>23</v>
      </c>
      <c r="C80">
        <v>2036</v>
      </c>
      <c r="D80" cm="1">
        <f t="array" ref="D80">(IF(B80="Vestdanmark",Skovbrug!$C$22-(Skovbrug!$C$22)*(1-Skovbrug!$C$9)^(C80-Skovbrug!$B$12),Skovbrug!$F$22-(Skovbrug!$F$22)*(1-Skovbrug!$C$9)^(C80-Skovbrug!$B$12)))*VLOOKUP(A80,Skovbrug!$A$13:$D$17,IF('Skovbrug-alder'!C80&lt;=År2,3,4),FALSE)
-IF(C80&gt;2020,SUM(INDEX($C$1:$D$311,MATCH(1,(2020=$C$1:$C$311)*(B80=$B$1:$B$311)*(A80=$A$1:$A$311),0),2):D79),0)</f>
        <v>903.45282287150258</v>
      </c>
      <c r="E80">
        <f t="shared" ca="1" si="1"/>
        <v>57.437120378148393</v>
      </c>
      <c r="F80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3402.5566099163184</v>
      </c>
      <c r="G80">
        <f ca="1">IF($C80-G$1&lt;År1,0,F79*(1-VLOOKUP($A80,[1]Hugst!$R$5:$W$9,MATCH(ROUNDUP((G$1)/10,0)*10,[1]Hugst!$R$4:$W$4,0))))</f>
        <v>3398.950817940387</v>
      </c>
      <c r="H80">
        <f ca="1">IF($C80-H$1&lt;År1,0,G79*(1-VLOOKUP($A80,[1]Hugst!$R$5:$W$9,MATCH(ROUNDUP((H$1)/10,0)*10,[1]Hugst!$R$4:$W$4,0))))</f>
        <v>3395.3481026634886</v>
      </c>
      <c r="I80">
        <f ca="1">IF($C80-I$1&lt;År1,0,H79*(1-VLOOKUP($A80,[1]Hugst!$R$5:$W$9,MATCH(ROUNDUP((I$1)/10,0)*10,[1]Hugst!$R$4:$W$4,0))))</f>
        <v>3391.74851192915</v>
      </c>
      <c r="J80">
        <f ca="1">IF($C80-J$1&lt;År1,0,I79*(1-VLOOKUP($A80,[1]Hugst!$R$5:$W$9,MATCH(ROUNDUP((J$1)/10,0)*10,[1]Hugst!$R$4:$W$4,0))))</f>
        <v>3388.1520938707358</v>
      </c>
      <c r="K80">
        <f ca="1">IF($C80-K$1&lt;År1,0,J79*(1-VLOOKUP($A80,[1]Hugst!$R$5:$W$9,MATCH(ROUNDUP((K$1)/10,0)*10,[1]Hugst!$R$4:$W$4,0))))</f>
        <v>3384.5588969129326</v>
      </c>
      <c r="L80">
        <f ca="1">IF($C80-L$1&lt;År1,0,K79*(1-VLOOKUP($A80,[1]Hugst!$R$5:$W$9,MATCH(ROUNDUP((L$1)/10,0)*10,[1]Hugst!$R$4:$W$4,0))))</f>
        <v>5378.6962425009442</v>
      </c>
      <c r="M80">
        <f ca="1">IF($C80-M$1&lt;År1,0,L79*(1-VLOOKUP($A80,[1]Hugst!$R$5:$W$9,MATCH(ROUNDUP((M$1)/10,0)*10,[1]Hugst!$R$4:$W$4,0))))</f>
        <v>5375.1096341922748</v>
      </c>
      <c r="N80">
        <f ca="1">IF($C80-N$1&lt;År1,0,M79*(1-VLOOKUP($A80,[1]Hugst!$R$5:$W$9,MATCH(ROUNDUP((N$1)/10,0)*10,[1]Hugst!$R$4:$W$4,0))))</f>
        <v>5379.8117231109036</v>
      </c>
      <c r="O80">
        <f ca="1">IF($C80-O$1&lt;År1,0,N79*(1-VLOOKUP($A80,[1]Hugst!$R$5:$W$9,MATCH(ROUNDUP((O$1)/10,0)*10,[1]Hugst!$R$4:$W$4,0))))</f>
        <v>5384.5374406170058</v>
      </c>
      <c r="P80">
        <f ca="1">IF($C80-P$1&lt;År1,0,O79*(1-VLOOKUP($A80,[1]Hugst!$R$5:$W$9,MATCH(ROUNDUP((P$1)/10,0)*10,[1]Hugst!$R$4:$W$4,0))))</f>
        <v>5381.06595932031</v>
      </c>
      <c r="Q80">
        <f ca="1">IF($C80-Q$1&lt;År1,0,P79*(1-VLOOKUP($A80,[1]Hugst!$R$5:$W$9,MATCH(ROUNDUP((Q$1)/10,0)*10,[1]Hugst!$R$4:$W$4,0))))</f>
        <v>5377.6163335082683</v>
      </c>
      <c r="R80">
        <f ca="1">IF($C80-R$1&lt;År1,0,Q79*(1-VLOOKUP($A80,[1]Hugst!$R$5:$W$9,MATCH(ROUNDUP((R$1)/10,0)*10,[1]Hugst!$R$4:$W$4,0))))</f>
        <v>5374.1885876701481</v>
      </c>
      <c r="S80">
        <f ca="1">IF($C80-S$1&lt;År1,0,R79*(1-VLOOKUP($A80,[1]Hugst!$R$5:$W$9,MATCH(ROUNDUP((S$1)/10,0)*10,[1]Hugst!$R$4:$W$4,0))))</f>
        <v>5370.7827464597867</v>
      </c>
      <c r="T80">
        <f ca="1">IF($C80-T$1&lt;År1,0,S79*(1-VLOOKUP($A80,[1]Hugst!$R$5:$W$9,MATCH(ROUNDUP((T$1)/10,0)*10,[1]Hugst!$R$4:$W$4,0))))</f>
        <v>5367.3988346960732</v>
      </c>
      <c r="U80">
        <f ca="1">IF($C80-U$1&lt;År1,0,T79*(1-VLOOKUP($A80,[1]Hugst!$R$5:$W$9,MATCH(ROUNDUP((U$1)/10,0)*10,[1]Hugst!$R$4:$W$4,0))))</f>
        <v>5364.0368773633436</v>
      </c>
      <c r="V80">
        <f ca="1">IF($C80-V$1&lt;År1,0,U79*(1-VLOOKUP($A80,[1]Hugst!$R$5:$W$9,MATCH(ROUNDUP((V$1)/10,0)*10,[1]Hugst!$R$4:$W$4,0))))</f>
        <v>5360.6968996120022</v>
      </c>
      <c r="W80">
        <f>IF($C80-W$1&lt;År1,0,V79*(1-VLOOKUP($A80,[1]Hugst!$R$5:$W$9,MATCH(ROUNDUP((W$1)/10,0)*10,[1]Hugst!$R$4:$W$4,0))))</f>
        <v>0</v>
      </c>
      <c r="X80">
        <f>IF($C80-X$1&lt;År1,0,W79*(1-VLOOKUP($A80,[1]Hugst!$R$5:$W$9,MATCH(ROUNDUP((X$1)/10,0)*10,[1]Hugst!$R$4:$W$4,0))))</f>
        <v>0</v>
      </c>
      <c r="Y80">
        <f>IF($C80-Y$1&lt;År1,0,X79*(1-VLOOKUP($A80,[1]Hugst!$R$5:$W$9,MATCH(ROUNDUP((Y$1)/10,0)*10,[1]Hugst!$R$4:$W$4,0))))</f>
        <v>0</v>
      </c>
      <c r="Z80">
        <f>IF($C80-Z$1&lt;År1,0,Y79*(1-VLOOKUP($A80,[1]Hugst!$R$5:$W$9,MATCH(ROUNDUP((Z$1)/10,0)*10,[1]Hugst!$R$4:$W$4,0))))</f>
        <v>0</v>
      </c>
      <c r="AA80">
        <f>IF($C80-AA$1&lt;År1,0,Z79*(1-VLOOKUP($A80,[1]Hugst!$R$5:$W$9,MATCH(ROUNDUP((AA$1)/10,0)*10,[1]Hugst!$R$4:$W$4,0))))</f>
        <v>0</v>
      </c>
      <c r="AB80">
        <f>IF($C80-AB$1&lt;År1,0,AA79*(1-VLOOKUP($A80,[1]Hugst!$R$5:$W$9,MATCH(ROUNDUP((AB$1)/10,0)*10,[1]Hugst!$R$4:$W$4,0))))</f>
        <v>0</v>
      </c>
      <c r="AC80">
        <f>IF($C80-AC$1&lt;År1,0,AB79*(1-VLOOKUP($A80,[1]Hugst!$R$5:$W$9,MATCH(ROUNDUP((AC$1)/10,0)*10,[1]Hugst!$R$4:$W$4,0))))</f>
        <v>0</v>
      </c>
      <c r="AD80">
        <f>IF($C80-AD$1&lt;År1,0,AC79*(1-VLOOKUP($A80,[1]Hugst!$R$5:$W$9,MATCH(ROUNDUP((AD$1)/10,0)*10,[1]Hugst!$R$4:$W$4,0))))</f>
        <v>0</v>
      </c>
      <c r="AE80">
        <f>IF($C80-AE$1&lt;År1,0,AD79*(1-VLOOKUP($A80,[1]Hugst!$R$5:$W$9,MATCH(ROUNDUP((AE$1)/10,0)*10,[1]Hugst!$R$4:$W$4,0))))</f>
        <v>0</v>
      </c>
      <c r="AF80">
        <f>IF($C80-AF$1&lt;År1,0,AE79*(1-VLOOKUP($A80,[1]Hugst!$R$5:$W$9,MATCH(ROUNDUP((AF$1)/10,0)*10,[1]Hugst!$R$4:$W$4,0))))</f>
        <v>0</v>
      </c>
      <c r="AG80">
        <f>IF($C80-AG$1&lt;År1,0,AF79*(1-VLOOKUP($A80,[1]Hugst!$R$5:$W$9,MATCH(ROUNDUP((AG$1)/10,0)*10,[1]Hugst!$R$4:$W$4,0))))</f>
        <v>0</v>
      </c>
      <c r="AH80">
        <f>IF($C80-AH$1&lt;År1,0,AG79*(1-VLOOKUP($A80,[1]Hugst!$R$5:$W$9,MATCH(ROUNDUP((AH$1)/10,0)*10,[1]Hugst!$R$4:$W$4,0))))</f>
        <v>0</v>
      </c>
      <c r="AI80">
        <f>IF($C80-AI$1&lt;År1,0,AH79*(1-VLOOKUP($A80,[1]Hugst!$R$5:$W$9,MATCH(ROUNDUP((AI$1)/10,0)*10,[1]Hugst!$R$4:$W$4,0))))</f>
        <v>0</v>
      </c>
      <c r="AJ80">
        <f>IF($C80-AJ$1&lt;År1,0,AI79*(1-VLOOKUP($A80,[1]Hugst!$R$5:$W$9,MATCH(ROUNDUP((AJ$1)/10,0)*10,[1]Hugst!$R$4:$W$4,0))))</f>
        <v>0</v>
      </c>
    </row>
    <row r="81" spans="1:38" x14ac:dyDescent="0.25">
      <c r="A81" t="s">
        <v>177</v>
      </c>
      <c r="B81" t="s">
        <v>23</v>
      </c>
      <c r="C81">
        <v>2037</v>
      </c>
      <c r="D81" cm="1">
        <f t="array" ref="D81">(IF(B81="Vestdanmark",Skovbrug!$C$22-(Skovbrug!$C$22)*(1-Skovbrug!$C$9)^(C81-Skovbrug!$B$12),Skovbrug!$F$22-(Skovbrug!$F$22)*(1-Skovbrug!$C$9)^(C81-Skovbrug!$B$12)))*VLOOKUP(A81,Skovbrug!$A$13:$D$17,IF('Skovbrug-alder'!C81&lt;=År2,3,4),FALSE)
-IF(C81&gt;2020,SUM(INDEX($C$1:$D$311,MATCH(1,(2020=$C$1:$C$311)*(B81=$B$1:$B$311)*(A81=$A$1:$A$311),0),2):D80),0)</f>
        <v>898.93555875713901</v>
      </c>
      <c r="E81">
        <f t="shared" ca="1" si="1"/>
        <v>65.563205612415913</v>
      </c>
      <c r="F81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3406.1654310362223</v>
      </c>
      <c r="G81">
        <f ca="1">IF($C81-G$1&lt;År1,0,F80*(1-VLOOKUP($A81,[1]Hugst!$R$5:$W$9,MATCH(ROUNDUP((G$1)/10,0)*10,[1]Hugst!$R$4:$W$4,0))))</f>
        <v>3402.5566099163184</v>
      </c>
      <c r="H81">
        <f ca="1">IF($C81-H$1&lt;År1,0,G80*(1-VLOOKUP($A81,[1]Hugst!$R$5:$W$9,MATCH(ROUNDUP((H$1)/10,0)*10,[1]Hugst!$R$4:$W$4,0))))</f>
        <v>3398.950817940387</v>
      </c>
      <c r="I81">
        <f ca="1">IF($C81-I$1&lt;År1,0,H80*(1-VLOOKUP($A81,[1]Hugst!$R$5:$W$9,MATCH(ROUNDUP((I$1)/10,0)*10,[1]Hugst!$R$4:$W$4,0))))</f>
        <v>3395.3481026634886</v>
      </c>
      <c r="J81">
        <f ca="1">IF($C81-J$1&lt;År1,0,I80*(1-VLOOKUP($A81,[1]Hugst!$R$5:$W$9,MATCH(ROUNDUP((J$1)/10,0)*10,[1]Hugst!$R$4:$W$4,0))))</f>
        <v>3391.74851192915</v>
      </c>
      <c r="K81">
        <f ca="1">IF($C81-K$1&lt;År1,0,J80*(1-VLOOKUP($A81,[1]Hugst!$R$5:$W$9,MATCH(ROUNDUP((K$1)/10,0)*10,[1]Hugst!$R$4:$W$4,0))))</f>
        <v>3388.1520938707358</v>
      </c>
      <c r="L81">
        <f ca="1">IF($C81-L$1&lt;År1,0,K80*(1-VLOOKUP($A81,[1]Hugst!$R$5:$W$9,MATCH(ROUNDUP((L$1)/10,0)*10,[1]Hugst!$R$4:$W$4,0))))</f>
        <v>3384.5588969129326</v>
      </c>
      <c r="M81">
        <f ca="1">IF($C81-M$1&lt;År1,0,L80*(1-VLOOKUP($A81,[1]Hugst!$R$5:$W$9,MATCH(ROUNDUP((M$1)/10,0)*10,[1]Hugst!$R$4:$W$4,0))))</f>
        <v>5378.6962425009442</v>
      </c>
      <c r="N81">
        <f ca="1">IF($C81-N$1&lt;År1,0,M80*(1-VLOOKUP($A81,[1]Hugst!$R$5:$W$9,MATCH(ROUNDUP((N$1)/10,0)*10,[1]Hugst!$R$4:$W$4,0))))</f>
        <v>5375.1096341922748</v>
      </c>
      <c r="O81">
        <f ca="1">IF($C81-O$1&lt;År1,0,N80*(1-VLOOKUP($A81,[1]Hugst!$R$5:$W$9,MATCH(ROUNDUP((O$1)/10,0)*10,[1]Hugst!$R$4:$W$4,0))))</f>
        <v>5379.8117231109036</v>
      </c>
      <c r="P81">
        <f ca="1">IF($C81-P$1&lt;År1,0,O80*(1-VLOOKUP($A81,[1]Hugst!$R$5:$W$9,MATCH(ROUNDUP((P$1)/10,0)*10,[1]Hugst!$R$4:$W$4,0))))</f>
        <v>5376.3237394364032</v>
      </c>
      <c r="Q81">
        <f ca="1">IF($C81-Q$1&lt;År1,0,P80*(1-VLOOKUP($A81,[1]Hugst!$R$5:$W$9,MATCH(ROUNDUP((Q$1)/10,0)*10,[1]Hugst!$R$4:$W$4,0))))</f>
        <v>5372.8575536196513</v>
      </c>
      <c r="R81">
        <f ca="1">IF($C81-R$1&lt;År1,0,Q80*(1-VLOOKUP($A81,[1]Hugst!$R$5:$W$9,MATCH(ROUNDUP((R$1)/10,0)*10,[1]Hugst!$R$4:$W$4,0))))</f>
        <v>5369.4131899486792</v>
      </c>
      <c r="S81">
        <f ca="1">IF($C81-S$1&lt;År1,0,R80*(1-VLOOKUP($A81,[1]Hugst!$R$5:$W$9,MATCH(ROUNDUP((S$1)/10,0)*10,[1]Hugst!$R$4:$W$4,0))))</f>
        <v>5365.9906728753967</v>
      </c>
      <c r="T81">
        <f ca="1">IF($C81-T$1&lt;År1,0,S80*(1-VLOOKUP($A81,[1]Hugst!$R$5:$W$9,MATCH(ROUNDUP((T$1)/10,0)*10,[1]Hugst!$R$4:$W$4,0))))</f>
        <v>5362.5900270160346</v>
      </c>
      <c r="U81">
        <f ca="1">IF($C81-U$1&lt;År1,0,T80*(1-VLOOKUP($A81,[1]Hugst!$R$5:$W$9,MATCH(ROUNDUP((U$1)/10,0)*10,[1]Hugst!$R$4:$W$4,0))))</f>
        <v>5359.2112771516213</v>
      </c>
      <c r="V81">
        <f ca="1">IF($C81-V$1&lt;År1,0,U80*(1-VLOOKUP($A81,[1]Hugst!$R$5:$W$9,MATCH(ROUNDUP((V$1)/10,0)*10,[1]Hugst!$R$4:$W$4,0))))</f>
        <v>5355.8544482283824</v>
      </c>
      <c r="W81">
        <f ca="1">IF($C81-W$1&lt;År1,0,V80*(1-VLOOKUP($A81,[1]Hugst!$R$5:$W$9,MATCH(ROUNDUP((W$1)/10,0)*10,[1]Hugst!$R$4:$W$4,0))))</f>
        <v>5352.5195653583569</v>
      </c>
      <c r="X81">
        <f>IF($C81-X$1&lt;År1,0,W80*(1-VLOOKUP($A81,[1]Hugst!$R$5:$W$9,MATCH(ROUNDUP((X$1)/10,0)*10,[1]Hugst!$R$4:$W$4,0))))</f>
        <v>0</v>
      </c>
      <c r="Y81">
        <f>IF($C81-Y$1&lt;År1,0,X80*(1-VLOOKUP($A81,[1]Hugst!$R$5:$W$9,MATCH(ROUNDUP((Y$1)/10,0)*10,[1]Hugst!$R$4:$W$4,0))))</f>
        <v>0</v>
      </c>
      <c r="Z81">
        <f>IF($C81-Z$1&lt;År1,0,Y80*(1-VLOOKUP($A81,[1]Hugst!$R$5:$W$9,MATCH(ROUNDUP((Z$1)/10,0)*10,[1]Hugst!$R$4:$W$4,0))))</f>
        <v>0</v>
      </c>
      <c r="AA81">
        <f>IF($C81-AA$1&lt;År1,0,Z80*(1-VLOOKUP($A81,[1]Hugst!$R$5:$W$9,MATCH(ROUNDUP((AA$1)/10,0)*10,[1]Hugst!$R$4:$W$4,0))))</f>
        <v>0</v>
      </c>
      <c r="AB81">
        <f>IF($C81-AB$1&lt;År1,0,AA80*(1-VLOOKUP($A81,[1]Hugst!$R$5:$W$9,MATCH(ROUNDUP((AB$1)/10,0)*10,[1]Hugst!$R$4:$W$4,0))))</f>
        <v>0</v>
      </c>
      <c r="AC81">
        <f>IF($C81-AC$1&lt;År1,0,AB80*(1-VLOOKUP($A81,[1]Hugst!$R$5:$W$9,MATCH(ROUNDUP((AC$1)/10,0)*10,[1]Hugst!$R$4:$W$4,0))))</f>
        <v>0</v>
      </c>
      <c r="AD81">
        <f>IF($C81-AD$1&lt;År1,0,AC80*(1-VLOOKUP($A81,[1]Hugst!$R$5:$W$9,MATCH(ROUNDUP((AD$1)/10,0)*10,[1]Hugst!$R$4:$W$4,0))))</f>
        <v>0</v>
      </c>
      <c r="AE81">
        <f>IF($C81-AE$1&lt;År1,0,AD80*(1-VLOOKUP($A81,[1]Hugst!$R$5:$W$9,MATCH(ROUNDUP((AE$1)/10,0)*10,[1]Hugst!$R$4:$W$4,0))))</f>
        <v>0</v>
      </c>
      <c r="AF81">
        <f>IF($C81-AF$1&lt;År1,0,AE80*(1-VLOOKUP($A81,[1]Hugst!$R$5:$W$9,MATCH(ROUNDUP((AF$1)/10,0)*10,[1]Hugst!$R$4:$W$4,0))))</f>
        <v>0</v>
      </c>
      <c r="AG81">
        <f>IF($C81-AG$1&lt;År1,0,AF80*(1-VLOOKUP($A81,[1]Hugst!$R$5:$W$9,MATCH(ROUNDUP((AG$1)/10,0)*10,[1]Hugst!$R$4:$W$4,0))))</f>
        <v>0</v>
      </c>
      <c r="AH81">
        <f>IF($C81-AH$1&lt;År1,0,AG80*(1-VLOOKUP($A81,[1]Hugst!$R$5:$W$9,MATCH(ROUNDUP((AH$1)/10,0)*10,[1]Hugst!$R$4:$W$4,0))))</f>
        <v>0</v>
      </c>
      <c r="AI81">
        <f>IF($C81-AI$1&lt;År1,0,AH80*(1-VLOOKUP($A81,[1]Hugst!$R$5:$W$9,MATCH(ROUNDUP((AI$1)/10,0)*10,[1]Hugst!$R$4:$W$4,0))))</f>
        <v>0</v>
      </c>
      <c r="AJ81">
        <f>IF($C81-AJ$1&lt;År1,0,AI80*(1-VLOOKUP($A81,[1]Hugst!$R$5:$W$9,MATCH(ROUNDUP((AJ$1)/10,0)*10,[1]Hugst!$R$4:$W$4,0))))</f>
        <v>0</v>
      </c>
    </row>
    <row r="82" spans="1:38" x14ac:dyDescent="0.25">
      <c r="A82" t="s">
        <v>177</v>
      </c>
      <c r="B82" t="s">
        <v>23</v>
      </c>
      <c r="C82">
        <v>2038</v>
      </c>
      <c r="D82" cm="1">
        <f t="array" ref="D82">(IF(B82="Vestdanmark",Skovbrug!$C$22-(Skovbrug!$C$22)*(1-Skovbrug!$C$9)^(C82-Skovbrug!$B$12),Skovbrug!$F$22-(Skovbrug!$F$22)*(1-Skovbrug!$C$9)^(C82-Skovbrug!$B$12)))*VLOOKUP(A82,Skovbrug!$A$13:$D$17,IF('Skovbrug-alder'!C82&lt;=År2,3,4),FALSE)
-IF(C82&gt;2020,SUM(INDEX($C$1:$D$311,MATCH(1,(2020=$C$1:$C$311)*(B82=$B$1:$B$311)*(A82=$A$1:$A$311),0),2):D81),0)</f>
        <v>894.44088096338237</v>
      </c>
      <c r="E82">
        <f t="shared" ca="1" si="1"/>
        <v>73.669686401815852</v>
      </c>
      <c r="F82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3409.7772340318656</v>
      </c>
      <c r="G82">
        <f ca="1">IF($C82-G$1&lt;År1,0,F81*(1-VLOOKUP($A82,[1]Hugst!$R$5:$W$9,MATCH(ROUNDUP((G$1)/10,0)*10,[1]Hugst!$R$4:$W$4,0))))</f>
        <v>3406.1654310362223</v>
      </c>
      <c r="H82">
        <f ca="1">IF($C82-H$1&lt;År1,0,G81*(1-VLOOKUP($A82,[1]Hugst!$R$5:$W$9,MATCH(ROUNDUP((H$1)/10,0)*10,[1]Hugst!$R$4:$W$4,0))))</f>
        <v>3402.5566099163184</v>
      </c>
      <c r="I82">
        <f ca="1">IF($C82-I$1&lt;År1,0,H81*(1-VLOOKUP($A82,[1]Hugst!$R$5:$W$9,MATCH(ROUNDUP((I$1)/10,0)*10,[1]Hugst!$R$4:$W$4,0))))</f>
        <v>3398.950817940387</v>
      </c>
      <c r="J82">
        <f ca="1">IF($C82-J$1&lt;År1,0,I81*(1-VLOOKUP($A82,[1]Hugst!$R$5:$W$9,MATCH(ROUNDUP((J$1)/10,0)*10,[1]Hugst!$R$4:$W$4,0))))</f>
        <v>3395.3481026634886</v>
      </c>
      <c r="K82">
        <f ca="1">IF($C82-K$1&lt;År1,0,J81*(1-VLOOKUP($A82,[1]Hugst!$R$5:$W$9,MATCH(ROUNDUP((K$1)/10,0)*10,[1]Hugst!$R$4:$W$4,0))))</f>
        <v>3391.74851192915</v>
      </c>
      <c r="L82">
        <f ca="1">IF($C82-L$1&lt;År1,0,K81*(1-VLOOKUP($A82,[1]Hugst!$R$5:$W$9,MATCH(ROUNDUP((L$1)/10,0)*10,[1]Hugst!$R$4:$W$4,0))))</f>
        <v>3388.1520938707358</v>
      </c>
      <c r="M82">
        <f ca="1">IF($C82-M$1&lt;År1,0,L81*(1-VLOOKUP($A82,[1]Hugst!$R$5:$W$9,MATCH(ROUNDUP((M$1)/10,0)*10,[1]Hugst!$R$4:$W$4,0))))</f>
        <v>3384.5588969129326</v>
      </c>
      <c r="N82">
        <f ca="1">IF($C82-N$1&lt;År1,0,M81*(1-VLOOKUP($A82,[1]Hugst!$R$5:$W$9,MATCH(ROUNDUP((N$1)/10,0)*10,[1]Hugst!$R$4:$W$4,0))))</f>
        <v>5378.6962425009442</v>
      </c>
      <c r="O82">
        <f ca="1">IF($C82-O$1&lt;År1,0,N81*(1-VLOOKUP($A82,[1]Hugst!$R$5:$W$9,MATCH(ROUNDUP((O$1)/10,0)*10,[1]Hugst!$R$4:$W$4,0))))</f>
        <v>5375.1096341922748</v>
      </c>
      <c r="P82">
        <f ca="1">IF($C82-P$1&lt;År1,0,O81*(1-VLOOKUP($A82,[1]Hugst!$R$5:$W$9,MATCH(ROUNDUP((P$1)/10,0)*10,[1]Hugst!$R$4:$W$4,0))))</f>
        <v>5371.6052306519205</v>
      </c>
      <c r="Q82">
        <f ca="1">IF($C82-Q$1&lt;År1,0,P81*(1-VLOOKUP($A82,[1]Hugst!$R$5:$W$9,MATCH(ROUNDUP((Q$1)/10,0)*10,[1]Hugst!$R$4:$W$4,0))))</f>
        <v>5368.122567630483</v>
      </c>
      <c r="R82">
        <f ca="1">IF($C82-R$1&lt;År1,0,Q81*(1-VLOOKUP($A82,[1]Hugst!$R$5:$W$9,MATCH(ROUNDUP((R$1)/10,0)*10,[1]Hugst!$R$4:$W$4,0))))</f>
        <v>5364.661669215825</v>
      </c>
      <c r="S82">
        <f ca="1">IF($C82-S$1&lt;År1,0,R81*(1-VLOOKUP($A82,[1]Hugst!$R$5:$W$9,MATCH(ROUNDUP((S$1)/10,0)*10,[1]Hugst!$R$4:$W$4,0))))</f>
        <v>5361.2225596589269</v>
      </c>
      <c r="T82">
        <f ca="1">IF($C82-T$1&lt;År1,0,S81*(1-VLOOKUP($A82,[1]Hugst!$R$5:$W$9,MATCH(ROUNDUP((T$1)/10,0)*10,[1]Hugst!$R$4:$W$4,0))))</f>
        <v>5357.8052633744001</v>
      </c>
      <c r="U82">
        <f ca="1">IF($C82-U$1&lt;År1,0,T81*(1-VLOOKUP($A82,[1]Hugst!$R$5:$W$9,MATCH(ROUNDUP((U$1)/10,0)*10,[1]Hugst!$R$4:$W$4,0))))</f>
        <v>5354.4098049409249</v>
      </c>
      <c r="V82">
        <f ca="1">IF($C82-V$1&lt;År1,0,U81*(1-VLOOKUP($A82,[1]Hugst!$R$5:$W$9,MATCH(ROUNDUP((V$1)/10,0)*10,[1]Hugst!$R$4:$W$4,0))))</f>
        <v>5351.0362091017287</v>
      </c>
      <c r="W82">
        <f ca="1">IF($C82-W$1&lt;År1,0,V81*(1-VLOOKUP($A82,[1]Hugst!$R$5:$W$9,MATCH(ROUNDUP((W$1)/10,0)*10,[1]Hugst!$R$4:$W$4,0))))</f>
        <v>5347.6845007649827</v>
      </c>
      <c r="X82">
        <f ca="1">IF($C82-X$1&lt;År1,0,W81*(1-VLOOKUP($A82,[1]Hugst!$R$5:$W$9,MATCH(ROUNDUP((X$1)/10,0)*10,[1]Hugst!$R$4:$W$4,0))))</f>
        <v>5344.3547050044199</v>
      </c>
      <c r="Y82">
        <f>IF($C82-Y$1&lt;År1,0,X81*(1-VLOOKUP($A82,[1]Hugst!$R$5:$W$9,MATCH(ROUNDUP((Y$1)/10,0)*10,[1]Hugst!$R$4:$W$4,0))))</f>
        <v>0</v>
      </c>
      <c r="Z82">
        <f>IF($C82-Z$1&lt;År1,0,Y81*(1-VLOOKUP($A82,[1]Hugst!$R$5:$W$9,MATCH(ROUNDUP((Z$1)/10,0)*10,[1]Hugst!$R$4:$W$4,0))))</f>
        <v>0</v>
      </c>
      <c r="AA82">
        <f>IF($C82-AA$1&lt;År1,0,Z81*(1-VLOOKUP($A82,[1]Hugst!$R$5:$W$9,MATCH(ROUNDUP((AA$1)/10,0)*10,[1]Hugst!$R$4:$W$4,0))))</f>
        <v>0</v>
      </c>
      <c r="AB82">
        <f>IF($C82-AB$1&lt;År1,0,AA81*(1-VLOOKUP($A82,[1]Hugst!$R$5:$W$9,MATCH(ROUNDUP((AB$1)/10,0)*10,[1]Hugst!$R$4:$W$4,0))))</f>
        <v>0</v>
      </c>
      <c r="AC82">
        <f>IF($C82-AC$1&lt;År1,0,AB81*(1-VLOOKUP($A82,[1]Hugst!$R$5:$W$9,MATCH(ROUNDUP((AC$1)/10,0)*10,[1]Hugst!$R$4:$W$4,0))))</f>
        <v>0</v>
      </c>
      <c r="AD82">
        <f>IF($C82-AD$1&lt;År1,0,AC81*(1-VLOOKUP($A82,[1]Hugst!$R$5:$W$9,MATCH(ROUNDUP((AD$1)/10,0)*10,[1]Hugst!$R$4:$W$4,0))))</f>
        <v>0</v>
      </c>
      <c r="AE82">
        <f>IF($C82-AE$1&lt;År1,0,AD81*(1-VLOOKUP($A82,[1]Hugst!$R$5:$W$9,MATCH(ROUNDUP((AE$1)/10,0)*10,[1]Hugst!$R$4:$W$4,0))))</f>
        <v>0</v>
      </c>
      <c r="AF82">
        <f>IF($C82-AF$1&lt;År1,0,AE81*(1-VLOOKUP($A82,[1]Hugst!$R$5:$W$9,MATCH(ROUNDUP((AF$1)/10,0)*10,[1]Hugst!$R$4:$W$4,0))))</f>
        <v>0</v>
      </c>
      <c r="AG82">
        <f>IF($C82-AG$1&lt;År1,0,AF81*(1-VLOOKUP($A82,[1]Hugst!$R$5:$W$9,MATCH(ROUNDUP((AG$1)/10,0)*10,[1]Hugst!$R$4:$W$4,0))))</f>
        <v>0</v>
      </c>
      <c r="AH82">
        <f>IF($C82-AH$1&lt;År1,0,AG81*(1-VLOOKUP($A82,[1]Hugst!$R$5:$W$9,MATCH(ROUNDUP((AH$1)/10,0)*10,[1]Hugst!$R$4:$W$4,0))))</f>
        <v>0</v>
      </c>
      <c r="AI82">
        <f>IF($C82-AI$1&lt;År1,0,AH81*(1-VLOOKUP($A82,[1]Hugst!$R$5:$W$9,MATCH(ROUNDUP((AI$1)/10,0)*10,[1]Hugst!$R$4:$W$4,0))))</f>
        <v>0</v>
      </c>
      <c r="AJ82">
        <f>IF($C82-AJ$1&lt;År1,0,AI81*(1-VLOOKUP($A82,[1]Hugst!$R$5:$W$9,MATCH(ROUNDUP((AJ$1)/10,0)*10,[1]Hugst!$R$4:$W$4,0))))</f>
        <v>0</v>
      </c>
    </row>
    <row r="83" spans="1:38" x14ac:dyDescent="0.25">
      <c r="A83" t="s">
        <v>177</v>
      </c>
      <c r="B83" t="s">
        <v>23</v>
      </c>
      <c r="C83">
        <v>2039</v>
      </c>
      <c r="D83" cm="1">
        <f t="array" ref="D83">(IF(B83="Vestdanmark",Skovbrug!$C$22-(Skovbrug!$C$22)*(1-Skovbrug!$C$9)^(C83-Skovbrug!$B$12),Skovbrug!$F$22-(Skovbrug!$F$22)*(1-Skovbrug!$C$9)^(C83-Skovbrug!$B$12)))*VLOOKUP(A83,Skovbrug!$A$13:$D$17,IF('Skovbrug-alder'!C83&lt;=År2,3,4),FALSE)
-IF(C83&gt;2020,SUM(INDEX($C$1:$D$311,MATCH(1,(2020=$C$1:$C$311)*(B83=$B$1:$B$311)*(A83=$A$1:$A$311),0),2):D82),0)</f>
        <v>889.96867655851383</v>
      </c>
      <c r="E83">
        <f t="shared" ca="1" si="1"/>
        <v>81.756628695075051</v>
      </c>
      <c r="F83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3413.3919719202563</v>
      </c>
      <c r="G83">
        <f ca="1">IF($C83-G$1&lt;År1,0,F82*(1-VLOOKUP($A83,[1]Hugst!$R$5:$W$9,MATCH(ROUNDUP((G$1)/10,0)*10,[1]Hugst!$R$4:$W$4,0))))</f>
        <v>3409.7772340318656</v>
      </c>
      <c r="H83">
        <f ca="1">IF($C83-H$1&lt;År1,0,G82*(1-VLOOKUP($A83,[1]Hugst!$R$5:$W$9,MATCH(ROUNDUP((H$1)/10,0)*10,[1]Hugst!$R$4:$W$4,0))))</f>
        <v>3406.1654310362223</v>
      </c>
      <c r="I83">
        <f ca="1">IF($C83-I$1&lt;År1,0,H82*(1-VLOOKUP($A83,[1]Hugst!$R$5:$W$9,MATCH(ROUNDUP((I$1)/10,0)*10,[1]Hugst!$R$4:$W$4,0))))</f>
        <v>3402.5566099163184</v>
      </c>
      <c r="J83">
        <f ca="1">IF($C83-J$1&lt;År1,0,I82*(1-VLOOKUP($A83,[1]Hugst!$R$5:$W$9,MATCH(ROUNDUP((J$1)/10,0)*10,[1]Hugst!$R$4:$W$4,0))))</f>
        <v>3398.950817940387</v>
      </c>
      <c r="K83">
        <f ca="1">IF($C83-K$1&lt;År1,0,J82*(1-VLOOKUP($A83,[1]Hugst!$R$5:$W$9,MATCH(ROUNDUP((K$1)/10,0)*10,[1]Hugst!$R$4:$W$4,0))))</f>
        <v>3395.3481026634886</v>
      </c>
      <c r="L83">
        <f ca="1">IF($C83-L$1&lt;År1,0,K82*(1-VLOOKUP($A83,[1]Hugst!$R$5:$W$9,MATCH(ROUNDUP((L$1)/10,0)*10,[1]Hugst!$R$4:$W$4,0))))</f>
        <v>3391.74851192915</v>
      </c>
      <c r="M83">
        <f ca="1">IF($C83-M$1&lt;År1,0,L82*(1-VLOOKUP($A83,[1]Hugst!$R$5:$W$9,MATCH(ROUNDUP((M$1)/10,0)*10,[1]Hugst!$R$4:$W$4,0))))</f>
        <v>3388.1520938707358</v>
      </c>
      <c r="N83">
        <f ca="1">IF($C83-N$1&lt;År1,0,M82*(1-VLOOKUP($A83,[1]Hugst!$R$5:$W$9,MATCH(ROUNDUP((N$1)/10,0)*10,[1]Hugst!$R$4:$W$4,0))))</f>
        <v>3384.5588969129326</v>
      </c>
      <c r="O83">
        <f ca="1">IF($C83-O$1&lt;År1,0,N82*(1-VLOOKUP($A83,[1]Hugst!$R$5:$W$9,MATCH(ROUNDUP((O$1)/10,0)*10,[1]Hugst!$R$4:$W$4,0))))</f>
        <v>5378.6962425009442</v>
      </c>
      <c r="P83">
        <f ca="1">IF($C83-P$1&lt;År1,0,O82*(1-VLOOKUP($A83,[1]Hugst!$R$5:$W$9,MATCH(ROUNDUP((P$1)/10,0)*10,[1]Hugst!$R$4:$W$4,0))))</f>
        <v>5366.9103144113033</v>
      </c>
      <c r="Q83">
        <f ca="1">IF($C83-Q$1&lt;År1,0,P82*(1-VLOOKUP($A83,[1]Hugst!$R$5:$W$9,MATCH(ROUNDUP((Q$1)/10,0)*10,[1]Hugst!$R$4:$W$4,0))))</f>
        <v>5363.4112565712649</v>
      </c>
      <c r="R83">
        <f ca="1">IF($C83-R$1&lt;År1,0,Q82*(1-VLOOKUP($A83,[1]Hugst!$R$5:$W$9,MATCH(ROUNDUP((R$1)/10,0)*10,[1]Hugst!$R$4:$W$4,0))))</f>
        <v>5359.9339060866396</v>
      </c>
      <c r="S83">
        <f ca="1">IF($C83-S$1&lt;År1,0,R82*(1-VLOOKUP($A83,[1]Hugst!$R$5:$W$9,MATCH(ROUNDUP((S$1)/10,0)*10,[1]Hugst!$R$4:$W$4,0))))</f>
        <v>5356.4782870085464</v>
      </c>
      <c r="T83">
        <f ca="1">IF($C83-T$1&lt;År1,0,S82*(1-VLOOKUP($A83,[1]Hugst!$R$5:$W$9,MATCH(ROUNDUP((T$1)/10,0)*10,[1]Hugst!$R$4:$W$4,0))))</f>
        <v>5353.0444235509722</v>
      </c>
      <c r="U83">
        <f ca="1">IF($C83-U$1&lt;År1,0,T82*(1-VLOOKUP($A83,[1]Hugst!$R$5:$W$9,MATCH(ROUNDUP((U$1)/10,0)*10,[1]Hugst!$R$4:$W$4,0))))</f>
        <v>5349.6323400912861</v>
      </c>
      <c r="V83">
        <f ca="1">IF($C83-V$1&lt;År1,0,U82*(1-VLOOKUP($A83,[1]Hugst!$R$5:$W$9,MATCH(ROUNDUP((V$1)/10,0)*10,[1]Hugst!$R$4:$W$4,0))))</f>
        <v>5346.2420611706757</v>
      </c>
      <c r="W83">
        <f ca="1">IF($C83-W$1&lt;År1,0,V82*(1-VLOOKUP($A83,[1]Hugst!$R$5:$W$9,MATCH(ROUNDUP((W$1)/10,0)*10,[1]Hugst!$R$4:$W$4,0))))</f>
        <v>5342.8736114946241</v>
      </c>
      <c r="X83">
        <f ca="1">IF($C83-X$1&lt;År1,0,W82*(1-VLOOKUP($A83,[1]Hugst!$R$5:$W$9,MATCH(ROUNDUP((X$1)/10,0)*10,[1]Hugst!$R$4:$W$4,0))))</f>
        <v>5339.5270159333068</v>
      </c>
      <c r="Y83">
        <f ca="1">IF($C83-Y$1&lt;År1,0,X82*(1-VLOOKUP($A83,[1]Hugst!$R$5:$W$9,MATCH(ROUNDUP((Y$1)/10,0)*10,[1]Hugst!$R$4:$W$4,0))))</f>
        <v>5336.2022995222096</v>
      </c>
      <c r="Z83">
        <f>IF($C83-Z$1&lt;År1,0,Y82*(1-VLOOKUP($A83,[1]Hugst!$R$5:$W$9,MATCH(ROUNDUP((Z$1)/10,0)*10,[1]Hugst!$R$4:$W$4,0))))</f>
        <v>0</v>
      </c>
      <c r="AA83">
        <f>IF($C83-AA$1&lt;År1,0,Z82*(1-VLOOKUP($A83,[1]Hugst!$R$5:$W$9,MATCH(ROUNDUP((AA$1)/10,0)*10,[1]Hugst!$R$4:$W$4,0))))</f>
        <v>0</v>
      </c>
      <c r="AB83">
        <f>IF($C83-AB$1&lt;År1,0,AA82*(1-VLOOKUP($A83,[1]Hugst!$R$5:$W$9,MATCH(ROUNDUP((AB$1)/10,0)*10,[1]Hugst!$R$4:$W$4,0))))</f>
        <v>0</v>
      </c>
      <c r="AC83">
        <f>IF($C83-AC$1&lt;År1,0,AB82*(1-VLOOKUP($A83,[1]Hugst!$R$5:$W$9,MATCH(ROUNDUP((AC$1)/10,0)*10,[1]Hugst!$R$4:$W$4,0))))</f>
        <v>0</v>
      </c>
      <c r="AD83">
        <f>IF($C83-AD$1&lt;År1,0,AC82*(1-VLOOKUP($A83,[1]Hugst!$R$5:$W$9,MATCH(ROUNDUP((AD$1)/10,0)*10,[1]Hugst!$R$4:$W$4,0))))</f>
        <v>0</v>
      </c>
      <c r="AE83">
        <f>IF($C83-AE$1&lt;År1,0,AD82*(1-VLOOKUP($A83,[1]Hugst!$R$5:$W$9,MATCH(ROUNDUP((AE$1)/10,0)*10,[1]Hugst!$R$4:$W$4,0))))</f>
        <v>0</v>
      </c>
      <c r="AF83">
        <f>IF($C83-AF$1&lt;År1,0,AE82*(1-VLOOKUP($A83,[1]Hugst!$R$5:$W$9,MATCH(ROUNDUP((AF$1)/10,0)*10,[1]Hugst!$R$4:$W$4,0))))</f>
        <v>0</v>
      </c>
      <c r="AG83">
        <f>IF($C83-AG$1&lt;År1,0,AF82*(1-VLOOKUP($A83,[1]Hugst!$R$5:$W$9,MATCH(ROUNDUP((AG$1)/10,0)*10,[1]Hugst!$R$4:$W$4,0))))</f>
        <v>0</v>
      </c>
      <c r="AH83">
        <f>IF($C83-AH$1&lt;År1,0,AG82*(1-VLOOKUP($A83,[1]Hugst!$R$5:$W$9,MATCH(ROUNDUP((AH$1)/10,0)*10,[1]Hugst!$R$4:$W$4,0))))</f>
        <v>0</v>
      </c>
      <c r="AI83">
        <f>IF($C83-AI$1&lt;År1,0,AH82*(1-VLOOKUP($A83,[1]Hugst!$R$5:$W$9,MATCH(ROUNDUP((AI$1)/10,0)*10,[1]Hugst!$R$4:$W$4,0))))</f>
        <v>0</v>
      </c>
      <c r="AJ83">
        <f>IF($C83-AJ$1&lt;År1,0,AI82*(1-VLOOKUP($A83,[1]Hugst!$R$5:$W$9,MATCH(ROUNDUP((AJ$1)/10,0)*10,[1]Hugst!$R$4:$W$4,0))))</f>
        <v>0</v>
      </c>
    </row>
    <row r="84" spans="1:38" x14ac:dyDescent="0.25">
      <c r="A84" t="s">
        <v>177</v>
      </c>
      <c r="B84" t="s">
        <v>23</v>
      </c>
      <c r="C84">
        <v>2040</v>
      </c>
      <c r="D84" cm="1">
        <f t="array" ref="D84">(IF(B84="Vestdanmark",Skovbrug!$C$22-(Skovbrug!$C$22)*(1-Skovbrug!$C$9)^(C84-Skovbrug!$B$12),Skovbrug!$F$22-(Skovbrug!$F$22)*(1-Skovbrug!$C$9)^(C84-Skovbrug!$B$12)))*VLOOKUP(A84,Skovbrug!$A$13:$D$17,IF('Skovbrug-alder'!C84&lt;=År2,3,4),FALSE)
-IF(C84&gt;2020,SUM(INDEX($C$1:$D$311,MATCH(1,(2020=$C$1:$C$311)*(B84=$B$1:$B$311)*(A84=$A$1:$A$311),0),2):D83),0)</f>
        <v>885.51883317574539</v>
      </c>
      <c r="E84">
        <f t="shared" ca="1" si="1"/>
        <v>90.96725740666443</v>
      </c>
      <c r="F84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3418.1527572490772</v>
      </c>
      <c r="G84">
        <f ca="1">IF($C84-G$1&lt;År1,0,F83*(1-VLOOKUP($A84,[1]Hugst!$R$5:$W$9,MATCH(ROUNDUP((G$1)/10,0)*10,[1]Hugst!$R$4:$W$4,0))))</f>
        <v>3413.3919719202563</v>
      </c>
      <c r="H84">
        <f ca="1">IF($C84-H$1&lt;År1,0,G83*(1-VLOOKUP($A84,[1]Hugst!$R$5:$W$9,MATCH(ROUNDUP((H$1)/10,0)*10,[1]Hugst!$R$4:$W$4,0))))</f>
        <v>3409.7772340318656</v>
      </c>
      <c r="I84">
        <f ca="1">IF($C84-I$1&lt;År1,0,H83*(1-VLOOKUP($A84,[1]Hugst!$R$5:$W$9,MATCH(ROUNDUP((I$1)/10,0)*10,[1]Hugst!$R$4:$W$4,0))))</f>
        <v>3406.1654310362223</v>
      </c>
      <c r="J84">
        <f ca="1">IF($C84-J$1&lt;År1,0,I83*(1-VLOOKUP($A84,[1]Hugst!$R$5:$W$9,MATCH(ROUNDUP((J$1)/10,0)*10,[1]Hugst!$R$4:$W$4,0))))</f>
        <v>3402.5566099163184</v>
      </c>
      <c r="K84">
        <f ca="1">IF($C84-K$1&lt;År1,0,J83*(1-VLOOKUP($A84,[1]Hugst!$R$5:$W$9,MATCH(ROUNDUP((K$1)/10,0)*10,[1]Hugst!$R$4:$W$4,0))))</f>
        <v>3398.950817940387</v>
      </c>
      <c r="L84">
        <f ca="1">IF($C84-L$1&lt;År1,0,K83*(1-VLOOKUP($A84,[1]Hugst!$R$5:$W$9,MATCH(ROUNDUP((L$1)/10,0)*10,[1]Hugst!$R$4:$W$4,0))))</f>
        <v>3395.3481026634886</v>
      </c>
      <c r="M84">
        <f ca="1">IF($C84-M$1&lt;År1,0,L83*(1-VLOOKUP($A84,[1]Hugst!$R$5:$W$9,MATCH(ROUNDUP((M$1)/10,0)*10,[1]Hugst!$R$4:$W$4,0))))</f>
        <v>3391.74851192915</v>
      </c>
      <c r="N84">
        <f ca="1">IF($C84-N$1&lt;År1,0,M83*(1-VLOOKUP($A84,[1]Hugst!$R$5:$W$9,MATCH(ROUNDUP((N$1)/10,0)*10,[1]Hugst!$R$4:$W$4,0))))</f>
        <v>3388.1520938707358</v>
      </c>
      <c r="O84">
        <f ca="1">IF($C84-O$1&lt;År1,0,N83*(1-VLOOKUP($A84,[1]Hugst!$R$5:$W$9,MATCH(ROUNDUP((O$1)/10,0)*10,[1]Hugst!$R$4:$W$4,0))))</f>
        <v>3384.5588969129326</v>
      </c>
      <c r="P84">
        <f ca="1">IF($C84-P$1&lt;År1,0,O83*(1-VLOOKUP($A84,[1]Hugst!$R$5:$W$9,MATCH(ROUNDUP((P$1)/10,0)*10,[1]Hugst!$R$4:$W$4,0))))</f>
        <v>5370.4914516225526</v>
      </c>
      <c r="Q84">
        <f ca="1">IF($C84-Q$1&lt;År1,0,P83*(1-VLOOKUP($A84,[1]Hugst!$R$5:$W$9,MATCH(ROUNDUP((Q$1)/10,0)*10,[1]Hugst!$R$4:$W$4,0))))</f>
        <v>5358.7235020672861</v>
      </c>
      <c r="R84">
        <f ca="1">IF($C84-R$1&lt;År1,0,Q83*(1-VLOOKUP($A84,[1]Hugst!$R$5:$W$9,MATCH(ROUNDUP((R$1)/10,0)*10,[1]Hugst!$R$4:$W$4,0))))</f>
        <v>5355.2297817731051</v>
      </c>
      <c r="S84">
        <f ca="1">IF($C84-S$1&lt;År1,0,R83*(1-VLOOKUP($A84,[1]Hugst!$R$5:$W$9,MATCH(ROUNDUP((S$1)/10,0)*10,[1]Hugst!$R$4:$W$4,0))))</f>
        <v>5351.7577357214223</v>
      </c>
      <c r="T84">
        <f ca="1">IF($C84-T$1&lt;År1,0,S83*(1-VLOOKUP($A84,[1]Hugst!$R$5:$W$9,MATCH(ROUNDUP((T$1)/10,0)*10,[1]Hugst!$R$4:$W$4,0))))</f>
        <v>5348.3073879266685</v>
      </c>
      <c r="U84">
        <f ca="1">IF($C84-U$1&lt;År1,0,T83*(1-VLOOKUP($A84,[1]Hugst!$R$5:$W$9,MATCH(ROUNDUP((U$1)/10,0)*10,[1]Hugst!$R$4:$W$4,0))))</f>
        <v>5344.8787625658942</v>
      </c>
      <c r="V84">
        <f ca="1">IF($C84-V$1&lt;År1,0,U83*(1-VLOOKUP($A84,[1]Hugst!$R$5:$W$9,MATCH(ROUNDUP((V$1)/10,0)*10,[1]Hugst!$R$4:$W$4,0))))</f>
        <v>5341.4718839792822</v>
      </c>
      <c r="W84">
        <f ca="1">IF($C84-W$1&lt;År1,0,V83*(1-VLOOKUP($A84,[1]Hugst!$R$5:$W$9,MATCH(ROUNDUP((W$1)/10,0)*10,[1]Hugst!$R$4:$W$4,0))))</f>
        <v>5338.0867766705851</v>
      </c>
      <c r="X84">
        <f ca="1">IF($C84-X$1&lt;År1,0,W83*(1-VLOOKUP($A84,[1]Hugst!$R$5:$W$9,MATCH(ROUNDUP((X$1)/10,0)*10,[1]Hugst!$R$4:$W$4,0))))</f>
        <v>5334.7234653075984</v>
      </c>
      <c r="Y84">
        <f ca="1">IF($C84-Y$1&lt;År1,0,X83*(1-VLOOKUP($A84,[1]Hugst!$R$5:$W$9,MATCH(ROUNDUP((Y$1)/10,0)*10,[1]Hugst!$R$4:$W$4,0))))</f>
        <v>5331.3819747225607</v>
      </c>
      <c r="Z84">
        <f ca="1">IF($C84-Z$1&lt;År1,0,Y83*(1-VLOOKUP($A84,[1]Hugst!$R$5:$W$9,MATCH(ROUNDUP((Z$1)/10,0)*10,[1]Hugst!$R$4:$W$4,0))))</f>
        <v>5326.9317785781241</v>
      </c>
      <c r="AA84">
        <f>IF($C84-AA$1&lt;År1,0,Z83*(1-VLOOKUP($A84,[1]Hugst!$R$5:$W$9,MATCH(ROUNDUP((AA$1)/10,0)*10,[1]Hugst!$R$4:$W$4,0))))</f>
        <v>0</v>
      </c>
      <c r="AB84">
        <f>IF($C84-AB$1&lt;År1,0,AA83*(1-VLOOKUP($A84,[1]Hugst!$R$5:$W$9,MATCH(ROUNDUP((AB$1)/10,0)*10,[1]Hugst!$R$4:$W$4,0))))</f>
        <v>0</v>
      </c>
      <c r="AC84">
        <f>IF($C84-AC$1&lt;År1,0,AB83*(1-VLOOKUP($A84,[1]Hugst!$R$5:$W$9,MATCH(ROUNDUP((AC$1)/10,0)*10,[1]Hugst!$R$4:$W$4,0))))</f>
        <v>0</v>
      </c>
      <c r="AD84">
        <f>IF($C84-AD$1&lt;År1,0,AC83*(1-VLOOKUP($A84,[1]Hugst!$R$5:$W$9,MATCH(ROUNDUP((AD$1)/10,0)*10,[1]Hugst!$R$4:$W$4,0))))</f>
        <v>0</v>
      </c>
      <c r="AE84">
        <f>IF($C84-AE$1&lt;År1,0,AD83*(1-VLOOKUP($A84,[1]Hugst!$R$5:$W$9,MATCH(ROUNDUP((AE$1)/10,0)*10,[1]Hugst!$R$4:$W$4,0))))</f>
        <v>0</v>
      </c>
      <c r="AF84">
        <f>IF($C84-AF$1&lt;År1,0,AE83*(1-VLOOKUP($A84,[1]Hugst!$R$5:$W$9,MATCH(ROUNDUP((AF$1)/10,0)*10,[1]Hugst!$R$4:$W$4,0))))</f>
        <v>0</v>
      </c>
      <c r="AG84">
        <f>IF($C84-AG$1&lt;År1,0,AF83*(1-VLOOKUP($A84,[1]Hugst!$R$5:$W$9,MATCH(ROUNDUP((AG$1)/10,0)*10,[1]Hugst!$R$4:$W$4,0))))</f>
        <v>0</v>
      </c>
      <c r="AH84">
        <f>IF($C84-AH$1&lt;År1,0,AG83*(1-VLOOKUP($A84,[1]Hugst!$R$5:$W$9,MATCH(ROUNDUP((AH$1)/10,0)*10,[1]Hugst!$R$4:$W$4,0))))</f>
        <v>0</v>
      </c>
      <c r="AI84">
        <f>IF($C84-AI$1&lt;År1,0,AH83*(1-VLOOKUP($A84,[1]Hugst!$R$5:$W$9,MATCH(ROUNDUP((AI$1)/10,0)*10,[1]Hugst!$R$4:$W$4,0))))</f>
        <v>0</v>
      </c>
      <c r="AJ84">
        <f>IF($C84-AJ$1&lt;År1,0,AI83*(1-VLOOKUP($A84,[1]Hugst!$R$5:$W$9,MATCH(ROUNDUP((AJ$1)/10,0)*10,[1]Hugst!$R$4:$W$4,0))))</f>
        <v>0</v>
      </c>
    </row>
    <row r="85" spans="1:38" x14ac:dyDescent="0.25">
      <c r="A85" t="s">
        <v>177</v>
      </c>
      <c r="B85" t="s">
        <v>23</v>
      </c>
      <c r="C85">
        <v>2041</v>
      </c>
      <c r="D85" cm="1">
        <f t="array" ref="D85">(IF(B85="Vestdanmark",Skovbrug!$C$22-(Skovbrug!$C$22)*(1-Skovbrug!$C$9)^(C85-Skovbrug!$B$12),Skovbrug!$F$22-(Skovbrug!$F$22)*(1-Skovbrug!$C$9)^(C85-Skovbrug!$B$12)))*VLOOKUP(A85,Skovbrug!$A$13:$D$17,IF('Skovbrug-alder'!C85&lt;=År2,3,4),FALSE)
-IF(C85&gt;2020,SUM(INDEX($C$1:$D$311,MATCH(1,(2020=$C$1:$C$311)*(B85=$B$1:$B$311)*(A85=$A$1:$A$311),0),2):D84),0)</f>
        <v>881.09123900988197</v>
      </c>
      <c r="E85">
        <f t="shared" ca="1" si="1"/>
        <v>97.118946232571034</v>
      </c>
      <c r="F85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3419.8768519091204</v>
      </c>
      <c r="G85">
        <f ca="1">IF($C85-G$1&lt;År1,0,F84*(1-VLOOKUP($A85,[1]Hugst!$R$5:$W$9,MATCH(ROUNDUP((G$1)/10,0)*10,[1]Hugst!$R$4:$W$4,0))))</f>
        <v>3418.1527572490772</v>
      </c>
      <c r="H85">
        <f ca="1">IF($C85-H$1&lt;År1,0,G84*(1-VLOOKUP($A85,[1]Hugst!$R$5:$W$9,MATCH(ROUNDUP((H$1)/10,0)*10,[1]Hugst!$R$4:$W$4,0))))</f>
        <v>3413.3919719202563</v>
      </c>
      <c r="I85">
        <f ca="1">IF($C85-I$1&lt;År1,0,H84*(1-VLOOKUP($A85,[1]Hugst!$R$5:$W$9,MATCH(ROUNDUP((I$1)/10,0)*10,[1]Hugst!$R$4:$W$4,0))))</f>
        <v>3409.7772340318656</v>
      </c>
      <c r="J85">
        <f ca="1">IF($C85-J$1&lt;År1,0,I84*(1-VLOOKUP($A85,[1]Hugst!$R$5:$W$9,MATCH(ROUNDUP((J$1)/10,0)*10,[1]Hugst!$R$4:$W$4,0))))</f>
        <v>3406.1654310362223</v>
      </c>
      <c r="K85">
        <f ca="1">IF($C85-K$1&lt;År1,0,J84*(1-VLOOKUP($A85,[1]Hugst!$R$5:$W$9,MATCH(ROUNDUP((K$1)/10,0)*10,[1]Hugst!$R$4:$W$4,0))))</f>
        <v>3402.5566099163184</v>
      </c>
      <c r="L85">
        <f ca="1">IF($C85-L$1&lt;År1,0,K84*(1-VLOOKUP($A85,[1]Hugst!$R$5:$W$9,MATCH(ROUNDUP((L$1)/10,0)*10,[1]Hugst!$R$4:$W$4,0))))</f>
        <v>3398.950817940387</v>
      </c>
      <c r="M85">
        <f ca="1">IF($C85-M$1&lt;År1,0,L84*(1-VLOOKUP($A85,[1]Hugst!$R$5:$W$9,MATCH(ROUNDUP((M$1)/10,0)*10,[1]Hugst!$R$4:$W$4,0))))</f>
        <v>3395.3481026634886</v>
      </c>
      <c r="N85">
        <f ca="1">IF($C85-N$1&lt;År1,0,M84*(1-VLOOKUP($A85,[1]Hugst!$R$5:$W$9,MATCH(ROUNDUP((N$1)/10,0)*10,[1]Hugst!$R$4:$W$4,0))))</f>
        <v>3391.74851192915</v>
      </c>
      <c r="O85">
        <f ca="1">IF($C85-O$1&lt;År1,0,N84*(1-VLOOKUP($A85,[1]Hugst!$R$5:$W$9,MATCH(ROUNDUP((O$1)/10,0)*10,[1]Hugst!$R$4:$W$4,0))))</f>
        <v>3388.1520938707358</v>
      </c>
      <c r="P85">
        <f ca="1">IF($C85-P$1&lt;År1,0,O84*(1-VLOOKUP($A85,[1]Hugst!$R$5:$W$9,MATCH(ROUNDUP((P$1)/10,0)*10,[1]Hugst!$R$4:$W$4,0))))</f>
        <v>3379.3960104600146</v>
      </c>
      <c r="Q85">
        <f ca="1">IF($C85-Q$1&lt;År1,0,P84*(1-VLOOKUP($A85,[1]Hugst!$R$5:$W$9,MATCH(ROUNDUP((Q$1)/10,0)*10,[1]Hugst!$R$4:$W$4,0))))</f>
        <v>5362.2991765268571</v>
      </c>
      <c r="R85">
        <f ca="1">IF($C85-R$1&lt;År1,0,Q84*(1-VLOOKUP($A85,[1]Hugst!$R$5:$W$9,MATCH(ROUNDUP((R$1)/10,0)*10,[1]Hugst!$R$4:$W$4,0))))</f>
        <v>5350.5491780810817</v>
      </c>
      <c r="S85">
        <f ca="1">IF($C85-S$1&lt;År1,0,R84*(1-VLOOKUP($A85,[1]Hugst!$R$5:$W$9,MATCH(ROUNDUP((S$1)/10,0)*10,[1]Hugst!$R$4:$W$4,0))))</f>
        <v>5347.0607871907396</v>
      </c>
      <c r="T85">
        <f ca="1">IF($C85-T$1&lt;År1,0,S84*(1-VLOOKUP($A85,[1]Hugst!$R$5:$W$9,MATCH(ROUNDUP((T$1)/10,0)*10,[1]Hugst!$R$4:$W$4,0))))</f>
        <v>5343.5940374804914</v>
      </c>
      <c r="U85">
        <f ca="1">IF($C85-U$1&lt;År1,0,T84*(1-VLOOKUP($A85,[1]Hugst!$R$5:$W$9,MATCH(ROUNDUP((U$1)/10,0)*10,[1]Hugst!$R$4:$W$4,0))))</f>
        <v>5340.1489529281362</v>
      </c>
      <c r="V85">
        <f ca="1">IF($C85-V$1&lt;År1,0,U84*(1-VLOOKUP($A85,[1]Hugst!$R$5:$W$9,MATCH(ROUNDUP((V$1)/10,0)*10,[1]Hugst!$R$4:$W$4,0))))</f>
        <v>5336.7255576738444</v>
      </c>
      <c r="W85">
        <f ca="1">IF($C85-W$1&lt;År1,0,V84*(1-VLOOKUP($A85,[1]Hugst!$R$5:$W$9,MATCH(ROUNDUP((W$1)/10,0)*10,[1]Hugst!$R$4:$W$4,0))))</f>
        <v>5333.3238760206696</v>
      </c>
      <c r="X85">
        <f ca="1">IF($C85-X$1&lt;År1,0,W84*(1-VLOOKUP($A85,[1]Hugst!$R$5:$W$9,MATCH(ROUNDUP((X$1)/10,0)*10,[1]Hugst!$R$4:$W$4,0))))</f>
        <v>5329.943932434986</v>
      </c>
      <c r="Y85">
        <f ca="1">IF($C85-Y$1&lt;År1,0,X84*(1-VLOOKUP($A85,[1]Hugst!$R$5:$W$9,MATCH(ROUNDUP((Y$1)/10,0)*10,[1]Hugst!$R$4:$W$4,0))))</f>
        <v>5326.5857515469597</v>
      </c>
      <c r="Z85">
        <f ca="1">IF($C85-Z$1&lt;År1,0,Y84*(1-VLOOKUP($A85,[1]Hugst!$R$5:$W$9,MATCH(ROUNDUP((Z$1)/10,0)*10,[1]Hugst!$R$4:$W$4,0))))</f>
        <v>5322.1198280715598</v>
      </c>
      <c r="AA85">
        <f ca="1">IF($C85-AA$1&lt;År1,0,Z84*(1-VLOOKUP($A85,[1]Hugst!$R$5:$W$9,MATCH(ROUNDUP((AA$1)/10,0)*10,[1]Hugst!$R$4:$W$4,0))))</f>
        <v>5317.6773632000859</v>
      </c>
      <c r="AB85">
        <f>IF($C85-AB$1&lt;År1,0,AA84*(1-VLOOKUP($A85,[1]Hugst!$R$5:$W$9,MATCH(ROUNDUP((AB$1)/10,0)*10,[1]Hugst!$R$4:$W$4,0))))</f>
        <v>0</v>
      </c>
      <c r="AC85">
        <f>IF($C85-AC$1&lt;År1,0,AB84*(1-VLOOKUP($A85,[1]Hugst!$R$5:$W$9,MATCH(ROUNDUP((AC$1)/10,0)*10,[1]Hugst!$R$4:$W$4,0))))</f>
        <v>0</v>
      </c>
      <c r="AD85">
        <f>IF($C85-AD$1&lt;År1,0,AC84*(1-VLOOKUP($A85,[1]Hugst!$R$5:$W$9,MATCH(ROUNDUP((AD$1)/10,0)*10,[1]Hugst!$R$4:$W$4,0))))</f>
        <v>0</v>
      </c>
      <c r="AE85">
        <f>IF($C85-AE$1&lt;År1,0,AD84*(1-VLOOKUP($A85,[1]Hugst!$R$5:$W$9,MATCH(ROUNDUP((AE$1)/10,0)*10,[1]Hugst!$R$4:$W$4,0))))</f>
        <v>0</v>
      </c>
      <c r="AF85">
        <f>IF($C85-AF$1&lt;År1,0,AE84*(1-VLOOKUP($A85,[1]Hugst!$R$5:$W$9,MATCH(ROUNDUP((AF$1)/10,0)*10,[1]Hugst!$R$4:$W$4,0))))</f>
        <v>0</v>
      </c>
      <c r="AG85">
        <f>IF($C85-AG$1&lt;År1,0,AF84*(1-VLOOKUP($A85,[1]Hugst!$R$5:$W$9,MATCH(ROUNDUP((AG$1)/10,0)*10,[1]Hugst!$R$4:$W$4,0))))</f>
        <v>0</v>
      </c>
      <c r="AH85">
        <f>IF($C85-AH$1&lt;År1,0,AG84*(1-VLOOKUP($A85,[1]Hugst!$R$5:$W$9,MATCH(ROUNDUP((AH$1)/10,0)*10,[1]Hugst!$R$4:$W$4,0))))</f>
        <v>0</v>
      </c>
      <c r="AI85">
        <f>IF($C85-AI$1&lt;År1,0,AH84*(1-VLOOKUP($A85,[1]Hugst!$R$5:$W$9,MATCH(ROUNDUP((AI$1)/10,0)*10,[1]Hugst!$R$4:$W$4,0))))</f>
        <v>0</v>
      </c>
      <c r="AJ85">
        <f>IF($C85-AJ$1&lt;År1,0,AI84*(1-VLOOKUP($A85,[1]Hugst!$R$5:$W$9,MATCH(ROUNDUP((AJ$1)/10,0)*10,[1]Hugst!$R$4:$W$4,0))))</f>
        <v>0</v>
      </c>
    </row>
    <row r="86" spans="1:38" x14ac:dyDescent="0.25">
      <c r="A86" t="s">
        <v>177</v>
      </c>
      <c r="B86" t="s">
        <v>23</v>
      </c>
      <c r="C86">
        <v>2042</v>
      </c>
      <c r="D86" cm="1">
        <f t="array" ref="D86">(IF(B86="Vestdanmark",Skovbrug!$C$22-(Skovbrug!$C$22)*(1-Skovbrug!$C$9)^(C86-Skovbrug!$B$12),Skovbrug!$F$22-(Skovbrug!$F$22)*(1-Skovbrug!$C$9)^(C86-Skovbrug!$B$12)))*VLOOKUP(A86,Skovbrug!$A$13:$D$17,IF('Skovbrug-alder'!C86&lt;=År2,3,4),FALSE)
-IF(C86&gt;2020,SUM(INDEX($C$1:$D$311,MATCH(1,(2020=$C$1:$C$311)*(B86=$B$1:$B$311)*(A86=$A$1:$A$311),0),2):D85),0)</f>
        <v>876.68578281481678</v>
      </c>
      <c r="E86">
        <f t="shared" ca="1" si="1"/>
        <v>103.26375721830118</v>
      </c>
      <c r="F86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3421.6162066997854</v>
      </c>
      <c r="G86">
        <f ca="1">IF($C86-G$1&lt;År1,0,F85*(1-VLOOKUP($A86,[1]Hugst!$R$5:$W$9,MATCH(ROUNDUP((G$1)/10,0)*10,[1]Hugst!$R$4:$W$4,0))))</f>
        <v>3419.8768519091204</v>
      </c>
      <c r="H86">
        <f ca="1">IF($C86-H$1&lt;År1,0,G85*(1-VLOOKUP($A86,[1]Hugst!$R$5:$W$9,MATCH(ROUNDUP((H$1)/10,0)*10,[1]Hugst!$R$4:$W$4,0))))</f>
        <v>3418.1527572490772</v>
      </c>
      <c r="I86">
        <f ca="1">IF($C86-I$1&lt;År1,0,H85*(1-VLOOKUP($A86,[1]Hugst!$R$5:$W$9,MATCH(ROUNDUP((I$1)/10,0)*10,[1]Hugst!$R$4:$W$4,0))))</f>
        <v>3413.3919719202563</v>
      </c>
      <c r="J86">
        <f ca="1">IF($C86-J$1&lt;År1,0,I85*(1-VLOOKUP($A86,[1]Hugst!$R$5:$W$9,MATCH(ROUNDUP((J$1)/10,0)*10,[1]Hugst!$R$4:$W$4,0))))</f>
        <v>3409.7772340318656</v>
      </c>
      <c r="K86">
        <f ca="1">IF($C86-K$1&lt;År1,0,J85*(1-VLOOKUP($A86,[1]Hugst!$R$5:$W$9,MATCH(ROUNDUP((K$1)/10,0)*10,[1]Hugst!$R$4:$W$4,0))))</f>
        <v>3406.1654310362223</v>
      </c>
      <c r="L86">
        <f ca="1">IF($C86-L$1&lt;År1,0,K85*(1-VLOOKUP($A86,[1]Hugst!$R$5:$W$9,MATCH(ROUNDUP((L$1)/10,0)*10,[1]Hugst!$R$4:$W$4,0))))</f>
        <v>3402.5566099163184</v>
      </c>
      <c r="M86">
        <f ca="1">IF($C86-M$1&lt;År1,0,L85*(1-VLOOKUP($A86,[1]Hugst!$R$5:$W$9,MATCH(ROUNDUP((M$1)/10,0)*10,[1]Hugst!$R$4:$W$4,0))))</f>
        <v>3398.950817940387</v>
      </c>
      <c r="N86">
        <f ca="1">IF($C86-N$1&lt;År1,0,M85*(1-VLOOKUP($A86,[1]Hugst!$R$5:$W$9,MATCH(ROUNDUP((N$1)/10,0)*10,[1]Hugst!$R$4:$W$4,0))))</f>
        <v>3395.3481026634886</v>
      </c>
      <c r="O86">
        <f ca="1">IF($C86-O$1&lt;År1,0,N85*(1-VLOOKUP($A86,[1]Hugst!$R$5:$W$9,MATCH(ROUNDUP((O$1)/10,0)*10,[1]Hugst!$R$4:$W$4,0))))</f>
        <v>3391.74851192915</v>
      </c>
      <c r="P86">
        <f ca="1">IF($C86-P$1&lt;År1,0,O85*(1-VLOOKUP($A86,[1]Hugst!$R$5:$W$9,MATCH(ROUNDUP((P$1)/10,0)*10,[1]Hugst!$R$4:$W$4,0))))</f>
        <v>3382.9837262699161</v>
      </c>
      <c r="Q86">
        <f ca="1">IF($C86-Q$1&lt;År1,0,P85*(1-VLOOKUP($A86,[1]Hugst!$R$5:$W$9,MATCH(ROUNDUP((Q$1)/10,0)*10,[1]Hugst!$R$4:$W$4,0))))</f>
        <v>3374.2409995966009</v>
      </c>
      <c r="R86">
        <f ca="1">IF($C86-R$1&lt;År1,0,Q85*(1-VLOOKUP($A86,[1]Hugst!$R$5:$W$9,MATCH(ROUNDUP((R$1)/10,0)*10,[1]Hugst!$R$4:$W$4,0))))</f>
        <v>5354.1193981219858</v>
      </c>
      <c r="S86">
        <f ca="1">IF($C86-S$1&lt;År1,0,R85*(1-VLOOKUP($A86,[1]Hugst!$R$5:$W$9,MATCH(ROUNDUP((S$1)/10,0)*10,[1]Hugst!$R$4:$W$4,0))))</f>
        <v>5342.3873234026523</v>
      </c>
      <c r="T86">
        <f ca="1">IF($C86-T$1&lt;År1,0,S85*(1-VLOOKUP($A86,[1]Hugst!$R$5:$W$9,MATCH(ROUNDUP((T$1)/10,0)*10,[1]Hugst!$R$4:$W$4,0))))</f>
        <v>5338.9042537865498</v>
      </c>
      <c r="U86">
        <f ca="1">IF($C86-U$1&lt;År1,0,T85*(1-VLOOKUP($A86,[1]Hugst!$R$5:$W$9,MATCH(ROUNDUP((U$1)/10,0)*10,[1]Hugst!$R$4:$W$4,0))))</f>
        <v>5335.442792338572</v>
      </c>
      <c r="V86">
        <f ca="1">IF($C86-V$1&lt;År1,0,U85*(1-VLOOKUP($A86,[1]Hugst!$R$5:$W$9,MATCH(ROUNDUP((V$1)/10,0)*10,[1]Hugst!$R$4:$W$4,0))))</f>
        <v>5332.0029629999408</v>
      </c>
      <c r="W86">
        <f ca="1">IF($C86-W$1&lt;År1,0,V85*(1-VLOOKUP($A86,[1]Hugst!$R$5:$W$9,MATCH(ROUNDUP((W$1)/10,0)*10,[1]Hugst!$R$4:$W$4,0))))</f>
        <v>5328.584789874003</v>
      </c>
      <c r="X86">
        <f ca="1">IF($C86-X$1&lt;År1,0,W85*(1-VLOOKUP($A86,[1]Hugst!$R$5:$W$9,MATCH(ROUNDUP((X$1)/10,0)*10,[1]Hugst!$R$4:$W$4,0))))</f>
        <v>5325.1882972267395</v>
      </c>
      <c r="Y86">
        <f ca="1">IF($C86-Y$1&lt;År1,0,X85*(1-VLOOKUP($A86,[1]Hugst!$R$5:$W$9,MATCH(ROUNDUP((Y$1)/10,0)*10,[1]Hugst!$R$4:$W$4,0))))</f>
        <v>5321.8135094872032</v>
      </c>
      <c r="Z86">
        <f ca="1">IF($C86-Z$1&lt;År1,0,Y85*(1-VLOOKUP($A86,[1]Hugst!$R$5:$W$9,MATCH(ROUNDUP((Z$1)/10,0)*10,[1]Hugst!$R$4:$W$4,0))))</f>
        <v>5317.3319373175773</v>
      </c>
      <c r="AA86">
        <f ca="1">IF($C86-AA$1&lt;År1,0,Z85*(1-VLOOKUP($A86,[1]Hugst!$R$5:$W$9,MATCH(ROUNDUP((AA$1)/10,0)*10,[1]Hugst!$R$4:$W$4,0))))</f>
        <v>5312.8737724380453</v>
      </c>
      <c r="AB86">
        <f ca="1">IF($C86-AB$1&lt;År1,0,AA85*(1-VLOOKUP($A86,[1]Hugst!$R$5:$W$9,MATCH(ROUNDUP((AB$1)/10,0)*10,[1]Hugst!$R$4:$W$4,0))))</f>
        <v>5308.4390254080854</v>
      </c>
      <c r="AC86">
        <f>IF($C86-AC$1&lt;År1,0,AB85*(1-VLOOKUP($A86,[1]Hugst!$R$5:$W$9,MATCH(ROUNDUP((AC$1)/10,0)*10,[1]Hugst!$R$4:$W$4,0))))</f>
        <v>0</v>
      </c>
      <c r="AD86">
        <f>IF($C86-AD$1&lt;År1,0,AC85*(1-VLOOKUP($A86,[1]Hugst!$R$5:$W$9,MATCH(ROUNDUP((AD$1)/10,0)*10,[1]Hugst!$R$4:$W$4,0))))</f>
        <v>0</v>
      </c>
      <c r="AE86">
        <f>IF($C86-AE$1&lt;År1,0,AD85*(1-VLOOKUP($A86,[1]Hugst!$R$5:$W$9,MATCH(ROUNDUP((AE$1)/10,0)*10,[1]Hugst!$R$4:$W$4,0))))</f>
        <v>0</v>
      </c>
      <c r="AF86">
        <f>IF($C86-AF$1&lt;År1,0,AE85*(1-VLOOKUP($A86,[1]Hugst!$R$5:$W$9,MATCH(ROUNDUP((AF$1)/10,0)*10,[1]Hugst!$R$4:$W$4,0))))</f>
        <v>0</v>
      </c>
      <c r="AG86">
        <f>IF($C86-AG$1&lt;År1,0,AF85*(1-VLOOKUP($A86,[1]Hugst!$R$5:$W$9,MATCH(ROUNDUP((AG$1)/10,0)*10,[1]Hugst!$R$4:$W$4,0))))</f>
        <v>0</v>
      </c>
      <c r="AH86">
        <f>IF($C86-AH$1&lt;År1,0,AG85*(1-VLOOKUP($A86,[1]Hugst!$R$5:$W$9,MATCH(ROUNDUP((AH$1)/10,0)*10,[1]Hugst!$R$4:$W$4,0))))</f>
        <v>0</v>
      </c>
      <c r="AI86">
        <f>IF($C86-AI$1&lt;År1,0,AH85*(1-VLOOKUP($A86,[1]Hugst!$R$5:$W$9,MATCH(ROUNDUP((AI$1)/10,0)*10,[1]Hugst!$R$4:$W$4,0))))</f>
        <v>0</v>
      </c>
      <c r="AJ86">
        <f>IF($C86-AJ$1&lt;År1,0,AI85*(1-VLOOKUP($A86,[1]Hugst!$R$5:$W$9,MATCH(ROUNDUP((AJ$1)/10,0)*10,[1]Hugst!$R$4:$W$4,0))))</f>
        <v>0</v>
      </c>
    </row>
    <row r="87" spans="1:38" x14ac:dyDescent="0.25">
      <c r="A87" t="s">
        <v>177</v>
      </c>
      <c r="B87" t="s">
        <v>23</v>
      </c>
      <c r="C87">
        <v>2043</v>
      </c>
      <c r="D87" cm="1">
        <f t="array" ref="D87">(IF(B87="Vestdanmark",Skovbrug!$C$22-(Skovbrug!$C$22)*(1-Skovbrug!$C$9)^(C87-Skovbrug!$B$12),Skovbrug!$F$22-(Skovbrug!$F$22)*(1-Skovbrug!$C$9)^(C87-Skovbrug!$B$12)))*VLOOKUP(A87,Skovbrug!$A$13:$D$17,IF('Skovbrug-alder'!C87&lt;=År2,3,4),FALSE)
-IF(C87&gt;2020,SUM(INDEX($C$1:$D$311,MATCH(1,(2020=$C$1:$C$311)*(B87=$B$1:$B$311)*(A87=$A$1:$A$311),0),2):D86),0)</f>
        <v>872.30235390073358</v>
      </c>
      <c r="E87">
        <f t="shared" ca="1" si="1"/>
        <v>109.40171601822658</v>
      </c>
      <c r="F87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3423.3707365856276</v>
      </c>
      <c r="G87">
        <f ca="1">IF($C87-G$1&lt;År1,0,F86*(1-VLOOKUP($A87,[1]Hugst!$R$5:$W$9,MATCH(ROUNDUP((G$1)/10,0)*10,[1]Hugst!$R$4:$W$4,0))))</f>
        <v>3421.6162066997854</v>
      </c>
      <c r="H87">
        <f ca="1">IF($C87-H$1&lt;År1,0,G86*(1-VLOOKUP($A87,[1]Hugst!$R$5:$W$9,MATCH(ROUNDUP((H$1)/10,0)*10,[1]Hugst!$R$4:$W$4,0))))</f>
        <v>3419.8768519091204</v>
      </c>
      <c r="I87">
        <f ca="1">IF($C87-I$1&lt;År1,0,H86*(1-VLOOKUP($A87,[1]Hugst!$R$5:$W$9,MATCH(ROUNDUP((I$1)/10,0)*10,[1]Hugst!$R$4:$W$4,0))))</f>
        <v>3418.1527572490772</v>
      </c>
      <c r="J87">
        <f ca="1">IF($C87-J$1&lt;År1,0,I86*(1-VLOOKUP($A87,[1]Hugst!$R$5:$W$9,MATCH(ROUNDUP((J$1)/10,0)*10,[1]Hugst!$R$4:$W$4,0))))</f>
        <v>3413.3919719202563</v>
      </c>
      <c r="K87">
        <f ca="1">IF($C87-K$1&lt;År1,0,J86*(1-VLOOKUP($A87,[1]Hugst!$R$5:$W$9,MATCH(ROUNDUP((K$1)/10,0)*10,[1]Hugst!$R$4:$W$4,0))))</f>
        <v>3409.7772340318656</v>
      </c>
      <c r="L87">
        <f ca="1">IF($C87-L$1&lt;År1,0,K86*(1-VLOOKUP($A87,[1]Hugst!$R$5:$W$9,MATCH(ROUNDUP((L$1)/10,0)*10,[1]Hugst!$R$4:$W$4,0))))</f>
        <v>3406.1654310362223</v>
      </c>
      <c r="M87">
        <f ca="1">IF($C87-M$1&lt;År1,0,L86*(1-VLOOKUP($A87,[1]Hugst!$R$5:$W$9,MATCH(ROUNDUP((M$1)/10,0)*10,[1]Hugst!$R$4:$W$4,0))))</f>
        <v>3402.5566099163184</v>
      </c>
      <c r="N87">
        <f ca="1">IF($C87-N$1&lt;År1,0,M86*(1-VLOOKUP($A87,[1]Hugst!$R$5:$W$9,MATCH(ROUNDUP((N$1)/10,0)*10,[1]Hugst!$R$4:$W$4,0))))</f>
        <v>3398.950817940387</v>
      </c>
      <c r="O87">
        <f ca="1">IF($C87-O$1&lt;År1,0,N86*(1-VLOOKUP($A87,[1]Hugst!$R$5:$W$9,MATCH(ROUNDUP((O$1)/10,0)*10,[1]Hugst!$R$4:$W$4,0))))</f>
        <v>3395.3481026634886</v>
      </c>
      <c r="P87">
        <f ca="1">IF($C87-P$1&lt;År1,0,O86*(1-VLOOKUP($A87,[1]Hugst!$R$5:$W$9,MATCH(ROUNDUP((P$1)/10,0)*10,[1]Hugst!$R$4:$W$4,0))))</f>
        <v>3386.5746582668853</v>
      </c>
      <c r="Q87">
        <f ca="1">IF($C87-Q$1&lt;År1,0,P86*(1-VLOOKUP($A87,[1]Hugst!$R$5:$W$9,MATCH(ROUNDUP((Q$1)/10,0)*10,[1]Hugst!$R$4:$W$4,0))))</f>
        <v>3377.8232426196737</v>
      </c>
      <c r="R87">
        <f ca="1">IF($C87-R$1&lt;År1,0,Q86*(1-VLOOKUP($A87,[1]Hugst!$R$5:$W$9,MATCH(ROUNDUP((R$1)/10,0)*10,[1]Hugst!$R$4:$W$4,0))))</f>
        <v>3369.0938523090804</v>
      </c>
      <c r="S87">
        <f ca="1">IF($C87-S$1&lt;År1,0,R86*(1-VLOOKUP($A87,[1]Hugst!$R$5:$W$9,MATCH(ROUNDUP((S$1)/10,0)*10,[1]Hugst!$R$4:$W$4,0))))</f>
        <v>5345.952097345189</v>
      </c>
      <c r="T87">
        <f ca="1">IF($C87-T$1&lt;År1,0,S86*(1-VLOOKUP($A87,[1]Hugst!$R$5:$W$9,MATCH(ROUNDUP((T$1)/10,0)*10,[1]Hugst!$R$4:$W$4,0))))</f>
        <v>5334.2379190110214</v>
      </c>
      <c r="U87">
        <f ca="1">IF($C87-U$1&lt;År1,0,T86*(1-VLOOKUP($A87,[1]Hugst!$R$5:$W$9,MATCH(ROUNDUP((U$1)/10,0)*10,[1]Hugst!$R$4:$W$4,0))))</f>
        <v>5330.7601625519601</v>
      </c>
      <c r="V87">
        <f ca="1">IF($C87-V$1&lt;År1,0,U86*(1-VLOOKUP($A87,[1]Hugst!$R$5:$W$9,MATCH(ROUNDUP((V$1)/10,0)*10,[1]Hugst!$R$4:$W$4,0))))</f>
        <v>5327.3039812994111</v>
      </c>
      <c r="W87">
        <f ca="1">IF($C87-W$1&lt;År1,0,V86*(1-VLOOKUP($A87,[1]Hugst!$R$5:$W$9,MATCH(ROUNDUP((W$1)/10,0)*10,[1]Hugst!$R$4:$W$4,0))))</f>
        <v>5323.8693991580767</v>
      </c>
      <c r="X87">
        <f ca="1">IF($C87-X$1&lt;År1,0,W86*(1-VLOOKUP($A87,[1]Hugst!$R$5:$W$9,MATCH(ROUNDUP((X$1)/10,0)*10,[1]Hugst!$R$4:$W$4,0))))</f>
        <v>5320.4564401945345</v>
      </c>
      <c r="Y87">
        <f ca="1">IF($C87-Y$1&lt;År1,0,X86*(1-VLOOKUP($A87,[1]Hugst!$R$5:$W$9,MATCH(ROUNDUP((Y$1)/10,0)*10,[1]Hugst!$R$4:$W$4,0))))</f>
        <v>5317.0651286377497</v>
      </c>
      <c r="Z87">
        <f ca="1">IF($C87-Z$1&lt;År1,0,Y86*(1-VLOOKUP($A87,[1]Hugst!$R$5:$W$9,MATCH(ROUNDUP((Z$1)/10,0)*10,[1]Hugst!$R$4:$W$4,0))))</f>
        <v>5312.5679860173314</v>
      </c>
      <c r="AA87">
        <f ca="1">IF($C87-AA$1&lt;År1,0,Z86*(1-VLOOKUP($A87,[1]Hugst!$R$5:$W$9,MATCH(ROUNDUP((AA$1)/10,0)*10,[1]Hugst!$R$4:$W$4,0))))</f>
        <v>5308.0941996298643</v>
      </c>
      <c r="AB87">
        <f ca="1">IF($C87-AB$1&lt;År1,0,AA86*(1-VLOOKUP($A87,[1]Hugst!$R$5:$W$9,MATCH(ROUNDUP((AB$1)/10,0)*10,[1]Hugst!$R$4:$W$4,0))))</f>
        <v>5303.6437798672841</v>
      </c>
      <c r="AC87">
        <f ca="1">IF($C87-AC$1&lt;År1,0,AB86*(1-VLOOKUP($A87,[1]Hugst!$R$5:$W$9,MATCH(ROUNDUP((AC$1)/10,0)*10,[1]Hugst!$R$4:$W$4,0))))</f>
        <v>5299.2167372707236</v>
      </c>
      <c r="AD87">
        <f>IF($C87-AD$1&lt;År1,0,AC86*(1-VLOOKUP($A87,[1]Hugst!$R$5:$W$9,MATCH(ROUNDUP((AD$1)/10,0)*10,[1]Hugst!$R$4:$W$4,0))))</f>
        <v>0</v>
      </c>
      <c r="AE87">
        <f>IF($C87-AE$1&lt;År1,0,AD86*(1-VLOOKUP($A87,[1]Hugst!$R$5:$W$9,MATCH(ROUNDUP((AE$1)/10,0)*10,[1]Hugst!$R$4:$W$4,0))))</f>
        <v>0</v>
      </c>
      <c r="AF87">
        <f>IF($C87-AF$1&lt;År1,0,AE86*(1-VLOOKUP($A87,[1]Hugst!$R$5:$W$9,MATCH(ROUNDUP((AF$1)/10,0)*10,[1]Hugst!$R$4:$W$4,0))))</f>
        <v>0</v>
      </c>
      <c r="AG87">
        <f>IF($C87-AG$1&lt;År1,0,AF86*(1-VLOOKUP($A87,[1]Hugst!$R$5:$W$9,MATCH(ROUNDUP((AG$1)/10,0)*10,[1]Hugst!$R$4:$W$4,0))))</f>
        <v>0</v>
      </c>
      <c r="AH87">
        <f>IF($C87-AH$1&lt;År1,0,AG86*(1-VLOOKUP($A87,[1]Hugst!$R$5:$W$9,MATCH(ROUNDUP((AH$1)/10,0)*10,[1]Hugst!$R$4:$W$4,0))))</f>
        <v>0</v>
      </c>
      <c r="AI87">
        <f>IF($C87-AI$1&lt;År1,0,AH86*(1-VLOOKUP($A87,[1]Hugst!$R$5:$W$9,MATCH(ROUNDUP((AI$1)/10,0)*10,[1]Hugst!$R$4:$W$4,0))))</f>
        <v>0</v>
      </c>
      <c r="AJ87">
        <f>IF($C87-AJ$1&lt;År1,0,AI86*(1-VLOOKUP($A87,[1]Hugst!$R$5:$W$9,MATCH(ROUNDUP((AJ$1)/10,0)*10,[1]Hugst!$R$4:$W$4,0))))</f>
        <v>0</v>
      </c>
    </row>
    <row r="88" spans="1:38" x14ac:dyDescent="0.25">
      <c r="A88" t="s">
        <v>177</v>
      </c>
      <c r="B88" t="s">
        <v>23</v>
      </c>
      <c r="C88">
        <v>2044</v>
      </c>
      <c r="D88" cm="1">
        <f t="array" ref="D88">(IF(B88="Vestdanmark",Skovbrug!$C$22-(Skovbrug!$C$22)*(1-Skovbrug!$C$9)^(C88-Skovbrug!$B$12),Skovbrug!$F$22-(Skovbrug!$F$22)*(1-Skovbrug!$C$9)^(C88-Skovbrug!$B$12)))*VLOOKUP(A88,Skovbrug!$A$13:$D$17,IF('Skovbrug-alder'!C88&lt;=År2,3,4),FALSE)
-IF(C88&gt;2020,SUM(INDEX($C$1:$D$311,MATCH(1,(2020=$C$1:$C$311)*(B88=$B$1:$B$311)*(A88=$A$1:$A$311),0),2):D87),0)</f>
        <v>867.94084213123642</v>
      </c>
      <c r="E88">
        <f t="shared" ca="1" si="1"/>
        <v>115.53284813064965</v>
      </c>
      <c r="F8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3425.1403569285535</v>
      </c>
      <c r="G88">
        <f ca="1">IF($C88-G$1&lt;År1,0,F87*(1-VLOOKUP($A88,[1]Hugst!$R$5:$W$9,MATCH(ROUNDUP((G$1)/10,0)*10,[1]Hugst!$R$4:$W$4,0))))</f>
        <v>3423.3707365856276</v>
      </c>
      <c r="H88">
        <f ca="1">IF($C88-H$1&lt;År1,0,G87*(1-VLOOKUP($A88,[1]Hugst!$R$5:$W$9,MATCH(ROUNDUP((H$1)/10,0)*10,[1]Hugst!$R$4:$W$4,0))))</f>
        <v>3421.6162066997854</v>
      </c>
      <c r="I88">
        <f ca="1">IF($C88-I$1&lt;År1,0,H87*(1-VLOOKUP($A88,[1]Hugst!$R$5:$W$9,MATCH(ROUNDUP((I$1)/10,0)*10,[1]Hugst!$R$4:$W$4,0))))</f>
        <v>3419.8768519091204</v>
      </c>
      <c r="J88">
        <f ca="1">IF($C88-J$1&lt;År1,0,I87*(1-VLOOKUP($A88,[1]Hugst!$R$5:$W$9,MATCH(ROUNDUP((J$1)/10,0)*10,[1]Hugst!$R$4:$W$4,0))))</f>
        <v>3418.1527572490772</v>
      </c>
      <c r="K88">
        <f ca="1">IF($C88-K$1&lt;År1,0,J87*(1-VLOOKUP($A88,[1]Hugst!$R$5:$W$9,MATCH(ROUNDUP((K$1)/10,0)*10,[1]Hugst!$R$4:$W$4,0))))</f>
        <v>3413.3919719202563</v>
      </c>
      <c r="L88">
        <f ca="1">IF($C88-L$1&lt;År1,0,K87*(1-VLOOKUP($A88,[1]Hugst!$R$5:$W$9,MATCH(ROUNDUP((L$1)/10,0)*10,[1]Hugst!$R$4:$W$4,0))))</f>
        <v>3409.7772340318656</v>
      </c>
      <c r="M88">
        <f ca="1">IF($C88-M$1&lt;År1,0,L87*(1-VLOOKUP($A88,[1]Hugst!$R$5:$W$9,MATCH(ROUNDUP((M$1)/10,0)*10,[1]Hugst!$R$4:$W$4,0))))</f>
        <v>3406.1654310362223</v>
      </c>
      <c r="N88">
        <f ca="1">IF($C88-N$1&lt;År1,0,M87*(1-VLOOKUP($A88,[1]Hugst!$R$5:$W$9,MATCH(ROUNDUP((N$1)/10,0)*10,[1]Hugst!$R$4:$W$4,0))))</f>
        <v>3402.5566099163184</v>
      </c>
      <c r="O88">
        <f ca="1">IF($C88-O$1&lt;År1,0,N87*(1-VLOOKUP($A88,[1]Hugst!$R$5:$W$9,MATCH(ROUNDUP((O$1)/10,0)*10,[1]Hugst!$R$4:$W$4,0))))</f>
        <v>3398.950817940387</v>
      </c>
      <c r="P88">
        <f ca="1">IF($C88-P$1&lt;År1,0,O87*(1-VLOOKUP($A88,[1]Hugst!$R$5:$W$9,MATCH(ROUNDUP((P$1)/10,0)*10,[1]Hugst!$R$4:$W$4,0))))</f>
        <v>3390.1687581001033</v>
      </c>
      <c r="Q88">
        <f ca="1">IF($C88-Q$1&lt;År1,0,P87*(1-VLOOKUP($A88,[1]Hugst!$R$5:$W$9,MATCH(ROUNDUP((Q$1)/10,0)*10,[1]Hugst!$R$4:$W$4,0))))</f>
        <v>3381.408696923766</v>
      </c>
      <c r="R88">
        <f ca="1">IF($C88-R$1&lt;År1,0,Q87*(1-VLOOKUP($A88,[1]Hugst!$R$5:$W$9,MATCH(ROUNDUP((R$1)/10,0)*10,[1]Hugst!$R$4:$W$4,0))))</f>
        <v>3372.6706308936436</v>
      </c>
      <c r="S88">
        <f ca="1">IF($C88-S$1&lt;År1,0,R87*(1-VLOOKUP($A88,[1]Hugst!$R$5:$W$9,MATCH(ROUNDUP((S$1)/10,0)*10,[1]Hugst!$R$4:$W$4,0))))</f>
        <v>3363.9545566021679</v>
      </c>
      <c r="T88">
        <f ca="1">IF($C88-T$1&lt;År1,0,S87*(1-VLOOKUP($A88,[1]Hugst!$R$5:$W$9,MATCH(ROUNDUP((T$1)/10,0)*10,[1]Hugst!$R$4:$W$4,0))))</f>
        <v>5337.7972551627981</v>
      </c>
      <c r="U88">
        <f ca="1">IF($C88-U$1&lt;År1,0,T87*(1-VLOOKUP($A88,[1]Hugst!$R$5:$W$9,MATCH(ROUNDUP((U$1)/10,0)*10,[1]Hugst!$R$4:$W$4,0))))</f>
        <v>5326.1009459142251</v>
      </c>
      <c r="V88">
        <f ca="1">IF($C88-V$1&lt;År1,0,U87*(1-VLOOKUP($A88,[1]Hugst!$R$5:$W$9,MATCH(ROUNDUP((V$1)/10,0)*10,[1]Hugst!$R$4:$W$4,0))))</f>
        <v>5322.6284945073894</v>
      </c>
      <c r="W88">
        <f ca="1">IF($C88-W$1&lt;År1,0,V87*(1-VLOOKUP($A88,[1]Hugst!$R$5:$W$9,MATCH(ROUNDUP((W$1)/10,0)*10,[1]Hugst!$R$4:$W$4,0))))</f>
        <v>5319.1775853957342</v>
      </c>
      <c r="X88">
        <f ca="1">IF($C88-X$1&lt;År1,0,W87*(1-VLOOKUP($A88,[1]Hugst!$R$5:$W$9,MATCH(ROUNDUP((X$1)/10,0)*10,[1]Hugst!$R$4:$W$4,0))))</f>
        <v>5315.7482424474965</v>
      </c>
      <c r="Y88">
        <f ca="1">IF($C88-Y$1&lt;År1,0,X87*(1-VLOOKUP($A88,[1]Hugst!$R$5:$W$9,MATCH(ROUNDUP((Y$1)/10,0)*10,[1]Hugst!$R$4:$W$4,0))))</f>
        <v>5312.3404896925431</v>
      </c>
      <c r="Z88">
        <f ca="1">IF($C88-Z$1&lt;År1,0,Y87*(1-VLOOKUP($A88,[1]Hugst!$R$5:$W$9,MATCH(ROUNDUP((Z$1)/10,0)*10,[1]Hugst!$R$4:$W$4,0))))</f>
        <v>5307.8278544735904</v>
      </c>
      <c r="AA88">
        <f ca="1">IF($C88-AA$1&lt;År1,0,Z87*(1-VLOOKUP($A88,[1]Hugst!$R$5:$W$9,MATCH(ROUNDUP((AA$1)/10,0)*10,[1]Hugst!$R$4:$W$4,0))))</f>
        <v>5303.3385246856906</v>
      </c>
      <c r="AB88">
        <f ca="1">IF($C88-AB$1&lt;År1,0,AA87*(1-VLOOKUP($A88,[1]Hugst!$R$5:$W$9,MATCH(ROUNDUP((AB$1)/10,0)*10,[1]Hugst!$R$4:$W$4,0))))</f>
        <v>5298.8725105542362</v>
      </c>
      <c r="AC88">
        <f ca="1">IF($C88-AC$1&lt;År1,0,AB87*(1-VLOOKUP($A88,[1]Hugst!$R$5:$W$9,MATCH(ROUNDUP((AC$1)/10,0)*10,[1]Hugst!$R$4:$W$4,0))))</f>
        <v>5294.4298224531076</v>
      </c>
      <c r="AD88">
        <f ca="1">IF($C88-AD$1&lt;År1,0,AC87*(1-VLOOKUP($A88,[1]Hugst!$R$5:$W$9,MATCH(ROUNDUP((AD$1)/10,0)*10,[1]Hugst!$R$4:$W$4,0))))</f>
        <v>5290.0104709051257</v>
      </c>
      <c r="AE88">
        <f>IF($C88-AE$1&lt;År1,0,AD87*(1-VLOOKUP($A88,[1]Hugst!$R$5:$W$9,MATCH(ROUNDUP((AE$1)/10,0)*10,[1]Hugst!$R$4:$W$4,0))))</f>
        <v>0</v>
      </c>
      <c r="AF88">
        <f>IF($C88-AF$1&lt;År1,0,AE87*(1-VLOOKUP($A88,[1]Hugst!$R$5:$W$9,MATCH(ROUNDUP((AF$1)/10,0)*10,[1]Hugst!$R$4:$W$4,0))))</f>
        <v>0</v>
      </c>
      <c r="AG88">
        <f>IF($C88-AG$1&lt;År1,0,AF87*(1-VLOOKUP($A88,[1]Hugst!$R$5:$W$9,MATCH(ROUNDUP((AG$1)/10,0)*10,[1]Hugst!$R$4:$W$4,0))))</f>
        <v>0</v>
      </c>
      <c r="AH88">
        <f>IF($C88-AH$1&lt;År1,0,AG87*(1-VLOOKUP($A88,[1]Hugst!$R$5:$W$9,MATCH(ROUNDUP((AH$1)/10,0)*10,[1]Hugst!$R$4:$W$4,0))))</f>
        <v>0</v>
      </c>
      <c r="AI88">
        <f>IF($C88-AI$1&lt;År1,0,AH87*(1-VLOOKUP($A88,[1]Hugst!$R$5:$W$9,MATCH(ROUNDUP((AI$1)/10,0)*10,[1]Hugst!$R$4:$W$4,0))))</f>
        <v>0</v>
      </c>
      <c r="AJ88">
        <f>IF($C88-AJ$1&lt;År1,0,AI87*(1-VLOOKUP($A88,[1]Hugst!$R$5:$W$9,MATCH(ROUNDUP((AJ$1)/10,0)*10,[1]Hugst!$R$4:$W$4,0))))</f>
        <v>0</v>
      </c>
    </row>
    <row r="89" spans="1:38" x14ac:dyDescent="0.25">
      <c r="A89" t="s">
        <v>177</v>
      </c>
      <c r="B89" t="s">
        <v>23</v>
      </c>
      <c r="C89">
        <v>2045</v>
      </c>
      <c r="D89" cm="1">
        <f t="array" ref="D89">(IF(B89="Vestdanmark",Skovbrug!$C$22-(Skovbrug!$C$22)*(1-Skovbrug!$C$9)^(C89-Skovbrug!$B$12),Skovbrug!$F$22-(Skovbrug!$F$22)*(1-Skovbrug!$C$9)^(C89-Skovbrug!$B$12)))*VLOOKUP(A89,Skovbrug!$A$13:$D$17,IF('Skovbrug-alder'!C89&lt;=År2,3,4),FALSE)
-IF(C89&gt;2020,SUM(INDEX($C$1:$D$311,MATCH(1,(2020=$C$1:$C$311)*(B89=$B$1:$B$311)*(A89=$A$1:$A$311),0),2):D88),0)</f>
        <v>863.60113792057746</v>
      </c>
      <c r="E89">
        <f t="shared" ca="1" si="1"/>
        <v>121.65717889847292</v>
      </c>
      <c r="F89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3426.9249834857178</v>
      </c>
      <c r="G89">
        <f ca="1">IF($C89-G$1&lt;År1,0,F88*(1-VLOOKUP($A89,[1]Hugst!$R$5:$W$9,MATCH(ROUNDUP((G$1)/10,0)*10,[1]Hugst!$R$4:$W$4,0))))</f>
        <v>3425.1403569285535</v>
      </c>
      <c r="H89">
        <f ca="1">IF($C89-H$1&lt;År1,0,G88*(1-VLOOKUP($A89,[1]Hugst!$R$5:$W$9,MATCH(ROUNDUP((H$1)/10,0)*10,[1]Hugst!$R$4:$W$4,0))))</f>
        <v>3423.3707365856276</v>
      </c>
      <c r="I89">
        <f ca="1">IF($C89-I$1&lt;År1,0,H88*(1-VLOOKUP($A89,[1]Hugst!$R$5:$W$9,MATCH(ROUNDUP((I$1)/10,0)*10,[1]Hugst!$R$4:$W$4,0))))</f>
        <v>3421.6162066997854</v>
      </c>
      <c r="J89">
        <f ca="1">IF($C89-J$1&lt;År1,0,I88*(1-VLOOKUP($A89,[1]Hugst!$R$5:$W$9,MATCH(ROUNDUP((J$1)/10,0)*10,[1]Hugst!$R$4:$W$4,0))))</f>
        <v>3419.8768519091204</v>
      </c>
      <c r="K89">
        <f ca="1">IF($C89-K$1&lt;År1,0,J88*(1-VLOOKUP($A89,[1]Hugst!$R$5:$W$9,MATCH(ROUNDUP((K$1)/10,0)*10,[1]Hugst!$R$4:$W$4,0))))</f>
        <v>3418.1527572490772</v>
      </c>
      <c r="L89">
        <f ca="1">IF($C89-L$1&lt;År1,0,K88*(1-VLOOKUP($A89,[1]Hugst!$R$5:$W$9,MATCH(ROUNDUP((L$1)/10,0)*10,[1]Hugst!$R$4:$W$4,0))))</f>
        <v>3413.3919719202563</v>
      </c>
      <c r="M89">
        <f ca="1">IF($C89-M$1&lt;År1,0,L88*(1-VLOOKUP($A89,[1]Hugst!$R$5:$W$9,MATCH(ROUNDUP((M$1)/10,0)*10,[1]Hugst!$R$4:$W$4,0))))</f>
        <v>3409.7772340318656</v>
      </c>
      <c r="N89">
        <f ca="1">IF($C89-N$1&lt;År1,0,M88*(1-VLOOKUP($A89,[1]Hugst!$R$5:$W$9,MATCH(ROUNDUP((N$1)/10,0)*10,[1]Hugst!$R$4:$W$4,0))))</f>
        <v>3406.1654310362223</v>
      </c>
      <c r="O89">
        <f ca="1">IF($C89-O$1&lt;År1,0,N88*(1-VLOOKUP($A89,[1]Hugst!$R$5:$W$9,MATCH(ROUNDUP((O$1)/10,0)*10,[1]Hugst!$R$4:$W$4,0))))</f>
        <v>3402.5566099163184</v>
      </c>
      <c r="P89">
        <f ca="1">IF($C89-P$1&lt;År1,0,O88*(1-VLOOKUP($A89,[1]Hugst!$R$5:$W$9,MATCH(ROUNDUP((P$1)/10,0)*10,[1]Hugst!$R$4:$W$4,0))))</f>
        <v>3393.7659777096305</v>
      </c>
      <c r="Q89">
        <f ca="1">IF($C89-Q$1&lt;År1,0,P88*(1-VLOOKUP($A89,[1]Hugst!$R$5:$W$9,MATCH(ROUNDUP((Q$1)/10,0)*10,[1]Hugst!$R$4:$W$4,0))))</f>
        <v>3384.9973142318149</v>
      </c>
      <c r="R89">
        <f ca="1">IF($C89-R$1&lt;År1,0,Q88*(1-VLOOKUP($A89,[1]Hugst!$R$5:$W$9,MATCH(ROUNDUP((R$1)/10,0)*10,[1]Hugst!$R$4:$W$4,0))))</f>
        <v>3376.250615860662</v>
      </c>
      <c r="S89">
        <f ca="1">IF($C89-S$1&lt;År1,0,R88*(1-VLOOKUP($A89,[1]Hugst!$R$5:$W$9,MATCH(ROUNDUP((S$1)/10,0)*10,[1]Hugst!$R$4:$W$4,0))))</f>
        <v>3367.5258790838056</v>
      </c>
      <c r="T89">
        <f ca="1">IF($C89-T$1&lt;År1,0,S88*(1-VLOOKUP($A89,[1]Hugst!$R$5:$W$9,MATCH(ROUNDUP((T$1)/10,0)*10,[1]Hugst!$R$4:$W$4,0))))</f>
        <v>3358.8231004988766</v>
      </c>
      <c r="U89">
        <f ca="1">IF($C89-U$1&lt;År1,0,T88*(1-VLOOKUP($A89,[1]Hugst!$R$5:$W$9,MATCH(ROUNDUP((U$1)/10,0)*10,[1]Hugst!$R$4:$W$4,0))))</f>
        <v>5329.6548525701764</v>
      </c>
      <c r="V89">
        <f ca="1">IF($C89-V$1&lt;År1,0,U88*(1-VLOOKUP($A89,[1]Hugst!$R$5:$W$9,MATCH(ROUNDUP((V$1)/10,0)*10,[1]Hugst!$R$4:$W$4,0))))</f>
        <v>5317.9763851492708</v>
      </c>
      <c r="W89">
        <f ca="1">IF($C89-W$1&lt;År1,0,V88*(1-VLOOKUP($A89,[1]Hugst!$R$5:$W$9,MATCH(ROUNDUP((W$1)/10,0)*10,[1]Hugst!$R$4:$W$4,0))))</f>
        <v>5314.5092307022087</v>
      </c>
      <c r="X89">
        <f ca="1">IF($C89-X$1&lt;År1,0,W88*(1-VLOOKUP($A89,[1]Hugst!$R$5:$W$9,MATCH(ROUNDUP((X$1)/10,0)*10,[1]Hugst!$R$4:$W$4,0))))</f>
        <v>5311.0635856891986</v>
      </c>
      <c r="Y89">
        <f ca="1">IF($C89-Y$1&lt;År1,0,X88*(1-VLOOKUP($A89,[1]Hugst!$R$5:$W$9,MATCH(ROUNDUP((Y$1)/10,0)*10,[1]Hugst!$R$4:$W$4,0))))</f>
        <v>5307.6394739420675</v>
      </c>
      <c r="Z89">
        <f ca="1">IF($C89-Z$1&lt;År1,0,Y88*(1-VLOOKUP($A89,[1]Hugst!$R$5:$W$9,MATCH(ROUNDUP((Z$1)/10,0)*10,[1]Hugst!$R$4:$W$4,0))))</f>
        <v>5303.1114235875684</v>
      </c>
      <c r="AA89">
        <f ca="1">IF($C89-AA$1&lt;År1,0,Z88*(1-VLOOKUP($A89,[1]Hugst!$R$5:$W$9,MATCH(ROUNDUP((AA$1)/10,0)*10,[1]Hugst!$R$4:$W$4,0))))</f>
        <v>5298.6066281162421</v>
      </c>
      <c r="AB89">
        <f ca="1">IF($C89-AB$1&lt;År1,0,AA88*(1-VLOOKUP($A89,[1]Hugst!$R$5:$W$9,MATCH(ROUNDUP((AB$1)/10,0)*10,[1]Hugst!$R$4:$W$4,0))))</f>
        <v>5294.1250975877192</v>
      </c>
      <c r="AC89">
        <f ca="1">IF($C89-AC$1&lt;År1,0,AB88*(1-VLOOKUP($A89,[1]Hugst!$R$5:$W$9,MATCH(ROUNDUP((AC$1)/10,0)*10,[1]Hugst!$R$4:$W$4,0))))</f>
        <v>5289.6668422096291</v>
      </c>
      <c r="AD89">
        <f ca="1">IF($C89-AD$1&lt;År1,0,AC88*(1-VLOOKUP($A89,[1]Hugst!$R$5:$W$9,MATCH(ROUNDUP((AD$1)/10,0)*10,[1]Hugst!$R$4:$W$4,0))))</f>
        <v>5285.2318723378285</v>
      </c>
      <c r="AE89">
        <f ca="1">IF($C89-AE$1&lt;År1,0,AD88*(1-VLOOKUP($A89,[1]Hugst!$R$5:$W$9,MATCH(ROUNDUP((AE$1)/10,0)*10,[1]Hugst!$R$4:$W$4,0))))</f>
        <v>5280.8201984768584</v>
      </c>
      <c r="AF89">
        <f>IF($C89-AF$1&lt;År1,0,AE88*(1-VLOOKUP($A89,[1]Hugst!$R$5:$W$9,MATCH(ROUNDUP((AF$1)/10,0)*10,[1]Hugst!$R$4:$W$4,0))))</f>
        <v>0</v>
      </c>
      <c r="AG89">
        <f>IF($C89-AG$1&lt;År1,0,AF88*(1-VLOOKUP($A89,[1]Hugst!$R$5:$W$9,MATCH(ROUNDUP((AG$1)/10,0)*10,[1]Hugst!$R$4:$W$4,0))))</f>
        <v>0</v>
      </c>
      <c r="AH89">
        <f>IF($C89-AH$1&lt;År1,0,AG88*(1-VLOOKUP($A89,[1]Hugst!$R$5:$W$9,MATCH(ROUNDUP((AH$1)/10,0)*10,[1]Hugst!$R$4:$W$4,0))))</f>
        <v>0</v>
      </c>
      <c r="AI89">
        <f>IF($C89-AI$1&lt;År1,0,AH88*(1-VLOOKUP($A89,[1]Hugst!$R$5:$W$9,MATCH(ROUNDUP((AI$1)/10,0)*10,[1]Hugst!$R$4:$W$4,0))))</f>
        <v>0</v>
      </c>
      <c r="AJ89">
        <f>IF($C89-AJ$1&lt;År1,0,AI88*(1-VLOOKUP($A89,[1]Hugst!$R$5:$W$9,MATCH(ROUNDUP((AJ$1)/10,0)*10,[1]Hugst!$R$4:$W$4,0))))</f>
        <v>0</v>
      </c>
    </row>
    <row r="90" spans="1:38" x14ac:dyDescent="0.25">
      <c r="A90" t="s">
        <v>177</v>
      </c>
      <c r="B90" t="s">
        <v>23</v>
      </c>
      <c r="C90">
        <v>2046</v>
      </c>
      <c r="D90" cm="1">
        <f t="array" ref="D90">(IF(B90="Vestdanmark",Skovbrug!$C$22-(Skovbrug!$C$22)*(1-Skovbrug!$C$9)^(C90-Skovbrug!$B$12),Skovbrug!$F$22-(Skovbrug!$F$22)*(1-Skovbrug!$C$9)^(C90-Skovbrug!$B$12)))*VLOOKUP(A90,Skovbrug!$A$13:$D$17,IF('Skovbrug-alder'!C90&lt;=År2,3,4),FALSE)
-IF(C90&gt;2020,SUM(INDEX($C$1:$D$311,MATCH(1,(2020=$C$1:$C$311)*(B90=$B$1:$B$311)*(A90=$A$1:$A$311),0),2):D89),0)</f>
        <v>859.28313223100486</v>
      </c>
      <c r="E90">
        <f t="shared" ca="1" si="1"/>
        <v>127.77473351004301</v>
      </c>
      <c r="F90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3428.7245324077153</v>
      </c>
      <c r="G90">
        <f ca="1">IF($C90-G$1&lt;År1,0,F89*(1-VLOOKUP($A90,[1]Hugst!$R$5:$W$9,MATCH(ROUNDUP((G$1)/10,0)*10,[1]Hugst!$R$4:$W$4,0))))</f>
        <v>3426.9249834857178</v>
      </c>
      <c r="H90">
        <f ca="1">IF($C90-H$1&lt;År1,0,G89*(1-VLOOKUP($A90,[1]Hugst!$R$5:$W$9,MATCH(ROUNDUP((H$1)/10,0)*10,[1]Hugst!$R$4:$W$4,0))))</f>
        <v>3425.1403569285535</v>
      </c>
      <c r="I90">
        <f ca="1">IF($C90-I$1&lt;År1,0,H89*(1-VLOOKUP($A90,[1]Hugst!$R$5:$W$9,MATCH(ROUNDUP((I$1)/10,0)*10,[1]Hugst!$R$4:$W$4,0))))</f>
        <v>3423.3707365856276</v>
      </c>
      <c r="J90">
        <f ca="1">IF($C90-J$1&lt;År1,0,I89*(1-VLOOKUP($A90,[1]Hugst!$R$5:$W$9,MATCH(ROUNDUP((J$1)/10,0)*10,[1]Hugst!$R$4:$W$4,0))))</f>
        <v>3421.6162066997854</v>
      </c>
      <c r="K90">
        <f ca="1">IF($C90-K$1&lt;År1,0,J89*(1-VLOOKUP($A90,[1]Hugst!$R$5:$W$9,MATCH(ROUNDUP((K$1)/10,0)*10,[1]Hugst!$R$4:$W$4,0))))</f>
        <v>3419.8768519091204</v>
      </c>
      <c r="L90">
        <f ca="1">IF($C90-L$1&lt;År1,0,K89*(1-VLOOKUP($A90,[1]Hugst!$R$5:$W$9,MATCH(ROUNDUP((L$1)/10,0)*10,[1]Hugst!$R$4:$W$4,0))))</f>
        <v>3418.1527572490772</v>
      </c>
      <c r="M90">
        <f ca="1">IF($C90-M$1&lt;År1,0,L89*(1-VLOOKUP($A90,[1]Hugst!$R$5:$W$9,MATCH(ROUNDUP((M$1)/10,0)*10,[1]Hugst!$R$4:$W$4,0))))</f>
        <v>3413.3919719202563</v>
      </c>
      <c r="N90">
        <f ca="1">IF($C90-N$1&lt;År1,0,M89*(1-VLOOKUP($A90,[1]Hugst!$R$5:$W$9,MATCH(ROUNDUP((N$1)/10,0)*10,[1]Hugst!$R$4:$W$4,0))))</f>
        <v>3409.7772340318656</v>
      </c>
      <c r="O90">
        <f ca="1">IF($C90-O$1&lt;År1,0,N89*(1-VLOOKUP($A90,[1]Hugst!$R$5:$W$9,MATCH(ROUNDUP((O$1)/10,0)*10,[1]Hugst!$R$4:$W$4,0))))</f>
        <v>3406.1654310362223</v>
      </c>
      <c r="P90">
        <f ca="1">IF($C90-P$1&lt;År1,0,O89*(1-VLOOKUP($A90,[1]Hugst!$R$5:$W$9,MATCH(ROUNDUP((P$1)/10,0)*10,[1]Hugst!$R$4:$W$4,0))))</f>
        <v>3397.3662693249207</v>
      </c>
      <c r="Q90">
        <f ca="1">IF($C90-Q$1&lt;År1,0,P89*(1-VLOOKUP($A90,[1]Hugst!$R$5:$W$9,MATCH(ROUNDUP((Q$1)/10,0)*10,[1]Hugst!$R$4:$W$4,0))))</f>
        <v>3388.589046557192</v>
      </c>
      <c r="R90">
        <f ca="1">IF($C90-R$1&lt;År1,0,Q89*(1-VLOOKUP($A90,[1]Hugst!$R$5:$W$9,MATCH(ROUNDUP((R$1)/10,0)*10,[1]Hugst!$R$4:$W$4,0))))</f>
        <v>3379.8337590067154</v>
      </c>
      <c r="S90">
        <f ca="1">IF($C90-S$1&lt;År1,0,R89*(1-VLOOKUP($A90,[1]Hugst!$R$5:$W$9,MATCH(ROUNDUP((S$1)/10,0)*10,[1]Hugst!$R$4:$W$4,0))))</f>
        <v>3371.1004030568065</v>
      </c>
      <c r="T90">
        <f ca="1">IF($C90-T$1&lt;År1,0,S89*(1-VLOOKUP($A90,[1]Hugst!$R$5:$W$9,MATCH(ROUNDUP((T$1)/10,0)*10,[1]Hugst!$R$4:$W$4,0))))</f>
        <v>3362.3889752004575</v>
      </c>
      <c r="U90">
        <f ca="1">IF($C90-U$1&lt;År1,0,T89*(1-VLOOKUP($A90,[1]Hugst!$R$5:$W$9,MATCH(ROUNDUP((U$1)/10,0)*10,[1]Hugst!$R$4:$W$4,0))))</f>
        <v>3353.6994720404882</v>
      </c>
      <c r="V90">
        <f ca="1">IF($C90-V$1&lt;År1,0,U89*(1-VLOOKUP($A90,[1]Hugst!$R$5:$W$9,MATCH(ROUNDUP((V$1)/10,0)*10,[1]Hugst!$R$4:$W$4,0))))</f>
        <v>5321.5248705916792</v>
      </c>
      <c r="W90">
        <f ca="1">IF($C90-W$1&lt;År1,0,V89*(1-VLOOKUP($A90,[1]Hugst!$R$5:$W$9,MATCH(ROUNDUP((W$1)/10,0)*10,[1]Hugst!$R$4:$W$4,0))))</f>
        <v>5309.8642177820939</v>
      </c>
      <c r="X90">
        <f ca="1">IF($C90-X$1&lt;År1,0,W89*(1-VLOOKUP($A90,[1]Hugst!$R$5:$W$9,MATCH(ROUNDUP((X$1)/10,0)*10,[1]Hugst!$R$4:$W$4,0))))</f>
        <v>5306.4023522146963</v>
      </c>
      <c r="Y90">
        <f ca="1">IF($C90-Y$1&lt;År1,0,X89*(1-VLOOKUP($A90,[1]Hugst!$R$5:$W$9,MATCH(ROUNDUP((Y$1)/10,0)*10,[1]Hugst!$R$4:$W$4,0))))</f>
        <v>5302.9619632703507</v>
      </c>
      <c r="Z90">
        <f ca="1">IF($C90-Z$1&lt;År1,0,Y89*(1-VLOOKUP($A90,[1]Hugst!$R$5:$W$9,MATCH(ROUNDUP((Z$1)/10,0)*10,[1]Hugst!$R$4:$W$4,0))))</f>
        <v>5298.4185748559812</v>
      </c>
      <c r="AA90">
        <f ca="1">IF($C90-AA$1&lt;År1,0,Z89*(1-VLOOKUP($A90,[1]Hugst!$R$5:$W$9,MATCH(ROUNDUP((AA$1)/10,0)*10,[1]Hugst!$R$4:$W$4,0))))</f>
        <v>5293.8983910296411</v>
      </c>
      <c r="AB90">
        <f ca="1">IF($C90-AB$1&lt;År1,0,AA89*(1-VLOOKUP($A90,[1]Hugst!$R$5:$W$9,MATCH(ROUNDUP((AB$1)/10,0)*10,[1]Hugst!$R$4:$W$4,0))))</f>
        <v>5289.4014216860396</v>
      </c>
      <c r="AC90">
        <f ca="1">IF($C90-AC$1&lt;År1,0,AB89*(1-VLOOKUP($A90,[1]Hugst!$R$5:$W$9,MATCH(ROUNDUP((AC$1)/10,0)*10,[1]Hugst!$R$4:$W$4,0))))</f>
        <v>5284.9276768673335</v>
      </c>
      <c r="AD90">
        <f ca="1">IF($C90-AD$1&lt;År1,0,AC89*(1-VLOOKUP($A90,[1]Hugst!$R$5:$W$9,MATCH(ROUNDUP((AD$1)/10,0)*10,[1]Hugst!$R$4:$W$4,0))))</f>
        <v>5280.4771667634168</v>
      </c>
      <c r="AE90">
        <f ca="1">IF($C90-AE$1&lt;År1,0,AD89*(1-VLOOKUP($A90,[1]Hugst!$R$5:$W$9,MATCH(ROUNDUP((AE$1)/10,0)*10,[1]Hugst!$R$4:$W$4,0))))</f>
        <v>5276.0499017121565</v>
      </c>
      <c r="AF90">
        <f ca="1">IF($C90-AF$1&lt;År1,0,AE89*(1-VLOOKUP($A90,[1]Hugst!$R$5:$W$9,MATCH(ROUNDUP((AF$1)/10,0)*10,[1]Hugst!$R$4:$W$4,0))))</f>
        <v>5271.6458921998437</v>
      </c>
      <c r="AG90">
        <f>IF($C90-AG$1&lt;År1,0,AF89*(1-VLOOKUP($A90,[1]Hugst!$R$5:$W$9,MATCH(ROUNDUP((AG$1)/10,0)*10,[1]Hugst!$R$4:$W$4,0))))</f>
        <v>0</v>
      </c>
      <c r="AH90">
        <f>IF($C90-AH$1&lt;År1,0,AG89*(1-VLOOKUP($A90,[1]Hugst!$R$5:$W$9,MATCH(ROUNDUP((AH$1)/10,0)*10,[1]Hugst!$R$4:$W$4,0))))</f>
        <v>0</v>
      </c>
      <c r="AI90">
        <f>IF($C90-AI$1&lt;År1,0,AH89*(1-VLOOKUP($A90,[1]Hugst!$R$5:$W$9,MATCH(ROUNDUP((AI$1)/10,0)*10,[1]Hugst!$R$4:$W$4,0))))</f>
        <v>0</v>
      </c>
      <c r="AJ90">
        <f>IF($C90-AJ$1&lt;År1,0,AI89*(1-VLOOKUP($A90,[1]Hugst!$R$5:$W$9,MATCH(ROUNDUP((AJ$1)/10,0)*10,[1]Hugst!$R$4:$W$4,0))))</f>
        <v>0</v>
      </c>
    </row>
    <row r="91" spans="1:38" x14ac:dyDescent="0.25">
      <c r="A91" t="s">
        <v>177</v>
      </c>
      <c r="B91" t="s">
        <v>23</v>
      </c>
      <c r="C91">
        <v>2047</v>
      </c>
      <c r="D91" cm="1">
        <f t="array" ref="D91">(IF(B91="Vestdanmark",Skovbrug!$C$22-(Skovbrug!$C$22)*(1-Skovbrug!$C$9)^(C91-Skovbrug!$B$12),Skovbrug!$F$22-(Skovbrug!$F$22)*(1-Skovbrug!$C$9)^(C91-Skovbrug!$B$12)))*VLOOKUP(A91,Skovbrug!$A$13:$D$17,IF('Skovbrug-alder'!C91&lt;=År2,3,4),FALSE)
-IF(C91&gt;2020,SUM(INDEX($C$1:$D$311,MATCH(1,(2020=$C$1:$C$311)*(B91=$B$1:$B$311)*(A91=$A$1:$A$311),0),2):D90),0)</f>
        <v>854.98671656979423</v>
      </c>
      <c r="E91">
        <f t="shared" ca="1" si="1"/>
        <v>133.88553700037301</v>
      </c>
      <c r="F91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3430.5389202368347</v>
      </c>
      <c r="G91">
        <f ca="1">IF($C91-G$1&lt;År1,0,F90*(1-VLOOKUP($A91,[1]Hugst!$R$5:$W$9,MATCH(ROUNDUP((G$1)/10,0)*10,[1]Hugst!$R$4:$W$4,0))))</f>
        <v>3428.7245324077153</v>
      </c>
      <c r="H91">
        <f ca="1">IF($C91-H$1&lt;År1,0,G90*(1-VLOOKUP($A91,[1]Hugst!$R$5:$W$9,MATCH(ROUNDUP((H$1)/10,0)*10,[1]Hugst!$R$4:$W$4,0))))</f>
        <v>3426.9249834857178</v>
      </c>
      <c r="I91">
        <f ca="1">IF($C91-I$1&lt;År1,0,H90*(1-VLOOKUP($A91,[1]Hugst!$R$5:$W$9,MATCH(ROUNDUP((I$1)/10,0)*10,[1]Hugst!$R$4:$W$4,0))))</f>
        <v>3425.1403569285535</v>
      </c>
      <c r="J91">
        <f ca="1">IF($C91-J$1&lt;År1,0,I90*(1-VLOOKUP($A91,[1]Hugst!$R$5:$W$9,MATCH(ROUNDUP((J$1)/10,0)*10,[1]Hugst!$R$4:$W$4,0))))</f>
        <v>3423.3707365856276</v>
      </c>
      <c r="K91">
        <f ca="1">IF($C91-K$1&lt;År1,0,J90*(1-VLOOKUP($A91,[1]Hugst!$R$5:$W$9,MATCH(ROUNDUP((K$1)/10,0)*10,[1]Hugst!$R$4:$W$4,0))))</f>
        <v>3421.6162066997854</v>
      </c>
      <c r="L91">
        <f ca="1">IF($C91-L$1&lt;År1,0,K90*(1-VLOOKUP($A91,[1]Hugst!$R$5:$W$9,MATCH(ROUNDUP((L$1)/10,0)*10,[1]Hugst!$R$4:$W$4,0))))</f>
        <v>3419.8768519091204</v>
      </c>
      <c r="M91">
        <f ca="1">IF($C91-M$1&lt;År1,0,L90*(1-VLOOKUP($A91,[1]Hugst!$R$5:$W$9,MATCH(ROUNDUP((M$1)/10,0)*10,[1]Hugst!$R$4:$W$4,0))))</f>
        <v>3418.1527572490772</v>
      </c>
      <c r="N91">
        <f ca="1">IF($C91-N$1&lt;År1,0,M90*(1-VLOOKUP($A91,[1]Hugst!$R$5:$W$9,MATCH(ROUNDUP((N$1)/10,0)*10,[1]Hugst!$R$4:$W$4,0))))</f>
        <v>3413.3919719202563</v>
      </c>
      <c r="O91">
        <f ca="1">IF($C91-O$1&lt;År1,0,N90*(1-VLOOKUP($A91,[1]Hugst!$R$5:$W$9,MATCH(ROUNDUP((O$1)/10,0)*10,[1]Hugst!$R$4:$W$4,0))))</f>
        <v>3409.7772340318656</v>
      </c>
      <c r="P91">
        <f ca="1">IF($C91-P$1&lt;År1,0,O90*(1-VLOOKUP($A91,[1]Hugst!$R$5:$W$9,MATCH(ROUNDUP((P$1)/10,0)*10,[1]Hugst!$R$4:$W$4,0))))</f>
        <v>3400.9695854634551</v>
      </c>
      <c r="Q91">
        <f ca="1">IF($C91-Q$1&lt;År1,0,P90*(1-VLOOKUP($A91,[1]Hugst!$R$5:$W$9,MATCH(ROUNDUP((Q$1)/10,0)*10,[1]Hugst!$R$4:$W$4,0))))</f>
        <v>3392.1838462022215</v>
      </c>
      <c r="R91">
        <f ca="1">IF($C91-R$1&lt;År1,0,Q90*(1-VLOOKUP($A91,[1]Hugst!$R$5:$W$9,MATCH(ROUNDUP((R$1)/10,0)*10,[1]Hugst!$R$4:$W$4,0))))</f>
        <v>3383.4200124183758</v>
      </c>
      <c r="S91">
        <f ca="1">IF($C91-S$1&lt;År1,0,R90*(1-VLOOKUP($A91,[1]Hugst!$R$5:$W$9,MATCH(ROUNDUP((S$1)/10,0)*10,[1]Hugst!$R$4:$W$4,0))))</f>
        <v>3374.6780803912811</v>
      </c>
      <c r="T91">
        <f ca="1">IF($C91-T$1&lt;År1,0,S90*(1-VLOOKUP($A91,[1]Hugst!$R$5:$W$9,MATCH(ROUNDUP((T$1)/10,0)*10,[1]Hugst!$R$4:$W$4,0))))</f>
        <v>3365.9580465097706</v>
      </c>
      <c r="U91">
        <f ca="1">IF($C91-U$1&lt;År1,0,T90*(1-VLOOKUP($A91,[1]Hugst!$R$5:$W$9,MATCH(ROUNDUP((U$1)/10,0)*10,[1]Hugst!$R$4:$W$4,0))))</f>
        <v>3357.2599072721855</v>
      </c>
      <c r="V91">
        <f ca="1">IF($C91-V$1&lt;År1,0,U90*(1-VLOOKUP($A91,[1]Hugst!$R$5:$W$9,MATCH(ROUNDUP((V$1)/10,0)*10,[1]Hugst!$R$4:$W$4,0))))</f>
        <v>3348.583659286528</v>
      </c>
      <c r="W91">
        <f ca="1">IF($C91-W$1&lt;År1,0,V90*(1-VLOOKUP($A91,[1]Hugst!$R$5:$W$9,MATCH(ROUNDUP((W$1)/10,0)*10,[1]Hugst!$R$4:$W$4,0))))</f>
        <v>5313.4072902806074</v>
      </c>
      <c r="X91">
        <f ca="1">IF($C91-X$1&lt;År1,0,W90*(1-VLOOKUP($A91,[1]Hugst!$R$5:$W$9,MATCH(ROUNDUP((X$1)/10,0)*10,[1]Hugst!$R$4:$W$4,0))))</f>
        <v>5301.7644249075111</v>
      </c>
      <c r="Y91">
        <f ca="1">IF($C91-Y$1&lt;År1,0,X90*(1-VLOOKUP($A91,[1]Hugst!$R$5:$W$9,MATCH(ROUNDUP((Y$1)/10,0)*10,[1]Hugst!$R$4:$W$4,0))))</f>
        <v>5298.3078401519961</v>
      </c>
      <c r="Z91">
        <f ca="1">IF($C91-Z$1&lt;År1,0,Y90*(1-VLOOKUP($A91,[1]Hugst!$R$5:$W$9,MATCH(ROUNDUP((Z$1)/10,0)*10,[1]Hugst!$R$4:$W$4,0))))</f>
        <v>5293.7491903680584</v>
      </c>
      <c r="AA91">
        <f ca="1">IF($C91-AA$1&lt;År1,0,Z90*(1-VLOOKUP($A91,[1]Hugst!$R$5:$W$9,MATCH(ROUNDUP((AA$1)/10,0)*10,[1]Hugst!$R$4:$W$4,0))))</f>
        <v>5289.2136951284765</v>
      </c>
      <c r="AB91">
        <f ca="1">IF($C91-AB$1&lt;År1,0,AA90*(1-VLOOKUP($A91,[1]Hugst!$R$5:$W$9,MATCH(ROUNDUP((AB$1)/10,0)*10,[1]Hugst!$R$4:$W$4,0))))</f>
        <v>5284.7013641638687</v>
      </c>
      <c r="AC91">
        <f ca="1">IF($C91-AC$1&lt;År1,0,AB90*(1-VLOOKUP($A91,[1]Hugst!$R$5:$W$9,MATCH(ROUNDUP((AC$1)/10,0)*10,[1]Hugst!$R$4:$W$4,0))))</f>
        <v>5280.2122073517539</v>
      </c>
      <c r="AD91">
        <f ca="1">IF($C91-AD$1&lt;År1,0,AC90*(1-VLOOKUP($A91,[1]Hugst!$R$5:$W$9,MATCH(ROUNDUP((AD$1)/10,0)*10,[1]Hugst!$R$4:$W$4,0))))</f>
        <v>5275.746234716843</v>
      </c>
      <c r="AE91">
        <f ca="1">IF($C91-AE$1&lt;År1,0,AD90*(1-VLOOKUP($A91,[1]Hugst!$R$5:$W$9,MATCH(ROUNDUP((AE$1)/10,0)*10,[1]Hugst!$R$4:$W$4,0))))</f>
        <v>5271.3034564313275</v>
      </c>
      <c r="AF91">
        <f ca="1">IF($C91-AF$1&lt;År1,0,AE90*(1-VLOOKUP($A91,[1]Hugst!$R$5:$W$9,MATCH(ROUNDUP((AF$1)/10,0)*10,[1]Hugst!$R$4:$W$4,0))))</f>
        <v>5266.8838828151138</v>
      </c>
      <c r="AG91">
        <f ca="1">IF($C91-AG$1&lt;År1,0,AF90*(1-VLOOKUP($A91,[1]Hugst!$R$5:$W$9,MATCH(ROUNDUP((AG$1)/10,0)*10,[1]Hugst!$R$4:$W$4,0))))</f>
        <v>5262.4875243362758</v>
      </c>
      <c r="AH91">
        <f>IF($C91-AH$1&lt;År1,0,AG90*(1-VLOOKUP($A91,[1]Hugst!$R$5:$W$9,MATCH(ROUNDUP((AH$1)/10,0)*10,[1]Hugst!$R$4:$W$4,0))))</f>
        <v>0</v>
      </c>
      <c r="AI91">
        <f>IF($C91-AI$1&lt;År1,0,AH90*(1-VLOOKUP($A91,[1]Hugst!$R$5:$W$9,MATCH(ROUNDUP((AI$1)/10,0)*10,[1]Hugst!$R$4:$W$4,0))))</f>
        <v>0</v>
      </c>
      <c r="AJ91">
        <f>IF($C91-AJ$1&lt;År1,0,AI90*(1-VLOOKUP($A91,[1]Hugst!$R$5:$W$9,MATCH(ROUNDUP((AJ$1)/10,0)*10,[1]Hugst!$R$4:$W$4,0))))</f>
        <v>0</v>
      </c>
    </row>
    <row r="92" spans="1:38" x14ac:dyDescent="0.25">
      <c r="A92" t="s">
        <v>177</v>
      </c>
      <c r="B92" t="s">
        <v>23</v>
      </c>
      <c r="C92">
        <v>2048</v>
      </c>
      <c r="D92" cm="1">
        <f t="array" ref="D92">(IF(B92="Vestdanmark",Skovbrug!$C$22-(Skovbrug!$C$22)*(1-Skovbrug!$C$9)^(C92-Skovbrug!$B$12),Skovbrug!$F$22-(Skovbrug!$F$22)*(1-Skovbrug!$C$9)^(C92-Skovbrug!$B$12)))*VLOOKUP(A92,Skovbrug!$A$13:$D$17,IF('Skovbrug-alder'!C92&lt;=År2,3,4),FALSE)
-IF(C92&gt;2020,SUM(INDEX($C$1:$D$311,MATCH(1,(2020=$C$1:$C$311)*(B92=$B$1:$B$311)*(A92=$A$1:$A$311),0),2):D91),0)</f>
        <v>850.71178298697123</v>
      </c>
      <c r="E92">
        <f t="shared" ca="1" si="1"/>
        <v>139.9896142516227</v>
      </c>
      <c r="F92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3432.3680639052614</v>
      </c>
      <c r="G92">
        <f ca="1">IF($C92-G$1&lt;År1,0,F91*(1-VLOOKUP($A92,[1]Hugst!$R$5:$W$9,MATCH(ROUNDUP((G$1)/10,0)*10,[1]Hugst!$R$4:$W$4,0))))</f>
        <v>3430.5389202368347</v>
      </c>
      <c r="H92">
        <f ca="1">IF($C92-H$1&lt;År1,0,G91*(1-VLOOKUP($A92,[1]Hugst!$R$5:$W$9,MATCH(ROUNDUP((H$1)/10,0)*10,[1]Hugst!$R$4:$W$4,0))))</f>
        <v>3428.7245324077153</v>
      </c>
      <c r="I92">
        <f ca="1">IF($C92-I$1&lt;År1,0,H91*(1-VLOOKUP($A92,[1]Hugst!$R$5:$W$9,MATCH(ROUNDUP((I$1)/10,0)*10,[1]Hugst!$R$4:$W$4,0))))</f>
        <v>3426.9249834857178</v>
      </c>
      <c r="J92">
        <f ca="1">IF($C92-J$1&lt;År1,0,I91*(1-VLOOKUP($A92,[1]Hugst!$R$5:$W$9,MATCH(ROUNDUP((J$1)/10,0)*10,[1]Hugst!$R$4:$W$4,0))))</f>
        <v>3425.1403569285535</v>
      </c>
      <c r="K92">
        <f ca="1">IF($C92-K$1&lt;År1,0,J91*(1-VLOOKUP($A92,[1]Hugst!$R$5:$W$9,MATCH(ROUNDUP((K$1)/10,0)*10,[1]Hugst!$R$4:$W$4,0))))</f>
        <v>3423.3707365856276</v>
      </c>
      <c r="L92">
        <f ca="1">IF($C92-L$1&lt;År1,0,K91*(1-VLOOKUP($A92,[1]Hugst!$R$5:$W$9,MATCH(ROUNDUP((L$1)/10,0)*10,[1]Hugst!$R$4:$W$4,0))))</f>
        <v>3421.6162066997854</v>
      </c>
      <c r="M92">
        <f ca="1">IF($C92-M$1&lt;År1,0,L91*(1-VLOOKUP($A92,[1]Hugst!$R$5:$W$9,MATCH(ROUNDUP((M$1)/10,0)*10,[1]Hugst!$R$4:$W$4,0))))</f>
        <v>3419.8768519091204</v>
      </c>
      <c r="N92">
        <f ca="1">IF($C92-N$1&lt;År1,0,M91*(1-VLOOKUP($A92,[1]Hugst!$R$5:$W$9,MATCH(ROUNDUP((N$1)/10,0)*10,[1]Hugst!$R$4:$W$4,0))))</f>
        <v>3418.1527572490772</v>
      </c>
      <c r="O92">
        <f ca="1">IF($C92-O$1&lt;År1,0,N91*(1-VLOOKUP($A92,[1]Hugst!$R$5:$W$9,MATCH(ROUNDUP((O$1)/10,0)*10,[1]Hugst!$R$4:$W$4,0))))</f>
        <v>3413.3919719202563</v>
      </c>
      <c r="P92">
        <f ca="1">IF($C92-P$1&lt;År1,0,O91*(1-VLOOKUP($A92,[1]Hugst!$R$5:$W$9,MATCH(ROUNDUP((P$1)/10,0)*10,[1]Hugst!$R$4:$W$4,0))))</f>
        <v>3404.5758789291049</v>
      </c>
      <c r="Q92">
        <f ca="1">IF($C92-Q$1&lt;År1,0,P91*(1-VLOOKUP($A92,[1]Hugst!$R$5:$W$9,MATCH(ROUNDUP((Q$1)/10,0)*10,[1]Hugst!$R$4:$W$4,0))))</f>
        <v>3395.781665756816</v>
      </c>
      <c r="R92">
        <f ca="1">IF($C92-R$1&lt;År1,0,Q91*(1-VLOOKUP($A92,[1]Hugst!$R$5:$W$9,MATCH(ROUNDUP((R$1)/10,0)*10,[1]Hugst!$R$4:$W$4,0))))</f>
        <v>3387.0093284707264</v>
      </c>
      <c r="S92">
        <f ca="1">IF($C92-S$1&lt;År1,0,R91*(1-VLOOKUP($A92,[1]Hugst!$R$5:$W$9,MATCH(ROUNDUP((S$1)/10,0)*10,[1]Hugst!$R$4:$W$4,0))))</f>
        <v>3378.2588632468901</v>
      </c>
      <c r="T92">
        <f ca="1">IF($C92-T$1&lt;År1,0,S91*(1-VLOOKUP($A92,[1]Hugst!$R$5:$W$9,MATCH(ROUNDUP((T$1)/10,0)*10,[1]Hugst!$R$4:$W$4,0))))</f>
        <v>3369.5302663703451</v>
      </c>
      <c r="U92">
        <f ca="1">IF($C92-U$1&lt;År1,0,T91*(1-VLOOKUP($A92,[1]Hugst!$R$5:$W$9,MATCH(ROUNDUP((U$1)/10,0)*10,[1]Hugst!$R$4:$W$4,0))))</f>
        <v>3360.8235342354337</v>
      </c>
      <c r="V92">
        <f ca="1">IF($C92-V$1&lt;År1,0,U91*(1-VLOOKUP($A92,[1]Hugst!$R$5:$W$9,MATCH(ROUNDUP((V$1)/10,0)*10,[1]Hugst!$R$4:$W$4,0))))</f>
        <v>3352.1386633458378</v>
      </c>
      <c r="W92">
        <f ca="1">IF($C92-W$1&lt;År1,0,V91*(1-VLOOKUP($A92,[1]Hugst!$R$5:$W$9,MATCH(ROUNDUP((W$1)/10,0)*10,[1]Hugst!$R$4:$W$4,0))))</f>
        <v>3343.475650314735</v>
      </c>
      <c r="X92">
        <f ca="1">IF($C92-X$1&lt;År1,0,W91*(1-VLOOKUP($A92,[1]Hugst!$R$5:$W$9,MATCH(ROUNDUP((X$1)/10,0)*10,[1]Hugst!$R$4:$W$4,0))))</f>
        <v>5305.3020927191619</v>
      </c>
      <c r="Y92">
        <f ca="1">IF($C92-Y$1&lt;År1,0,X91*(1-VLOOKUP($A92,[1]Hugst!$R$5:$W$9,MATCH(ROUNDUP((Y$1)/10,0)*10,[1]Hugst!$R$4:$W$4,0))))</f>
        <v>5293.6769876491771</v>
      </c>
      <c r="Z92">
        <f ca="1">IF($C92-Z$1&lt;År1,0,Y91*(1-VLOOKUP($A92,[1]Hugst!$R$5:$W$9,MATCH(ROUNDUP((Z$1)/10,0)*10,[1]Hugst!$R$4:$W$4,0))))</f>
        <v>5289.1031528025796</v>
      </c>
      <c r="AA92">
        <f ca="1">IF($C92-AA$1&lt;År1,0,Z91*(1-VLOOKUP($A92,[1]Hugst!$R$5:$W$9,MATCH(ROUNDUP((AA$1)/10,0)*10,[1]Hugst!$R$4:$W$4,0))))</f>
        <v>5284.5524227068254</v>
      </c>
      <c r="AB92">
        <f ca="1">IF($C92-AB$1&lt;År1,0,AA91*(1-VLOOKUP($A92,[1]Hugst!$R$5:$W$9,MATCH(ROUNDUP((AB$1)/10,0)*10,[1]Hugst!$R$4:$W$4,0))))</f>
        <v>5280.024806929312</v>
      </c>
      <c r="AC92">
        <f ca="1">IF($C92-AC$1&lt;År1,0,AB91*(1-VLOOKUP($A92,[1]Hugst!$R$5:$W$9,MATCH(ROUNDUP((AC$1)/10,0)*10,[1]Hugst!$R$4:$W$4,0))))</f>
        <v>5275.5203151837532</v>
      </c>
      <c r="AD92">
        <f ca="1">IF($C92-AD$1&lt;År1,0,AC91*(1-VLOOKUP($A92,[1]Hugst!$R$5:$W$9,MATCH(ROUNDUP((AD$1)/10,0)*10,[1]Hugst!$R$4:$W$4,0))))</f>
        <v>5271.0389573305074</v>
      </c>
      <c r="AE92">
        <f ca="1">IF($C92-AE$1&lt;År1,0,AD91*(1-VLOOKUP($A92,[1]Hugst!$R$5:$W$9,MATCH(ROUNDUP((AE$1)/10,0)*10,[1]Hugst!$R$4:$W$4,0))))</f>
        <v>5266.5807433768687</v>
      </c>
      <c r="AF92">
        <f ca="1">IF($C92-AF$1&lt;År1,0,AE91*(1-VLOOKUP($A92,[1]Hugst!$R$5:$W$9,MATCH(ROUNDUP((AF$1)/10,0)*10,[1]Hugst!$R$4:$W$4,0))))</f>
        <v>5262.145683477358</v>
      </c>
      <c r="AG92">
        <f ca="1">IF($C92-AG$1&lt;År1,0,AF91*(1-VLOOKUP($A92,[1]Hugst!$R$5:$W$9,MATCH(ROUNDUP((AG$1)/10,0)*10,[1]Hugst!$R$4:$W$4,0))))</f>
        <v>5257.733787933952</v>
      </c>
      <c r="AH92">
        <f ca="1">IF($C92-AH$1&lt;År1,0,AG91*(1-VLOOKUP($A92,[1]Hugst!$R$5:$W$9,MATCH(ROUNDUP((AH$1)/10,0)*10,[1]Hugst!$R$4:$W$4,0))))</f>
        <v>5253.3450671965384</v>
      </c>
      <c r="AI92">
        <f>IF($C92-AI$1&lt;År1,0,AH91*(1-VLOOKUP($A92,[1]Hugst!$R$5:$W$9,MATCH(ROUNDUP((AI$1)/10,0)*10,[1]Hugst!$R$4:$W$4,0))))</f>
        <v>0</v>
      </c>
      <c r="AJ92">
        <f>IF($C92-AJ$1&lt;År1,0,AI91*(1-VLOOKUP($A92,[1]Hugst!$R$5:$W$9,MATCH(ROUNDUP((AJ$1)/10,0)*10,[1]Hugst!$R$4:$W$4,0))))</f>
        <v>0</v>
      </c>
    </row>
    <row r="93" spans="1:38" x14ac:dyDescent="0.25">
      <c r="A93" t="s">
        <v>177</v>
      </c>
      <c r="B93" t="s">
        <v>23</v>
      </c>
      <c r="C93">
        <v>2049</v>
      </c>
      <c r="D93" cm="1">
        <f t="array" ref="D93">(IF(B93="Vestdanmark",Skovbrug!$C$22-(Skovbrug!$C$22)*(1-Skovbrug!$C$9)^(C93-Skovbrug!$B$12),Skovbrug!$F$22-(Skovbrug!$F$22)*(1-Skovbrug!$C$9)^(C93-Skovbrug!$B$12)))*VLOOKUP(A93,Skovbrug!$A$13:$D$17,IF('Skovbrug-alder'!C93&lt;=År2,3,4),FALSE)
-IF(C93&gt;2020,SUM(INDEX($C$1:$D$311,MATCH(1,(2020=$C$1:$C$311)*(B93=$B$1:$B$311)*(A93=$A$1:$A$311),0),2):D92),0)</f>
        <v>846.45822407204105</v>
      </c>
      <c r="E93">
        <f t="shared" ca="1" si="1"/>
        <v>146.08698999402986</v>
      </c>
      <c r="F93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3434.2118807327383</v>
      </c>
      <c r="G93">
        <f ca="1">IF($C93-G$1&lt;År1,0,F92*(1-VLOOKUP($A93,[1]Hugst!$R$5:$W$9,MATCH(ROUNDUP((G$1)/10,0)*10,[1]Hugst!$R$4:$W$4,0))))</f>
        <v>3432.3680639052614</v>
      </c>
      <c r="H93">
        <f ca="1">IF($C93-H$1&lt;År1,0,G92*(1-VLOOKUP($A93,[1]Hugst!$R$5:$W$9,MATCH(ROUNDUP((H$1)/10,0)*10,[1]Hugst!$R$4:$W$4,0))))</f>
        <v>3430.5389202368347</v>
      </c>
      <c r="I93">
        <f ca="1">IF($C93-I$1&lt;År1,0,H92*(1-VLOOKUP($A93,[1]Hugst!$R$5:$W$9,MATCH(ROUNDUP((I$1)/10,0)*10,[1]Hugst!$R$4:$W$4,0))))</f>
        <v>3428.7245324077153</v>
      </c>
      <c r="J93">
        <f ca="1">IF($C93-J$1&lt;År1,0,I92*(1-VLOOKUP($A93,[1]Hugst!$R$5:$W$9,MATCH(ROUNDUP((J$1)/10,0)*10,[1]Hugst!$R$4:$W$4,0))))</f>
        <v>3426.9249834857178</v>
      </c>
      <c r="K93">
        <f ca="1">IF($C93-K$1&lt;År1,0,J92*(1-VLOOKUP($A93,[1]Hugst!$R$5:$W$9,MATCH(ROUNDUP((K$1)/10,0)*10,[1]Hugst!$R$4:$W$4,0))))</f>
        <v>3425.1403569285535</v>
      </c>
      <c r="L93">
        <f ca="1">IF($C93-L$1&lt;År1,0,K92*(1-VLOOKUP($A93,[1]Hugst!$R$5:$W$9,MATCH(ROUNDUP((L$1)/10,0)*10,[1]Hugst!$R$4:$W$4,0))))</f>
        <v>3423.3707365856276</v>
      </c>
      <c r="M93">
        <f ca="1">IF($C93-M$1&lt;År1,0,L92*(1-VLOOKUP($A93,[1]Hugst!$R$5:$W$9,MATCH(ROUNDUP((M$1)/10,0)*10,[1]Hugst!$R$4:$W$4,0))))</f>
        <v>3421.6162066997854</v>
      </c>
      <c r="N93">
        <f ca="1">IF($C93-N$1&lt;År1,0,M92*(1-VLOOKUP($A93,[1]Hugst!$R$5:$W$9,MATCH(ROUNDUP((N$1)/10,0)*10,[1]Hugst!$R$4:$W$4,0))))</f>
        <v>3419.8768519091204</v>
      </c>
      <c r="O93">
        <f ca="1">IF($C93-O$1&lt;År1,0,N92*(1-VLOOKUP($A93,[1]Hugst!$R$5:$W$9,MATCH(ROUNDUP((O$1)/10,0)*10,[1]Hugst!$R$4:$W$4,0))))</f>
        <v>3418.1527572490772</v>
      </c>
      <c r="P93">
        <f ca="1">IF($C93-P$1&lt;År1,0,O92*(1-VLOOKUP($A93,[1]Hugst!$R$5:$W$9,MATCH(ROUNDUP((P$1)/10,0)*10,[1]Hugst!$R$4:$W$4,0))))</f>
        <v>3408.1851028105475</v>
      </c>
      <c r="Q93">
        <f ca="1">IF($C93-Q$1&lt;År1,0,P92*(1-VLOOKUP($A93,[1]Hugst!$R$5:$W$9,MATCH(ROUNDUP((Q$1)/10,0)*10,[1]Hugst!$R$4:$W$4,0))))</f>
        <v>3399.3824580968399</v>
      </c>
      <c r="R93">
        <f ca="1">IF($C93-R$1&lt;År1,0,Q92*(1-VLOOKUP($A93,[1]Hugst!$R$5:$W$9,MATCH(ROUNDUP((R$1)/10,0)*10,[1]Hugst!$R$4:$W$4,0))))</f>
        <v>3390.6016598260003</v>
      </c>
      <c r="S93">
        <f ca="1">IF($C93-S$1&lt;År1,0,R92*(1-VLOOKUP($A93,[1]Hugst!$R$5:$W$9,MATCH(ROUNDUP((S$1)/10,0)*10,[1]Hugst!$R$4:$W$4,0))))</f>
        <v>3381.8427040713641</v>
      </c>
      <c r="T93">
        <f ca="1">IF($C93-T$1&lt;År1,0,S92*(1-VLOOKUP($A93,[1]Hugst!$R$5:$W$9,MATCH(ROUNDUP((T$1)/10,0)*10,[1]Hugst!$R$4:$W$4,0))))</f>
        <v>3373.1055870148184</v>
      </c>
      <c r="U93">
        <f ca="1">IF($C93-U$1&lt;År1,0,T92*(1-VLOOKUP($A93,[1]Hugst!$R$5:$W$9,MATCH(ROUNDUP((U$1)/10,0)*10,[1]Hugst!$R$4:$W$4,0))))</f>
        <v>3364.3903049470682</v>
      </c>
      <c r="V93">
        <f ca="1">IF($C93-V$1&lt;År1,0,U92*(1-VLOOKUP($A93,[1]Hugst!$R$5:$W$9,MATCH(ROUNDUP((V$1)/10,0)*10,[1]Hugst!$R$4:$W$4,0))))</f>
        <v>3355.696854267956</v>
      </c>
      <c r="W93">
        <f ca="1">IF($C93-W$1&lt;År1,0,V92*(1-VLOOKUP($A93,[1]Hugst!$R$5:$W$9,MATCH(ROUNDUP((W$1)/10,0)*10,[1]Hugst!$R$4:$W$4,0))))</f>
        <v>3347.0252314864965</v>
      </c>
      <c r="X93">
        <f ca="1">IF($C93-X$1&lt;År1,0,W92*(1-VLOOKUP($A93,[1]Hugst!$R$5:$W$9,MATCH(ROUNDUP((X$1)/10,0)*10,[1]Hugst!$R$4:$W$4,0))))</f>
        <v>3338.3754332210347</v>
      </c>
      <c r="Y93">
        <f ca="1">IF($C93-Y$1&lt;År1,0,X92*(1-VLOOKUP($A93,[1]Hugst!$R$5:$W$9,MATCH(ROUNDUP((Y$1)/10,0)*10,[1]Hugst!$R$4:$W$4,0))))</f>
        <v>5297.2092590184038</v>
      </c>
      <c r="Z93">
        <f ca="1">IF($C93-Z$1&lt;År1,0,Y92*(1-VLOOKUP($A93,[1]Hugst!$R$5:$W$9,MATCH(ROUNDUP((Z$1)/10,0)*10,[1]Hugst!$R$4:$W$4,0))))</f>
        <v>5284.4803454248713</v>
      </c>
      <c r="AA93">
        <f ca="1">IF($C93-AA$1&lt;År1,0,Z92*(1-VLOOKUP($A93,[1]Hugst!$R$5:$W$9,MATCH(ROUNDUP((AA$1)/10,0)*10,[1]Hugst!$R$4:$W$4,0))))</f>
        <v>5279.9144566472869</v>
      </c>
      <c r="AB93">
        <f ca="1">IF($C93-AB$1&lt;År1,0,AA92*(1-VLOOKUP($A93,[1]Hugst!$R$5:$W$9,MATCH(ROUNDUP((AB$1)/10,0)*10,[1]Hugst!$R$4:$W$4,0))))</f>
        <v>5275.3716324809366</v>
      </c>
      <c r="AC93">
        <f ca="1">IF($C93-AC$1&lt;År1,0,AB92*(1-VLOOKUP($A93,[1]Hugst!$R$5:$W$9,MATCH(ROUNDUP((AC$1)/10,0)*10,[1]Hugst!$R$4:$W$4,0))))</f>
        <v>5270.8518824765961</v>
      </c>
      <c r="AD93">
        <f ca="1">IF($C93-AD$1&lt;År1,0,AC92*(1-VLOOKUP($A93,[1]Hugst!$R$5:$W$9,MATCH(ROUNDUP((AD$1)/10,0)*10,[1]Hugst!$R$4:$W$4,0))))</f>
        <v>5266.3552163311033</v>
      </c>
      <c r="AE93">
        <f ca="1">IF($C93-AE$1&lt;År1,0,AD92*(1-VLOOKUP($A93,[1]Hugst!$R$5:$W$9,MATCH(ROUNDUP((AE$1)/10,0)*10,[1]Hugst!$R$4:$W$4,0))))</f>
        <v>5261.8816438876875</v>
      </c>
      <c r="AF93">
        <f ca="1">IF($C93-AF$1&lt;År1,0,AE92*(1-VLOOKUP($A93,[1]Hugst!$R$5:$W$9,MATCH(ROUNDUP((AF$1)/10,0)*10,[1]Hugst!$R$4:$W$4,0))))</f>
        <v>5257.4311751362557</v>
      </c>
      <c r="AG93">
        <f ca="1">IF($C93-AG$1&lt;År1,0,AF92*(1-VLOOKUP($A93,[1]Hugst!$R$5:$W$9,MATCH(ROUNDUP((AG$1)/10,0)*10,[1]Hugst!$R$4:$W$4,0))))</f>
        <v>5253.0038202136893</v>
      </c>
      <c r="AH93">
        <f ca="1">IF($C93-AH$1&lt;År1,0,AG92*(1-VLOOKUP($A93,[1]Hugst!$R$5:$W$9,MATCH(ROUNDUP((AH$1)/10,0)*10,[1]Hugst!$R$4:$W$4,0))))</f>
        <v>5248.5995894040661</v>
      </c>
      <c r="AI93">
        <f ca="1">IF($C93-AI$1&lt;År1,0,AH92*(1-VLOOKUP($A93,[1]Hugst!$R$5:$W$9,MATCH(ROUNDUP((AI$1)/10,0)*10,[1]Hugst!$R$4:$W$4,0))))</f>
        <v>5244.2184931391203</v>
      </c>
      <c r="AJ93">
        <f>IF($C93-AJ$1&lt;År1,0,AI92*(1-VLOOKUP($A93,[1]Hugst!$R$5:$W$9,MATCH(ROUNDUP((AJ$1)/10,0)*10,[1]Hugst!$R$4:$W$4,0))))</f>
        <v>0</v>
      </c>
    </row>
    <row r="94" spans="1:38" x14ac:dyDescent="0.25">
      <c r="A94" t="s">
        <v>177</v>
      </c>
      <c r="B94" t="s">
        <v>23</v>
      </c>
      <c r="C94">
        <v>2050</v>
      </c>
      <c r="D94" cm="1">
        <f t="array" ref="D94">(IF(B94="Vestdanmark",Skovbrug!$C$22-(Skovbrug!$C$22)*(1-Skovbrug!$C$9)^(C94-Skovbrug!$B$12),Skovbrug!$F$22-(Skovbrug!$F$22)*(1-Skovbrug!$C$9)^(C94-Skovbrug!$B$12)))*VLOOKUP(A94,Skovbrug!$A$13:$D$17,IF('Skovbrug-alder'!C94&lt;=År2,3,4),FALSE)
-IF(C94&gt;2020,SUM(INDEX($C$1:$D$311,MATCH(1,(2020=$C$1:$C$311)*(B94=$B$1:$B$311)*(A94=$A$1:$A$311),0),2):D93),0)</f>
        <v>842.22593295169281</v>
      </c>
      <c r="E94">
        <f t="shared" ca="1" si="1"/>
        <v>147.73690421888023</v>
      </c>
      <c r="F94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3431.6295038372405</v>
      </c>
      <c r="G94">
        <f ca="1">IF($C94-G$1&lt;År1,0,F93*(1-VLOOKUP($A94,[1]Hugst!$R$5:$W$9,MATCH(ROUNDUP((G$1)/10,0)*10,[1]Hugst!$R$4:$W$4,0))))</f>
        <v>3434.2118807327383</v>
      </c>
      <c r="H94">
        <f ca="1">IF($C94-H$1&lt;År1,0,G93*(1-VLOOKUP($A94,[1]Hugst!$R$5:$W$9,MATCH(ROUNDUP((H$1)/10,0)*10,[1]Hugst!$R$4:$W$4,0))))</f>
        <v>3432.3680639052614</v>
      </c>
      <c r="I94">
        <f ca="1">IF($C94-I$1&lt;År1,0,H93*(1-VLOOKUP($A94,[1]Hugst!$R$5:$W$9,MATCH(ROUNDUP((I$1)/10,0)*10,[1]Hugst!$R$4:$W$4,0))))</f>
        <v>3430.5389202368347</v>
      </c>
      <c r="J94">
        <f ca="1">IF($C94-J$1&lt;År1,0,I93*(1-VLOOKUP($A94,[1]Hugst!$R$5:$W$9,MATCH(ROUNDUP((J$1)/10,0)*10,[1]Hugst!$R$4:$W$4,0))))</f>
        <v>3428.7245324077153</v>
      </c>
      <c r="K94">
        <f ca="1">IF($C94-K$1&lt;År1,0,J93*(1-VLOOKUP($A94,[1]Hugst!$R$5:$W$9,MATCH(ROUNDUP((K$1)/10,0)*10,[1]Hugst!$R$4:$W$4,0))))</f>
        <v>3426.9249834857178</v>
      </c>
      <c r="L94">
        <f ca="1">IF($C94-L$1&lt;År1,0,K93*(1-VLOOKUP($A94,[1]Hugst!$R$5:$W$9,MATCH(ROUNDUP((L$1)/10,0)*10,[1]Hugst!$R$4:$W$4,0))))</f>
        <v>3425.1403569285535</v>
      </c>
      <c r="M94">
        <f ca="1">IF($C94-M$1&lt;År1,0,L93*(1-VLOOKUP($A94,[1]Hugst!$R$5:$W$9,MATCH(ROUNDUP((M$1)/10,0)*10,[1]Hugst!$R$4:$W$4,0))))</f>
        <v>3423.3707365856276</v>
      </c>
      <c r="N94">
        <f ca="1">IF($C94-N$1&lt;År1,0,M93*(1-VLOOKUP($A94,[1]Hugst!$R$5:$W$9,MATCH(ROUNDUP((N$1)/10,0)*10,[1]Hugst!$R$4:$W$4,0))))</f>
        <v>3421.6162066997854</v>
      </c>
      <c r="O94">
        <f ca="1">IF($C94-O$1&lt;År1,0,N93*(1-VLOOKUP($A94,[1]Hugst!$R$5:$W$9,MATCH(ROUNDUP((O$1)/10,0)*10,[1]Hugst!$R$4:$W$4,0))))</f>
        <v>3419.8768519091204</v>
      </c>
      <c r="P94">
        <f ca="1">IF($C94-P$1&lt;År1,0,O93*(1-VLOOKUP($A94,[1]Hugst!$R$5:$W$9,MATCH(ROUNDUP((P$1)/10,0)*10,[1]Hugst!$R$4:$W$4,0))))</f>
        <v>3412.9386259244598</v>
      </c>
      <c r="Q94">
        <f ca="1">IF($C94-Q$1&lt;År1,0,P93*(1-VLOOKUP($A94,[1]Hugst!$R$5:$W$9,MATCH(ROUNDUP((Q$1)/10,0)*10,[1]Hugst!$R$4:$W$4,0))))</f>
        <v>3402.9861763825311</v>
      </c>
      <c r="R94">
        <f ca="1">IF($C94-R$1&lt;År1,0,Q93*(1-VLOOKUP($A94,[1]Hugst!$R$5:$W$9,MATCH(ROUNDUP((R$1)/10,0)*10,[1]Hugst!$R$4:$W$4,0))))</f>
        <v>3394.1969594319462</v>
      </c>
      <c r="S94">
        <f ca="1">IF($C94-S$1&lt;År1,0,R93*(1-VLOOKUP($A94,[1]Hugst!$R$5:$W$9,MATCH(ROUNDUP((S$1)/10,0)*10,[1]Hugst!$R$4:$W$4,0))))</f>
        <v>3385.4295555991471</v>
      </c>
      <c r="T94">
        <f ca="1">IF($C94-T$1&lt;År1,0,S93*(1-VLOOKUP($A94,[1]Hugst!$R$5:$W$9,MATCH(ROUNDUP((T$1)/10,0)*10,[1]Hugst!$R$4:$W$4,0))))</f>
        <v>3376.6839609634585</v>
      </c>
      <c r="U94">
        <f ca="1">IF($C94-U$1&lt;År1,0,T93*(1-VLOOKUP($A94,[1]Hugst!$R$5:$W$9,MATCH(ROUNDUP((U$1)/10,0)*10,[1]Hugst!$R$4:$W$4,0))))</f>
        <v>3367.9601717125925</v>
      </c>
      <c r="V94">
        <f ca="1">IF($C94-V$1&lt;År1,0,U93*(1-VLOOKUP($A94,[1]Hugst!$R$5:$W$9,MATCH(ROUNDUP((V$1)/10,0)*10,[1]Hugst!$R$4:$W$4,0))))</f>
        <v>3359.2581841429114</v>
      </c>
      <c r="W94">
        <f ca="1">IF($C94-W$1&lt;År1,0,V93*(1-VLOOKUP($A94,[1]Hugst!$R$5:$W$9,MATCH(ROUNDUP((W$1)/10,0)*10,[1]Hugst!$R$4:$W$4,0))))</f>
        <v>3350.5779946597504</v>
      </c>
      <c r="X94">
        <f ca="1">IF($C94-X$1&lt;År1,0,W93*(1-VLOOKUP($A94,[1]Hugst!$R$5:$W$9,MATCH(ROUNDUP((X$1)/10,0)*10,[1]Hugst!$R$4:$W$4,0))))</f>
        <v>3341.9195997774491</v>
      </c>
      <c r="Y94">
        <f ca="1">IF($C94-Y$1&lt;År1,0,X93*(1-VLOOKUP($A94,[1]Hugst!$R$5:$W$9,MATCH(ROUNDUP((Y$1)/10,0)*10,[1]Hugst!$R$4:$W$4,0))))</f>
        <v>3333.2829961195112</v>
      </c>
      <c r="Z94">
        <f ca="1">IF($C94-Z$1&lt;År1,0,Y93*(1-VLOOKUP($A94,[1]Hugst!$R$5:$W$9,MATCH(ROUNDUP((Z$1)/10,0)*10,[1]Hugst!$R$4:$W$4,0))))</f>
        <v>5288.0064802209563</v>
      </c>
      <c r="AA94">
        <f ca="1">IF($C94-AA$1&lt;År1,0,Z93*(1-VLOOKUP($A94,[1]Hugst!$R$5:$W$9,MATCH(ROUNDUP((AA$1)/10,0)*10,[1]Hugst!$R$4:$W$4,0))))</f>
        <v>5275.2996804179893</v>
      </c>
      <c r="AB94">
        <f ca="1">IF($C94-AB$1&lt;År1,0,AA93*(1-VLOOKUP($A94,[1]Hugst!$R$5:$W$9,MATCH(ROUNDUP((AB$1)/10,0)*10,[1]Hugst!$R$4:$W$4,0))))</f>
        <v>5270.7417239048063</v>
      </c>
      <c r="AC94">
        <f ca="1">IF($C94-AC$1&lt;År1,0,AB93*(1-VLOOKUP($A94,[1]Hugst!$R$5:$W$9,MATCH(ROUNDUP((AC$1)/10,0)*10,[1]Hugst!$R$4:$W$4,0))))</f>
        <v>5266.206791932982</v>
      </c>
      <c r="AD94">
        <f ca="1">IF($C94-AD$1&lt;År1,0,AC93*(1-VLOOKUP($A94,[1]Hugst!$R$5:$W$9,MATCH(ROUNDUP((AD$1)/10,0)*10,[1]Hugst!$R$4:$W$4,0))))</f>
        <v>5261.6948940367001</v>
      </c>
      <c r="AE94">
        <f ca="1">IF($C94-AE$1&lt;År1,0,AD93*(1-VLOOKUP($A94,[1]Hugst!$R$5:$W$9,MATCH(ROUNDUP((AE$1)/10,0)*10,[1]Hugst!$R$4:$W$4,0))))</f>
        <v>5257.206039895952</v>
      </c>
      <c r="AF94">
        <f ca="1">IF($C94-AF$1&lt;År1,0,AE93*(1-VLOOKUP($A94,[1]Hugst!$R$5:$W$9,MATCH(ROUNDUP((AF$1)/10,0)*10,[1]Hugst!$R$4:$W$4,0))))</f>
        <v>5252.7402393368657</v>
      </c>
      <c r="AG94">
        <f ca="1">IF($C94-AG$1&lt;År1,0,AF93*(1-VLOOKUP($A94,[1]Hugst!$R$5:$W$9,MATCH(ROUNDUP((AG$1)/10,0)*10,[1]Hugst!$R$4:$W$4,0))))</f>
        <v>5248.2975023319932</v>
      </c>
      <c r="AH94">
        <f ca="1">IF($C94-AH$1&lt;År1,0,AG93*(1-VLOOKUP($A94,[1]Hugst!$R$5:$W$9,MATCH(ROUNDUP((AH$1)/10,0)*10,[1]Hugst!$R$4:$W$4,0))))</f>
        <v>5243.8778390006064</v>
      </c>
      <c r="AI94">
        <f ca="1">IF($C94-AI$1&lt;År1,0,AH93*(1-VLOOKUP($A94,[1]Hugst!$R$5:$W$9,MATCH(ROUNDUP((AI$1)/10,0)*10,[1]Hugst!$R$4:$W$4,0))))</f>
        <v>5239.481259608915</v>
      </c>
      <c r="AJ94">
        <f ca="1">IF($C94-AJ$1&lt;År1,0,AI93*(1-VLOOKUP($A94,[1]Hugst!$R$5:$W$9,MATCH(ROUNDUP((AJ$1)/10,0)*10,[1]Hugst!$R$4:$W$4,0))))</f>
        <v>5239.5520275308181</v>
      </c>
      <c r="AL94">
        <f ca="1">SUM(F94:AJ94)</f>
        <v>125842.74073966093</v>
      </c>
    </row>
    <row r="95" spans="1:38" x14ac:dyDescent="0.25">
      <c r="A95" t="s">
        <v>177</v>
      </c>
      <c r="B95" t="s">
        <v>24</v>
      </c>
      <c r="C95">
        <v>2020</v>
      </c>
      <c r="D95" cm="1">
        <f t="array" ref="D95">(IF(B95="Vestdanmark",Skovbrug!$C$22-(Skovbrug!$C$22)*(1-Skovbrug!$C$9)^(C95-Skovbrug!$B$12),Skovbrug!$F$22-(Skovbrug!$F$22)*(1-Skovbrug!$C$9)^(C95-Skovbrug!$B$12)))*VLOOKUP(A95,Skovbrug!$A$13:$D$17,IF('Skovbrug-alder'!C95&lt;=År2,3,4),FALSE)
-IF(C95&gt;2020,SUM(INDEX($C$1:$D$311,MATCH(1,(2020=$C$1:$C$311)*(B95=$B$1:$B$311)*(A95=$A$1:$A$311),0),2):D94),0)</f>
        <v>286.52732634810457</v>
      </c>
      <c r="E95">
        <f>IF(C95=2020,SUM(G95:AJ95),SUM(F94:AJ94)-SUM(G95:AJ95))</f>
        <v>0</v>
      </c>
      <c r="F95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960.76975059052859</v>
      </c>
      <c r="G95">
        <f>IF($C95-G$1&lt;År1,0,F94*(1-VLOOKUP($A95,[1]Hugst!$R$5:$W$9,MATCH(ROUNDUP((G$1)/10,0)*10,[1]Hugst!$R$4:$W$4,0))))</f>
        <v>0</v>
      </c>
      <c r="H95">
        <f>IF($C95-H$1&lt;År1,0,G94*(1-VLOOKUP($A95,[1]Hugst!$R$5:$W$9,MATCH(ROUNDUP((H$1)/10,0)*10,[1]Hugst!$R$4:$W$4,0))))</f>
        <v>0</v>
      </c>
      <c r="I95">
        <f>IF($C95-I$1&lt;År1,0,H94*(1-VLOOKUP($A95,[1]Hugst!$R$5:$W$9,MATCH(ROUNDUP((I$1)/10,0)*10,[1]Hugst!$R$4:$W$4,0))))</f>
        <v>0</v>
      </c>
      <c r="J95">
        <f>IF($C95-J$1&lt;År1,0,I94*(1-VLOOKUP($A95,[1]Hugst!$R$5:$W$9,MATCH(ROUNDUP((J$1)/10,0)*10,[1]Hugst!$R$4:$W$4,0))))</f>
        <v>0</v>
      </c>
      <c r="K95">
        <f>IF($C95-K$1&lt;År1,0,J94*(1-VLOOKUP($A95,[1]Hugst!$R$5:$W$9,MATCH(ROUNDUP((K$1)/10,0)*10,[1]Hugst!$R$4:$W$4,0))))</f>
        <v>0</v>
      </c>
      <c r="L95">
        <f>IF($C95-L$1&lt;År1,0,K94*(1-VLOOKUP($A95,[1]Hugst!$R$5:$W$9,MATCH(ROUNDUP((L$1)/10,0)*10,[1]Hugst!$R$4:$W$4,0))))</f>
        <v>0</v>
      </c>
      <c r="M95">
        <f>IF($C95-M$1&lt;År1,0,L94*(1-VLOOKUP($A95,[1]Hugst!$R$5:$W$9,MATCH(ROUNDUP((M$1)/10,0)*10,[1]Hugst!$R$4:$W$4,0))))</f>
        <v>0</v>
      </c>
      <c r="N95">
        <f>IF($C95-N$1&lt;År1,0,M94*(1-VLOOKUP($A95,[1]Hugst!$R$5:$W$9,MATCH(ROUNDUP((N$1)/10,0)*10,[1]Hugst!$R$4:$W$4,0))))</f>
        <v>0</v>
      </c>
      <c r="O95">
        <f>IF($C95-O$1&lt;År1,0,N94*(1-VLOOKUP($A95,[1]Hugst!$R$5:$W$9,MATCH(ROUNDUP((O$1)/10,0)*10,[1]Hugst!$R$4:$W$4,0))))</f>
        <v>0</v>
      </c>
      <c r="P95">
        <f>IF($C95-P$1&lt;År1,0,O94*(1-VLOOKUP($A95,[1]Hugst!$R$5:$W$9,MATCH(ROUNDUP((P$1)/10,0)*10,[1]Hugst!$R$4:$W$4,0))))</f>
        <v>0</v>
      </c>
      <c r="Q95">
        <f>IF($C95-Q$1&lt;År1,0,P94*(1-VLOOKUP($A95,[1]Hugst!$R$5:$W$9,MATCH(ROUNDUP((Q$1)/10,0)*10,[1]Hugst!$R$4:$W$4,0))))</f>
        <v>0</v>
      </c>
      <c r="R95">
        <f>IF($C95-R$1&lt;År1,0,Q94*(1-VLOOKUP($A95,[1]Hugst!$R$5:$W$9,MATCH(ROUNDUP((R$1)/10,0)*10,[1]Hugst!$R$4:$W$4,0))))</f>
        <v>0</v>
      </c>
      <c r="S95">
        <f>IF($C95-S$1&lt;År1,0,R94*(1-VLOOKUP($A95,[1]Hugst!$R$5:$W$9,MATCH(ROUNDUP((S$1)/10,0)*10,[1]Hugst!$R$4:$W$4,0))))</f>
        <v>0</v>
      </c>
      <c r="T95">
        <f>IF($C95-T$1&lt;År1,0,S94*(1-VLOOKUP($A95,[1]Hugst!$R$5:$W$9,MATCH(ROUNDUP((T$1)/10,0)*10,[1]Hugst!$R$4:$W$4,0))))</f>
        <v>0</v>
      </c>
      <c r="U95">
        <f>IF($C95-U$1&lt;År1,0,T94*(1-VLOOKUP($A95,[1]Hugst!$R$5:$W$9,MATCH(ROUNDUP((U$1)/10,0)*10,[1]Hugst!$R$4:$W$4,0))))</f>
        <v>0</v>
      </c>
      <c r="V95">
        <f>IF($C95-V$1&lt;År1,0,U94*(1-VLOOKUP($A95,[1]Hugst!$R$5:$W$9,MATCH(ROUNDUP((V$1)/10,0)*10,[1]Hugst!$R$4:$W$4,0))))</f>
        <v>0</v>
      </c>
      <c r="W95">
        <f>IF($C95-W$1&lt;År1,0,V94*(1-VLOOKUP($A95,[1]Hugst!$R$5:$W$9,MATCH(ROUNDUP((W$1)/10,0)*10,[1]Hugst!$R$4:$W$4,0))))</f>
        <v>0</v>
      </c>
      <c r="X95">
        <f>IF($C95-X$1&lt;År1,0,W94*(1-VLOOKUP($A95,[1]Hugst!$R$5:$W$9,MATCH(ROUNDUP((X$1)/10,0)*10,[1]Hugst!$R$4:$W$4,0))))</f>
        <v>0</v>
      </c>
      <c r="Y95">
        <f>IF($C95-Y$1&lt;År1,0,X94*(1-VLOOKUP($A95,[1]Hugst!$R$5:$W$9,MATCH(ROUNDUP((Y$1)/10,0)*10,[1]Hugst!$R$4:$W$4,0))))</f>
        <v>0</v>
      </c>
      <c r="Z95">
        <f>IF($C95-Z$1&lt;År1,0,Y94*(1-VLOOKUP($A95,[1]Hugst!$R$5:$W$9,MATCH(ROUNDUP((Z$1)/10,0)*10,[1]Hugst!$R$4:$W$4,0))))</f>
        <v>0</v>
      </c>
      <c r="AA95">
        <f>IF($C95-AA$1&lt;År1,0,Z94*(1-VLOOKUP($A95,[1]Hugst!$R$5:$W$9,MATCH(ROUNDUP((AA$1)/10,0)*10,[1]Hugst!$R$4:$W$4,0))))</f>
        <v>0</v>
      </c>
      <c r="AB95">
        <f>IF($C95-AB$1&lt;År1,0,AA94*(1-VLOOKUP($A95,[1]Hugst!$R$5:$W$9,MATCH(ROUNDUP((AB$1)/10,0)*10,[1]Hugst!$R$4:$W$4,0))))</f>
        <v>0</v>
      </c>
      <c r="AC95">
        <f>IF($C95-AC$1&lt;År1,0,AB94*(1-VLOOKUP($A95,[1]Hugst!$R$5:$W$9,MATCH(ROUNDUP((AC$1)/10,0)*10,[1]Hugst!$R$4:$W$4,0))))</f>
        <v>0</v>
      </c>
      <c r="AD95">
        <f>IF($C95-AD$1&lt;År1,0,AC94*(1-VLOOKUP($A95,[1]Hugst!$R$5:$W$9,MATCH(ROUNDUP((AD$1)/10,0)*10,[1]Hugst!$R$4:$W$4,0))))</f>
        <v>0</v>
      </c>
      <c r="AE95">
        <f>IF($C95-AE$1&lt;År1,0,AD94*(1-VLOOKUP($A95,[1]Hugst!$R$5:$W$9,MATCH(ROUNDUP((AE$1)/10,0)*10,[1]Hugst!$R$4:$W$4,0))))</f>
        <v>0</v>
      </c>
      <c r="AF95">
        <f>IF($C95-AF$1&lt;År1,0,AE94*(1-VLOOKUP($A95,[1]Hugst!$R$5:$W$9,MATCH(ROUNDUP((AF$1)/10,0)*10,[1]Hugst!$R$4:$W$4,0))))</f>
        <v>0</v>
      </c>
      <c r="AG95">
        <f>IF($C95-AG$1&lt;År1,0,AF94*(1-VLOOKUP($A95,[1]Hugst!$R$5:$W$9,MATCH(ROUNDUP((AG$1)/10,0)*10,[1]Hugst!$R$4:$W$4,0))))</f>
        <v>0</v>
      </c>
      <c r="AH95">
        <f>IF($C95-AH$1&lt;År1,0,AG94*(1-VLOOKUP($A95,[1]Hugst!$R$5:$W$9,MATCH(ROUNDUP((AH$1)/10,0)*10,[1]Hugst!$R$4:$W$4,0))))</f>
        <v>0</v>
      </c>
      <c r="AI95">
        <f>IF($C95-AI$1&lt;År1,0,AH94*(1-VLOOKUP($A95,[1]Hugst!$R$5:$W$9,MATCH(ROUNDUP((AI$1)/10,0)*10,[1]Hugst!$R$4:$W$4,0))))</f>
        <v>0</v>
      </c>
      <c r="AJ95">
        <f>IF($C95-AJ$1&lt;År1,0,AI94*(1-VLOOKUP($A95,[1]Hugst!$R$5:$W$9,MATCH(ROUNDUP((AJ$1)/10,0)*10,[1]Hugst!$R$4:$W$4,0))))</f>
        <v>0</v>
      </c>
    </row>
    <row r="96" spans="1:38" x14ac:dyDescent="0.25">
      <c r="A96" t="s">
        <v>177</v>
      </c>
      <c r="B96" t="s">
        <v>24</v>
      </c>
      <c r="C96">
        <v>2021</v>
      </c>
      <c r="D96" cm="1">
        <f t="array" ref="D96">(IF(B96="Vestdanmark",Skovbrug!$C$22-(Skovbrug!$C$22)*(1-Skovbrug!$C$9)^(C96-Skovbrug!$B$12),Skovbrug!$F$22-(Skovbrug!$F$22)*(1-Skovbrug!$C$9)^(C96-Skovbrug!$B$12)))*VLOOKUP(A96,Skovbrug!$A$13:$D$17,IF('Skovbrug-alder'!C96&lt;=År2,3,4),FALSE)
-IF(C96&gt;2020,SUM(INDEX($C$1:$D$311,MATCH(1,(2020=$C$1:$C$311)*(B96=$B$1:$B$311)*(A96=$A$1:$A$311),0),2):D95),0)</f>
        <v>285.09468971636375</v>
      </c>
      <c r="E96">
        <f t="shared" ref="E96:E124" ca="1" si="2">IF(C96=2020,SUM(G96:AJ96),SUM(F95:AJ95)-SUM(G96:AJ96))</f>
        <v>0</v>
      </c>
      <c r="F96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959.33711395878777</v>
      </c>
      <c r="G96">
        <f ca="1">IF($C96-G$1&lt;År1,0,F95*(1-VLOOKUP($A96,[1]Hugst!$R$5:$W$9,MATCH(ROUNDUP((G$1)/10,0)*10,[1]Hugst!$R$4:$W$4,0))))</f>
        <v>960.76975059052859</v>
      </c>
      <c r="H96">
        <f>IF($C96-H$1&lt;År1,0,G95*(1-VLOOKUP($A96,[1]Hugst!$R$5:$W$9,MATCH(ROUNDUP((H$1)/10,0)*10,[1]Hugst!$R$4:$W$4,0))))</f>
        <v>0</v>
      </c>
      <c r="I96">
        <f>IF($C96-I$1&lt;År1,0,H95*(1-VLOOKUP($A96,[1]Hugst!$R$5:$W$9,MATCH(ROUNDUP((I$1)/10,0)*10,[1]Hugst!$R$4:$W$4,0))))</f>
        <v>0</v>
      </c>
      <c r="J96">
        <f>IF($C96-J$1&lt;År1,0,I95*(1-VLOOKUP($A96,[1]Hugst!$R$5:$W$9,MATCH(ROUNDUP((J$1)/10,0)*10,[1]Hugst!$R$4:$W$4,0))))</f>
        <v>0</v>
      </c>
      <c r="K96">
        <f>IF($C96-K$1&lt;År1,0,J95*(1-VLOOKUP($A96,[1]Hugst!$R$5:$W$9,MATCH(ROUNDUP((K$1)/10,0)*10,[1]Hugst!$R$4:$W$4,0))))</f>
        <v>0</v>
      </c>
      <c r="L96">
        <f>IF($C96-L$1&lt;År1,0,K95*(1-VLOOKUP($A96,[1]Hugst!$R$5:$W$9,MATCH(ROUNDUP((L$1)/10,0)*10,[1]Hugst!$R$4:$W$4,0))))</f>
        <v>0</v>
      </c>
      <c r="M96">
        <f>IF($C96-M$1&lt;År1,0,L95*(1-VLOOKUP($A96,[1]Hugst!$R$5:$W$9,MATCH(ROUNDUP((M$1)/10,0)*10,[1]Hugst!$R$4:$W$4,0))))</f>
        <v>0</v>
      </c>
      <c r="N96">
        <f>IF($C96-N$1&lt;År1,0,M95*(1-VLOOKUP($A96,[1]Hugst!$R$5:$W$9,MATCH(ROUNDUP((N$1)/10,0)*10,[1]Hugst!$R$4:$W$4,0))))</f>
        <v>0</v>
      </c>
      <c r="O96">
        <f>IF($C96-O$1&lt;År1,0,N95*(1-VLOOKUP($A96,[1]Hugst!$R$5:$W$9,MATCH(ROUNDUP((O$1)/10,0)*10,[1]Hugst!$R$4:$W$4,0))))</f>
        <v>0</v>
      </c>
      <c r="P96">
        <f>IF($C96-P$1&lt;År1,0,O95*(1-VLOOKUP($A96,[1]Hugst!$R$5:$W$9,MATCH(ROUNDUP((P$1)/10,0)*10,[1]Hugst!$R$4:$W$4,0))))</f>
        <v>0</v>
      </c>
      <c r="Q96">
        <f>IF($C96-Q$1&lt;År1,0,P95*(1-VLOOKUP($A96,[1]Hugst!$R$5:$W$9,MATCH(ROUNDUP((Q$1)/10,0)*10,[1]Hugst!$R$4:$W$4,0))))</f>
        <v>0</v>
      </c>
      <c r="R96">
        <f>IF($C96-R$1&lt;År1,0,Q95*(1-VLOOKUP($A96,[1]Hugst!$R$5:$W$9,MATCH(ROUNDUP((R$1)/10,0)*10,[1]Hugst!$R$4:$W$4,0))))</f>
        <v>0</v>
      </c>
      <c r="S96">
        <f>IF($C96-S$1&lt;År1,0,R95*(1-VLOOKUP($A96,[1]Hugst!$R$5:$W$9,MATCH(ROUNDUP((S$1)/10,0)*10,[1]Hugst!$R$4:$W$4,0))))</f>
        <v>0</v>
      </c>
      <c r="T96">
        <f>IF($C96-T$1&lt;År1,0,S95*(1-VLOOKUP($A96,[1]Hugst!$R$5:$W$9,MATCH(ROUNDUP((T$1)/10,0)*10,[1]Hugst!$R$4:$W$4,0))))</f>
        <v>0</v>
      </c>
      <c r="U96">
        <f>IF($C96-U$1&lt;År1,0,T95*(1-VLOOKUP($A96,[1]Hugst!$R$5:$W$9,MATCH(ROUNDUP((U$1)/10,0)*10,[1]Hugst!$R$4:$W$4,0))))</f>
        <v>0</v>
      </c>
      <c r="V96">
        <f>IF($C96-V$1&lt;År1,0,U95*(1-VLOOKUP($A96,[1]Hugst!$R$5:$W$9,MATCH(ROUNDUP((V$1)/10,0)*10,[1]Hugst!$R$4:$W$4,0))))</f>
        <v>0</v>
      </c>
      <c r="W96">
        <f>IF($C96-W$1&lt;År1,0,V95*(1-VLOOKUP($A96,[1]Hugst!$R$5:$W$9,MATCH(ROUNDUP((W$1)/10,0)*10,[1]Hugst!$R$4:$W$4,0))))</f>
        <v>0</v>
      </c>
      <c r="X96">
        <f>IF($C96-X$1&lt;År1,0,W95*(1-VLOOKUP($A96,[1]Hugst!$R$5:$W$9,MATCH(ROUNDUP((X$1)/10,0)*10,[1]Hugst!$R$4:$W$4,0))))</f>
        <v>0</v>
      </c>
      <c r="Y96">
        <f>IF($C96-Y$1&lt;År1,0,X95*(1-VLOOKUP($A96,[1]Hugst!$R$5:$W$9,MATCH(ROUNDUP((Y$1)/10,0)*10,[1]Hugst!$R$4:$W$4,0))))</f>
        <v>0</v>
      </c>
      <c r="Z96">
        <f>IF($C96-Z$1&lt;År1,0,Y95*(1-VLOOKUP($A96,[1]Hugst!$R$5:$W$9,MATCH(ROUNDUP((Z$1)/10,0)*10,[1]Hugst!$R$4:$W$4,0))))</f>
        <v>0</v>
      </c>
      <c r="AA96">
        <f>IF($C96-AA$1&lt;År1,0,Z95*(1-VLOOKUP($A96,[1]Hugst!$R$5:$W$9,MATCH(ROUNDUP((AA$1)/10,0)*10,[1]Hugst!$R$4:$W$4,0))))</f>
        <v>0</v>
      </c>
      <c r="AB96">
        <f>IF($C96-AB$1&lt;År1,0,AA95*(1-VLOOKUP($A96,[1]Hugst!$R$5:$W$9,MATCH(ROUNDUP((AB$1)/10,0)*10,[1]Hugst!$R$4:$W$4,0))))</f>
        <v>0</v>
      </c>
      <c r="AC96">
        <f>IF($C96-AC$1&lt;År1,0,AB95*(1-VLOOKUP($A96,[1]Hugst!$R$5:$W$9,MATCH(ROUNDUP((AC$1)/10,0)*10,[1]Hugst!$R$4:$W$4,0))))</f>
        <v>0</v>
      </c>
      <c r="AD96">
        <f>IF($C96-AD$1&lt;År1,0,AC95*(1-VLOOKUP($A96,[1]Hugst!$R$5:$W$9,MATCH(ROUNDUP((AD$1)/10,0)*10,[1]Hugst!$R$4:$W$4,0))))</f>
        <v>0</v>
      </c>
      <c r="AE96">
        <f>IF($C96-AE$1&lt;År1,0,AD95*(1-VLOOKUP($A96,[1]Hugst!$R$5:$W$9,MATCH(ROUNDUP((AE$1)/10,0)*10,[1]Hugst!$R$4:$W$4,0))))</f>
        <v>0</v>
      </c>
      <c r="AF96">
        <f>IF($C96-AF$1&lt;År1,0,AE95*(1-VLOOKUP($A96,[1]Hugst!$R$5:$W$9,MATCH(ROUNDUP((AF$1)/10,0)*10,[1]Hugst!$R$4:$W$4,0))))</f>
        <v>0</v>
      </c>
      <c r="AG96">
        <f>IF($C96-AG$1&lt;År1,0,AF95*(1-VLOOKUP($A96,[1]Hugst!$R$5:$W$9,MATCH(ROUNDUP((AG$1)/10,0)*10,[1]Hugst!$R$4:$W$4,0))))</f>
        <v>0</v>
      </c>
      <c r="AH96">
        <f>IF($C96-AH$1&lt;År1,0,AG95*(1-VLOOKUP($A96,[1]Hugst!$R$5:$W$9,MATCH(ROUNDUP((AH$1)/10,0)*10,[1]Hugst!$R$4:$W$4,0))))</f>
        <v>0</v>
      </c>
      <c r="AI96">
        <f>IF($C96-AI$1&lt;År1,0,AH95*(1-VLOOKUP($A96,[1]Hugst!$R$5:$W$9,MATCH(ROUNDUP((AI$1)/10,0)*10,[1]Hugst!$R$4:$W$4,0))))</f>
        <v>0</v>
      </c>
      <c r="AJ96">
        <f>IF($C96-AJ$1&lt;År1,0,AI95*(1-VLOOKUP($A96,[1]Hugst!$R$5:$W$9,MATCH(ROUNDUP((AJ$1)/10,0)*10,[1]Hugst!$R$4:$W$4,0))))</f>
        <v>0</v>
      </c>
    </row>
    <row r="97" spans="1:36" x14ac:dyDescent="0.25">
      <c r="A97" t="s">
        <v>177</v>
      </c>
      <c r="B97" t="s">
        <v>24</v>
      </c>
      <c r="C97">
        <v>2022</v>
      </c>
      <c r="D97" cm="1">
        <f t="array" ref="D97">(IF(B97="Vestdanmark",Skovbrug!$C$22-(Skovbrug!$C$22)*(1-Skovbrug!$C$9)^(C97-Skovbrug!$B$12),Skovbrug!$F$22-(Skovbrug!$F$22)*(1-Skovbrug!$C$9)^(C97-Skovbrug!$B$12)))*VLOOKUP(A97,Skovbrug!$A$13:$D$17,IF('Skovbrug-alder'!C97&lt;=År2,3,4),FALSE)
-IF(C97&gt;2020,SUM(INDEX($C$1:$D$311,MATCH(1,(2020=$C$1:$C$311)*(B97=$B$1:$B$311)*(A97=$A$1:$A$311),0),2):D96),0)</f>
        <v>283.66921626778276</v>
      </c>
      <c r="E97">
        <f t="shared" ca="1" si="2"/>
        <v>0</v>
      </c>
      <c r="F97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957.91164051020678</v>
      </c>
      <c r="G97">
        <f ca="1">IF($C97-G$1&lt;År1,0,F96*(1-VLOOKUP($A97,[1]Hugst!$R$5:$W$9,MATCH(ROUNDUP((G$1)/10,0)*10,[1]Hugst!$R$4:$W$4,0))))</f>
        <v>959.33711395878777</v>
      </c>
      <c r="H97">
        <f ca="1">IF($C97-H$1&lt;År1,0,G96*(1-VLOOKUP($A97,[1]Hugst!$R$5:$W$9,MATCH(ROUNDUP((H$1)/10,0)*10,[1]Hugst!$R$4:$W$4,0))))</f>
        <v>960.76975059052859</v>
      </c>
      <c r="I97">
        <f>IF($C97-I$1&lt;År1,0,H96*(1-VLOOKUP($A97,[1]Hugst!$R$5:$W$9,MATCH(ROUNDUP((I$1)/10,0)*10,[1]Hugst!$R$4:$W$4,0))))</f>
        <v>0</v>
      </c>
      <c r="J97">
        <f>IF($C97-J$1&lt;År1,0,I96*(1-VLOOKUP($A97,[1]Hugst!$R$5:$W$9,MATCH(ROUNDUP((J$1)/10,0)*10,[1]Hugst!$R$4:$W$4,0))))</f>
        <v>0</v>
      </c>
      <c r="K97">
        <f>IF($C97-K$1&lt;År1,0,J96*(1-VLOOKUP($A97,[1]Hugst!$R$5:$W$9,MATCH(ROUNDUP((K$1)/10,0)*10,[1]Hugst!$R$4:$W$4,0))))</f>
        <v>0</v>
      </c>
      <c r="L97">
        <f>IF($C97-L$1&lt;År1,0,K96*(1-VLOOKUP($A97,[1]Hugst!$R$5:$W$9,MATCH(ROUNDUP((L$1)/10,0)*10,[1]Hugst!$R$4:$W$4,0))))</f>
        <v>0</v>
      </c>
      <c r="M97">
        <f>IF($C97-M$1&lt;År1,0,L96*(1-VLOOKUP($A97,[1]Hugst!$R$5:$W$9,MATCH(ROUNDUP((M$1)/10,0)*10,[1]Hugst!$R$4:$W$4,0))))</f>
        <v>0</v>
      </c>
      <c r="N97">
        <f>IF($C97-N$1&lt;År1,0,M96*(1-VLOOKUP($A97,[1]Hugst!$R$5:$W$9,MATCH(ROUNDUP((N$1)/10,0)*10,[1]Hugst!$R$4:$W$4,0))))</f>
        <v>0</v>
      </c>
      <c r="O97">
        <f>IF($C97-O$1&lt;År1,0,N96*(1-VLOOKUP($A97,[1]Hugst!$R$5:$W$9,MATCH(ROUNDUP((O$1)/10,0)*10,[1]Hugst!$R$4:$W$4,0))))</f>
        <v>0</v>
      </c>
      <c r="P97">
        <f>IF($C97-P$1&lt;År1,0,O96*(1-VLOOKUP($A97,[1]Hugst!$R$5:$W$9,MATCH(ROUNDUP((P$1)/10,0)*10,[1]Hugst!$R$4:$W$4,0))))</f>
        <v>0</v>
      </c>
      <c r="Q97">
        <f>IF($C97-Q$1&lt;År1,0,P96*(1-VLOOKUP($A97,[1]Hugst!$R$5:$W$9,MATCH(ROUNDUP((Q$1)/10,0)*10,[1]Hugst!$R$4:$W$4,0))))</f>
        <v>0</v>
      </c>
      <c r="R97">
        <f>IF($C97-R$1&lt;År1,0,Q96*(1-VLOOKUP($A97,[1]Hugst!$R$5:$W$9,MATCH(ROUNDUP((R$1)/10,0)*10,[1]Hugst!$R$4:$W$4,0))))</f>
        <v>0</v>
      </c>
      <c r="S97">
        <f>IF($C97-S$1&lt;År1,0,R96*(1-VLOOKUP($A97,[1]Hugst!$R$5:$W$9,MATCH(ROUNDUP((S$1)/10,0)*10,[1]Hugst!$R$4:$W$4,0))))</f>
        <v>0</v>
      </c>
      <c r="T97">
        <f>IF($C97-T$1&lt;År1,0,S96*(1-VLOOKUP($A97,[1]Hugst!$R$5:$W$9,MATCH(ROUNDUP((T$1)/10,0)*10,[1]Hugst!$R$4:$W$4,0))))</f>
        <v>0</v>
      </c>
      <c r="U97">
        <f>IF($C97-U$1&lt;År1,0,T96*(1-VLOOKUP($A97,[1]Hugst!$R$5:$W$9,MATCH(ROUNDUP((U$1)/10,0)*10,[1]Hugst!$R$4:$W$4,0))))</f>
        <v>0</v>
      </c>
      <c r="V97">
        <f>IF($C97-V$1&lt;År1,0,U96*(1-VLOOKUP($A97,[1]Hugst!$R$5:$W$9,MATCH(ROUNDUP((V$1)/10,0)*10,[1]Hugst!$R$4:$W$4,0))))</f>
        <v>0</v>
      </c>
      <c r="W97">
        <f>IF($C97-W$1&lt;År1,0,V96*(1-VLOOKUP($A97,[1]Hugst!$R$5:$W$9,MATCH(ROUNDUP((W$1)/10,0)*10,[1]Hugst!$R$4:$W$4,0))))</f>
        <v>0</v>
      </c>
      <c r="X97">
        <f>IF($C97-X$1&lt;År1,0,W96*(1-VLOOKUP($A97,[1]Hugst!$R$5:$W$9,MATCH(ROUNDUP((X$1)/10,0)*10,[1]Hugst!$R$4:$W$4,0))))</f>
        <v>0</v>
      </c>
      <c r="Y97">
        <f>IF($C97-Y$1&lt;År1,0,X96*(1-VLOOKUP($A97,[1]Hugst!$R$5:$W$9,MATCH(ROUNDUP((Y$1)/10,0)*10,[1]Hugst!$R$4:$W$4,0))))</f>
        <v>0</v>
      </c>
      <c r="Z97">
        <f>IF($C97-Z$1&lt;År1,0,Y96*(1-VLOOKUP($A97,[1]Hugst!$R$5:$W$9,MATCH(ROUNDUP((Z$1)/10,0)*10,[1]Hugst!$R$4:$W$4,0))))</f>
        <v>0</v>
      </c>
      <c r="AA97">
        <f>IF($C97-AA$1&lt;År1,0,Z96*(1-VLOOKUP($A97,[1]Hugst!$R$5:$W$9,MATCH(ROUNDUP((AA$1)/10,0)*10,[1]Hugst!$R$4:$W$4,0))))</f>
        <v>0</v>
      </c>
      <c r="AB97">
        <f>IF($C97-AB$1&lt;År1,0,AA96*(1-VLOOKUP($A97,[1]Hugst!$R$5:$W$9,MATCH(ROUNDUP((AB$1)/10,0)*10,[1]Hugst!$R$4:$W$4,0))))</f>
        <v>0</v>
      </c>
      <c r="AC97">
        <f>IF($C97-AC$1&lt;År1,0,AB96*(1-VLOOKUP($A97,[1]Hugst!$R$5:$W$9,MATCH(ROUNDUP((AC$1)/10,0)*10,[1]Hugst!$R$4:$W$4,0))))</f>
        <v>0</v>
      </c>
      <c r="AD97">
        <f>IF($C97-AD$1&lt;År1,0,AC96*(1-VLOOKUP($A97,[1]Hugst!$R$5:$W$9,MATCH(ROUNDUP((AD$1)/10,0)*10,[1]Hugst!$R$4:$W$4,0))))</f>
        <v>0</v>
      </c>
      <c r="AE97">
        <f>IF($C97-AE$1&lt;År1,0,AD96*(1-VLOOKUP($A97,[1]Hugst!$R$5:$W$9,MATCH(ROUNDUP((AE$1)/10,0)*10,[1]Hugst!$R$4:$W$4,0))))</f>
        <v>0</v>
      </c>
      <c r="AF97">
        <f>IF($C97-AF$1&lt;År1,0,AE96*(1-VLOOKUP($A97,[1]Hugst!$R$5:$W$9,MATCH(ROUNDUP((AF$1)/10,0)*10,[1]Hugst!$R$4:$W$4,0))))</f>
        <v>0</v>
      </c>
      <c r="AG97">
        <f>IF($C97-AG$1&lt;År1,0,AF96*(1-VLOOKUP($A97,[1]Hugst!$R$5:$W$9,MATCH(ROUNDUP((AG$1)/10,0)*10,[1]Hugst!$R$4:$W$4,0))))</f>
        <v>0</v>
      </c>
      <c r="AH97">
        <f>IF($C97-AH$1&lt;År1,0,AG96*(1-VLOOKUP($A97,[1]Hugst!$R$5:$W$9,MATCH(ROUNDUP((AH$1)/10,0)*10,[1]Hugst!$R$4:$W$4,0))))</f>
        <v>0</v>
      </c>
      <c r="AI97">
        <f>IF($C97-AI$1&lt;År1,0,AH96*(1-VLOOKUP($A97,[1]Hugst!$R$5:$W$9,MATCH(ROUNDUP((AI$1)/10,0)*10,[1]Hugst!$R$4:$W$4,0))))</f>
        <v>0</v>
      </c>
      <c r="AJ97">
        <f>IF($C97-AJ$1&lt;År1,0,AI96*(1-VLOOKUP($A97,[1]Hugst!$R$5:$W$9,MATCH(ROUNDUP((AJ$1)/10,0)*10,[1]Hugst!$R$4:$W$4,0))))</f>
        <v>0</v>
      </c>
    </row>
    <row r="98" spans="1:36" x14ac:dyDescent="0.25">
      <c r="A98" t="s">
        <v>177</v>
      </c>
      <c r="B98" t="s">
        <v>24</v>
      </c>
      <c r="C98">
        <v>2023</v>
      </c>
      <c r="D98" cm="1">
        <f t="array" ref="D98">(IF(B98="Vestdanmark",Skovbrug!$C$22-(Skovbrug!$C$22)*(1-Skovbrug!$C$9)^(C98-Skovbrug!$B$12),Skovbrug!$F$22-(Skovbrug!$F$22)*(1-Skovbrug!$C$9)^(C98-Skovbrug!$B$12)))*VLOOKUP(A98,Skovbrug!$A$13:$D$17,IF('Skovbrug-alder'!C98&lt;=År2,3,4),FALSE)
-IF(C98&gt;2020,SUM(INDEX($C$1:$D$311,MATCH(1,(2020=$C$1:$C$311)*(B98=$B$1:$B$311)*(A98=$A$1:$A$311),0),2):D97),0)</f>
        <v>282.25087018643683</v>
      </c>
      <c r="E98">
        <f t="shared" ca="1" si="2"/>
        <v>0</v>
      </c>
      <c r="F9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956.49329442886085</v>
      </c>
      <c r="G98">
        <f ca="1">IF($C98-G$1&lt;År1,0,F97*(1-VLOOKUP($A98,[1]Hugst!$R$5:$W$9,MATCH(ROUNDUP((G$1)/10,0)*10,[1]Hugst!$R$4:$W$4,0))))</f>
        <v>957.91164051020678</v>
      </c>
      <c r="H98">
        <f ca="1">IF($C98-H$1&lt;År1,0,G97*(1-VLOOKUP($A98,[1]Hugst!$R$5:$W$9,MATCH(ROUNDUP((H$1)/10,0)*10,[1]Hugst!$R$4:$W$4,0))))</f>
        <v>959.33711395878777</v>
      </c>
      <c r="I98">
        <f ca="1">IF($C98-I$1&lt;År1,0,H97*(1-VLOOKUP($A98,[1]Hugst!$R$5:$W$9,MATCH(ROUNDUP((I$1)/10,0)*10,[1]Hugst!$R$4:$W$4,0))))</f>
        <v>960.76975059052859</v>
      </c>
      <c r="J98">
        <f>IF($C98-J$1&lt;År1,0,I97*(1-VLOOKUP($A98,[1]Hugst!$R$5:$W$9,MATCH(ROUNDUP((J$1)/10,0)*10,[1]Hugst!$R$4:$W$4,0))))</f>
        <v>0</v>
      </c>
      <c r="K98">
        <f>IF($C98-K$1&lt;År1,0,J97*(1-VLOOKUP($A98,[1]Hugst!$R$5:$W$9,MATCH(ROUNDUP((K$1)/10,0)*10,[1]Hugst!$R$4:$W$4,0))))</f>
        <v>0</v>
      </c>
      <c r="L98">
        <f>IF($C98-L$1&lt;År1,0,K97*(1-VLOOKUP($A98,[1]Hugst!$R$5:$W$9,MATCH(ROUNDUP((L$1)/10,0)*10,[1]Hugst!$R$4:$W$4,0))))</f>
        <v>0</v>
      </c>
      <c r="M98">
        <f>IF($C98-M$1&lt;År1,0,L97*(1-VLOOKUP($A98,[1]Hugst!$R$5:$W$9,MATCH(ROUNDUP((M$1)/10,0)*10,[1]Hugst!$R$4:$W$4,0))))</f>
        <v>0</v>
      </c>
      <c r="N98">
        <f>IF($C98-N$1&lt;År1,0,M97*(1-VLOOKUP($A98,[1]Hugst!$R$5:$W$9,MATCH(ROUNDUP((N$1)/10,0)*10,[1]Hugst!$R$4:$W$4,0))))</f>
        <v>0</v>
      </c>
      <c r="O98">
        <f>IF($C98-O$1&lt;År1,0,N97*(1-VLOOKUP($A98,[1]Hugst!$R$5:$W$9,MATCH(ROUNDUP((O$1)/10,0)*10,[1]Hugst!$R$4:$W$4,0))))</f>
        <v>0</v>
      </c>
      <c r="P98">
        <f>IF($C98-P$1&lt;År1,0,O97*(1-VLOOKUP($A98,[1]Hugst!$R$5:$W$9,MATCH(ROUNDUP((P$1)/10,0)*10,[1]Hugst!$R$4:$W$4,0))))</f>
        <v>0</v>
      </c>
      <c r="Q98">
        <f>IF($C98-Q$1&lt;År1,0,P97*(1-VLOOKUP($A98,[1]Hugst!$R$5:$W$9,MATCH(ROUNDUP((Q$1)/10,0)*10,[1]Hugst!$R$4:$W$4,0))))</f>
        <v>0</v>
      </c>
      <c r="R98">
        <f>IF($C98-R$1&lt;År1,0,Q97*(1-VLOOKUP($A98,[1]Hugst!$R$5:$W$9,MATCH(ROUNDUP((R$1)/10,0)*10,[1]Hugst!$R$4:$W$4,0))))</f>
        <v>0</v>
      </c>
      <c r="S98">
        <f>IF($C98-S$1&lt;År1,0,R97*(1-VLOOKUP($A98,[1]Hugst!$R$5:$W$9,MATCH(ROUNDUP((S$1)/10,0)*10,[1]Hugst!$R$4:$W$4,0))))</f>
        <v>0</v>
      </c>
      <c r="T98">
        <f>IF($C98-T$1&lt;År1,0,S97*(1-VLOOKUP($A98,[1]Hugst!$R$5:$W$9,MATCH(ROUNDUP((T$1)/10,0)*10,[1]Hugst!$R$4:$W$4,0))))</f>
        <v>0</v>
      </c>
      <c r="U98">
        <f>IF($C98-U$1&lt;År1,0,T97*(1-VLOOKUP($A98,[1]Hugst!$R$5:$W$9,MATCH(ROUNDUP((U$1)/10,0)*10,[1]Hugst!$R$4:$W$4,0))))</f>
        <v>0</v>
      </c>
      <c r="V98">
        <f>IF($C98-V$1&lt;År1,0,U97*(1-VLOOKUP($A98,[1]Hugst!$R$5:$W$9,MATCH(ROUNDUP((V$1)/10,0)*10,[1]Hugst!$R$4:$W$4,0))))</f>
        <v>0</v>
      </c>
      <c r="W98">
        <f>IF($C98-W$1&lt;År1,0,V97*(1-VLOOKUP($A98,[1]Hugst!$R$5:$W$9,MATCH(ROUNDUP((W$1)/10,0)*10,[1]Hugst!$R$4:$W$4,0))))</f>
        <v>0</v>
      </c>
      <c r="X98">
        <f>IF($C98-X$1&lt;År1,0,W97*(1-VLOOKUP($A98,[1]Hugst!$R$5:$W$9,MATCH(ROUNDUP((X$1)/10,0)*10,[1]Hugst!$R$4:$W$4,0))))</f>
        <v>0</v>
      </c>
      <c r="Y98">
        <f>IF($C98-Y$1&lt;År1,0,X97*(1-VLOOKUP($A98,[1]Hugst!$R$5:$W$9,MATCH(ROUNDUP((Y$1)/10,0)*10,[1]Hugst!$R$4:$W$4,0))))</f>
        <v>0</v>
      </c>
      <c r="Z98">
        <f>IF($C98-Z$1&lt;År1,0,Y97*(1-VLOOKUP($A98,[1]Hugst!$R$5:$W$9,MATCH(ROUNDUP((Z$1)/10,0)*10,[1]Hugst!$R$4:$W$4,0))))</f>
        <v>0</v>
      </c>
      <c r="AA98">
        <f>IF($C98-AA$1&lt;År1,0,Z97*(1-VLOOKUP($A98,[1]Hugst!$R$5:$W$9,MATCH(ROUNDUP((AA$1)/10,0)*10,[1]Hugst!$R$4:$W$4,0))))</f>
        <v>0</v>
      </c>
      <c r="AB98">
        <f>IF($C98-AB$1&lt;År1,0,AA97*(1-VLOOKUP($A98,[1]Hugst!$R$5:$W$9,MATCH(ROUNDUP((AB$1)/10,0)*10,[1]Hugst!$R$4:$W$4,0))))</f>
        <v>0</v>
      </c>
      <c r="AC98">
        <f>IF($C98-AC$1&lt;År1,0,AB97*(1-VLOOKUP($A98,[1]Hugst!$R$5:$W$9,MATCH(ROUNDUP((AC$1)/10,0)*10,[1]Hugst!$R$4:$W$4,0))))</f>
        <v>0</v>
      </c>
      <c r="AD98">
        <f>IF($C98-AD$1&lt;År1,0,AC97*(1-VLOOKUP($A98,[1]Hugst!$R$5:$W$9,MATCH(ROUNDUP((AD$1)/10,0)*10,[1]Hugst!$R$4:$W$4,0))))</f>
        <v>0</v>
      </c>
      <c r="AE98">
        <f>IF($C98-AE$1&lt;År1,0,AD97*(1-VLOOKUP($A98,[1]Hugst!$R$5:$W$9,MATCH(ROUNDUP((AE$1)/10,0)*10,[1]Hugst!$R$4:$W$4,0))))</f>
        <v>0</v>
      </c>
      <c r="AF98">
        <f>IF($C98-AF$1&lt;År1,0,AE97*(1-VLOOKUP($A98,[1]Hugst!$R$5:$W$9,MATCH(ROUNDUP((AF$1)/10,0)*10,[1]Hugst!$R$4:$W$4,0))))</f>
        <v>0</v>
      </c>
      <c r="AG98">
        <f>IF($C98-AG$1&lt;År1,0,AF97*(1-VLOOKUP($A98,[1]Hugst!$R$5:$W$9,MATCH(ROUNDUP((AG$1)/10,0)*10,[1]Hugst!$R$4:$W$4,0))))</f>
        <v>0</v>
      </c>
      <c r="AH98">
        <f>IF($C98-AH$1&lt;År1,0,AG97*(1-VLOOKUP($A98,[1]Hugst!$R$5:$W$9,MATCH(ROUNDUP((AH$1)/10,0)*10,[1]Hugst!$R$4:$W$4,0))))</f>
        <v>0</v>
      </c>
      <c r="AI98">
        <f>IF($C98-AI$1&lt;År1,0,AH97*(1-VLOOKUP($A98,[1]Hugst!$R$5:$W$9,MATCH(ROUNDUP((AI$1)/10,0)*10,[1]Hugst!$R$4:$W$4,0))))</f>
        <v>0</v>
      </c>
      <c r="AJ98">
        <f>IF($C98-AJ$1&lt;År1,0,AI97*(1-VLOOKUP($A98,[1]Hugst!$R$5:$W$9,MATCH(ROUNDUP((AJ$1)/10,0)*10,[1]Hugst!$R$4:$W$4,0))))</f>
        <v>0</v>
      </c>
    </row>
    <row r="99" spans="1:36" x14ac:dyDescent="0.25">
      <c r="A99" t="s">
        <v>177</v>
      </c>
      <c r="B99" t="s">
        <v>24</v>
      </c>
      <c r="C99">
        <v>2024</v>
      </c>
      <c r="D99" cm="1">
        <f t="array" ref="D99">(IF(B99="Vestdanmark",Skovbrug!$C$22-(Skovbrug!$C$22)*(1-Skovbrug!$C$9)^(C99-Skovbrug!$B$12),Skovbrug!$F$22-(Skovbrug!$F$22)*(1-Skovbrug!$C$9)^(C99-Skovbrug!$B$12)))*VLOOKUP(A99,Skovbrug!$A$13:$D$17,IF('Skovbrug-alder'!C99&lt;=År2,3,4),FALSE)
-IF(C99&gt;2020,SUM(INDEX($C$1:$D$311,MATCH(1,(2020=$C$1:$C$311)*(B99=$B$1:$B$311)*(A99=$A$1:$A$311),0),2):D98),0)</f>
        <v>280.83961583551218</v>
      </c>
      <c r="E99">
        <f t="shared" ca="1" si="2"/>
        <v>0</v>
      </c>
      <c r="F99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955.0820400779362</v>
      </c>
      <c r="G99">
        <f ca="1">IF($C99-G$1&lt;År1,0,F98*(1-VLOOKUP($A99,[1]Hugst!$R$5:$W$9,MATCH(ROUNDUP((G$1)/10,0)*10,[1]Hugst!$R$4:$W$4,0))))</f>
        <v>956.49329442886085</v>
      </c>
      <c r="H99">
        <f ca="1">IF($C99-H$1&lt;År1,0,G98*(1-VLOOKUP($A99,[1]Hugst!$R$5:$W$9,MATCH(ROUNDUP((H$1)/10,0)*10,[1]Hugst!$R$4:$W$4,0))))</f>
        <v>957.91164051020678</v>
      </c>
      <c r="I99">
        <f ca="1">IF($C99-I$1&lt;År1,0,H98*(1-VLOOKUP($A99,[1]Hugst!$R$5:$W$9,MATCH(ROUNDUP((I$1)/10,0)*10,[1]Hugst!$R$4:$W$4,0))))</f>
        <v>959.33711395878777</v>
      </c>
      <c r="J99">
        <f ca="1">IF($C99-J$1&lt;År1,0,I98*(1-VLOOKUP($A99,[1]Hugst!$R$5:$W$9,MATCH(ROUNDUP((J$1)/10,0)*10,[1]Hugst!$R$4:$W$4,0))))</f>
        <v>960.76975059052859</v>
      </c>
      <c r="K99">
        <f>IF($C99-K$1&lt;År1,0,J98*(1-VLOOKUP($A99,[1]Hugst!$R$5:$W$9,MATCH(ROUNDUP((K$1)/10,0)*10,[1]Hugst!$R$4:$W$4,0))))</f>
        <v>0</v>
      </c>
      <c r="L99">
        <f>IF($C99-L$1&lt;År1,0,K98*(1-VLOOKUP($A99,[1]Hugst!$R$5:$W$9,MATCH(ROUNDUP((L$1)/10,0)*10,[1]Hugst!$R$4:$W$4,0))))</f>
        <v>0</v>
      </c>
      <c r="M99">
        <f>IF($C99-M$1&lt;År1,0,L98*(1-VLOOKUP($A99,[1]Hugst!$R$5:$W$9,MATCH(ROUNDUP((M$1)/10,0)*10,[1]Hugst!$R$4:$W$4,0))))</f>
        <v>0</v>
      </c>
      <c r="N99">
        <f>IF($C99-N$1&lt;År1,0,M98*(1-VLOOKUP($A99,[1]Hugst!$R$5:$W$9,MATCH(ROUNDUP((N$1)/10,0)*10,[1]Hugst!$R$4:$W$4,0))))</f>
        <v>0</v>
      </c>
      <c r="O99">
        <f>IF($C99-O$1&lt;År1,0,N98*(1-VLOOKUP($A99,[1]Hugst!$R$5:$W$9,MATCH(ROUNDUP((O$1)/10,0)*10,[1]Hugst!$R$4:$W$4,0))))</f>
        <v>0</v>
      </c>
      <c r="P99">
        <f>IF($C99-P$1&lt;År1,0,O98*(1-VLOOKUP($A99,[1]Hugst!$R$5:$W$9,MATCH(ROUNDUP((P$1)/10,0)*10,[1]Hugst!$R$4:$W$4,0))))</f>
        <v>0</v>
      </c>
      <c r="Q99">
        <f>IF($C99-Q$1&lt;År1,0,P98*(1-VLOOKUP($A99,[1]Hugst!$R$5:$W$9,MATCH(ROUNDUP((Q$1)/10,0)*10,[1]Hugst!$R$4:$W$4,0))))</f>
        <v>0</v>
      </c>
      <c r="R99">
        <f>IF($C99-R$1&lt;År1,0,Q98*(1-VLOOKUP($A99,[1]Hugst!$R$5:$W$9,MATCH(ROUNDUP((R$1)/10,0)*10,[1]Hugst!$R$4:$W$4,0))))</f>
        <v>0</v>
      </c>
      <c r="S99">
        <f>IF($C99-S$1&lt;År1,0,R98*(1-VLOOKUP($A99,[1]Hugst!$R$5:$W$9,MATCH(ROUNDUP((S$1)/10,0)*10,[1]Hugst!$R$4:$W$4,0))))</f>
        <v>0</v>
      </c>
      <c r="T99">
        <f>IF($C99-T$1&lt;År1,0,S98*(1-VLOOKUP($A99,[1]Hugst!$R$5:$W$9,MATCH(ROUNDUP((T$1)/10,0)*10,[1]Hugst!$R$4:$W$4,0))))</f>
        <v>0</v>
      </c>
      <c r="U99">
        <f>IF($C99-U$1&lt;År1,0,T98*(1-VLOOKUP($A99,[1]Hugst!$R$5:$W$9,MATCH(ROUNDUP((U$1)/10,0)*10,[1]Hugst!$R$4:$W$4,0))))</f>
        <v>0</v>
      </c>
      <c r="V99">
        <f>IF($C99-V$1&lt;År1,0,U98*(1-VLOOKUP($A99,[1]Hugst!$R$5:$W$9,MATCH(ROUNDUP((V$1)/10,0)*10,[1]Hugst!$R$4:$W$4,0))))</f>
        <v>0</v>
      </c>
      <c r="W99">
        <f>IF($C99-W$1&lt;År1,0,V98*(1-VLOOKUP($A99,[1]Hugst!$R$5:$W$9,MATCH(ROUNDUP((W$1)/10,0)*10,[1]Hugst!$R$4:$W$4,0))))</f>
        <v>0</v>
      </c>
      <c r="X99">
        <f>IF($C99-X$1&lt;År1,0,W98*(1-VLOOKUP($A99,[1]Hugst!$R$5:$W$9,MATCH(ROUNDUP((X$1)/10,0)*10,[1]Hugst!$R$4:$W$4,0))))</f>
        <v>0</v>
      </c>
      <c r="Y99">
        <f>IF($C99-Y$1&lt;År1,0,X98*(1-VLOOKUP($A99,[1]Hugst!$R$5:$W$9,MATCH(ROUNDUP((Y$1)/10,0)*10,[1]Hugst!$R$4:$W$4,0))))</f>
        <v>0</v>
      </c>
      <c r="Z99">
        <f>IF($C99-Z$1&lt;År1,0,Y98*(1-VLOOKUP($A99,[1]Hugst!$R$5:$W$9,MATCH(ROUNDUP((Z$1)/10,0)*10,[1]Hugst!$R$4:$W$4,0))))</f>
        <v>0</v>
      </c>
      <c r="AA99">
        <f>IF($C99-AA$1&lt;År1,0,Z98*(1-VLOOKUP($A99,[1]Hugst!$R$5:$W$9,MATCH(ROUNDUP((AA$1)/10,0)*10,[1]Hugst!$R$4:$W$4,0))))</f>
        <v>0</v>
      </c>
      <c r="AB99">
        <f>IF($C99-AB$1&lt;År1,0,AA98*(1-VLOOKUP($A99,[1]Hugst!$R$5:$W$9,MATCH(ROUNDUP((AB$1)/10,0)*10,[1]Hugst!$R$4:$W$4,0))))</f>
        <v>0</v>
      </c>
      <c r="AC99">
        <f>IF($C99-AC$1&lt;År1,0,AB98*(1-VLOOKUP($A99,[1]Hugst!$R$5:$W$9,MATCH(ROUNDUP((AC$1)/10,0)*10,[1]Hugst!$R$4:$W$4,0))))</f>
        <v>0</v>
      </c>
      <c r="AD99">
        <f>IF($C99-AD$1&lt;År1,0,AC98*(1-VLOOKUP($A99,[1]Hugst!$R$5:$W$9,MATCH(ROUNDUP((AD$1)/10,0)*10,[1]Hugst!$R$4:$W$4,0))))</f>
        <v>0</v>
      </c>
      <c r="AE99">
        <f>IF($C99-AE$1&lt;År1,0,AD98*(1-VLOOKUP($A99,[1]Hugst!$R$5:$W$9,MATCH(ROUNDUP((AE$1)/10,0)*10,[1]Hugst!$R$4:$W$4,0))))</f>
        <v>0</v>
      </c>
      <c r="AF99">
        <f>IF($C99-AF$1&lt;År1,0,AE98*(1-VLOOKUP($A99,[1]Hugst!$R$5:$W$9,MATCH(ROUNDUP((AF$1)/10,0)*10,[1]Hugst!$R$4:$W$4,0))))</f>
        <v>0</v>
      </c>
      <c r="AG99">
        <f>IF($C99-AG$1&lt;År1,0,AF98*(1-VLOOKUP($A99,[1]Hugst!$R$5:$W$9,MATCH(ROUNDUP((AG$1)/10,0)*10,[1]Hugst!$R$4:$W$4,0))))</f>
        <v>0</v>
      </c>
      <c r="AH99">
        <f>IF($C99-AH$1&lt;År1,0,AG98*(1-VLOOKUP($A99,[1]Hugst!$R$5:$W$9,MATCH(ROUNDUP((AH$1)/10,0)*10,[1]Hugst!$R$4:$W$4,0))))</f>
        <v>0</v>
      </c>
      <c r="AI99">
        <f>IF($C99-AI$1&lt;År1,0,AH98*(1-VLOOKUP($A99,[1]Hugst!$R$5:$W$9,MATCH(ROUNDUP((AI$1)/10,0)*10,[1]Hugst!$R$4:$W$4,0))))</f>
        <v>0</v>
      </c>
      <c r="AJ99">
        <f>IF($C99-AJ$1&lt;År1,0,AI98*(1-VLOOKUP($A99,[1]Hugst!$R$5:$W$9,MATCH(ROUNDUP((AJ$1)/10,0)*10,[1]Hugst!$R$4:$W$4,0))))</f>
        <v>0</v>
      </c>
    </row>
    <row r="100" spans="1:36" x14ac:dyDescent="0.25">
      <c r="A100" t="s">
        <v>177</v>
      </c>
      <c r="B100" t="s">
        <v>24</v>
      </c>
      <c r="C100">
        <v>2025</v>
      </c>
      <c r="D100" cm="1">
        <f t="array" ref="D100">(IF(B100="Vestdanmark",Skovbrug!$C$22-(Skovbrug!$C$22)*(1-Skovbrug!$C$9)^(C100-Skovbrug!$B$12),Skovbrug!$F$22-(Skovbrug!$F$22)*(1-Skovbrug!$C$9)^(C100-Skovbrug!$B$12)))*VLOOKUP(A100,Skovbrug!$A$13:$D$17,IF('Skovbrug-alder'!C100&lt;=År2,3,4),FALSE)
-IF(C100&gt;2020,SUM(INDEX($C$1:$D$311,MATCH(1,(2020=$C$1:$C$311)*(B100=$B$1:$B$311)*(A100=$A$1:$A$311),0),2):D99),0)</f>
        <v>279.4354177563298</v>
      </c>
      <c r="E100">
        <f t="shared" ca="1" si="2"/>
        <v>0</v>
      </c>
      <c r="F100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953.67784199875382</v>
      </c>
      <c r="G100">
        <f ca="1">IF($C100-G$1&lt;År1,0,F99*(1-VLOOKUP($A100,[1]Hugst!$R$5:$W$9,MATCH(ROUNDUP((G$1)/10,0)*10,[1]Hugst!$R$4:$W$4,0))))</f>
        <v>955.0820400779362</v>
      </c>
      <c r="H100">
        <f ca="1">IF($C100-H$1&lt;År1,0,G99*(1-VLOOKUP($A100,[1]Hugst!$R$5:$W$9,MATCH(ROUNDUP((H$1)/10,0)*10,[1]Hugst!$R$4:$W$4,0))))</f>
        <v>956.49329442886085</v>
      </c>
      <c r="I100">
        <f ca="1">IF($C100-I$1&lt;År1,0,H99*(1-VLOOKUP($A100,[1]Hugst!$R$5:$W$9,MATCH(ROUNDUP((I$1)/10,0)*10,[1]Hugst!$R$4:$W$4,0))))</f>
        <v>957.91164051020678</v>
      </c>
      <c r="J100">
        <f ca="1">IF($C100-J$1&lt;År1,0,I99*(1-VLOOKUP($A100,[1]Hugst!$R$5:$W$9,MATCH(ROUNDUP((J$1)/10,0)*10,[1]Hugst!$R$4:$W$4,0))))</f>
        <v>959.33711395878777</v>
      </c>
      <c r="K100">
        <f ca="1">IF($C100-K$1&lt;År1,0,J99*(1-VLOOKUP($A100,[1]Hugst!$R$5:$W$9,MATCH(ROUNDUP((K$1)/10,0)*10,[1]Hugst!$R$4:$W$4,0))))</f>
        <v>960.76975059052859</v>
      </c>
      <c r="L100">
        <f>IF($C100-L$1&lt;År1,0,K99*(1-VLOOKUP($A100,[1]Hugst!$R$5:$W$9,MATCH(ROUNDUP((L$1)/10,0)*10,[1]Hugst!$R$4:$W$4,0))))</f>
        <v>0</v>
      </c>
      <c r="M100">
        <f>IF($C100-M$1&lt;År1,0,L99*(1-VLOOKUP($A100,[1]Hugst!$R$5:$W$9,MATCH(ROUNDUP((M$1)/10,0)*10,[1]Hugst!$R$4:$W$4,0))))</f>
        <v>0</v>
      </c>
      <c r="N100">
        <f>IF($C100-N$1&lt;År1,0,M99*(1-VLOOKUP($A100,[1]Hugst!$R$5:$W$9,MATCH(ROUNDUP((N$1)/10,0)*10,[1]Hugst!$R$4:$W$4,0))))</f>
        <v>0</v>
      </c>
      <c r="O100">
        <f>IF($C100-O$1&lt;År1,0,N99*(1-VLOOKUP($A100,[1]Hugst!$R$5:$W$9,MATCH(ROUNDUP((O$1)/10,0)*10,[1]Hugst!$R$4:$W$4,0))))</f>
        <v>0</v>
      </c>
      <c r="P100">
        <f>IF($C100-P$1&lt;År1,0,O99*(1-VLOOKUP($A100,[1]Hugst!$R$5:$W$9,MATCH(ROUNDUP((P$1)/10,0)*10,[1]Hugst!$R$4:$W$4,0))))</f>
        <v>0</v>
      </c>
      <c r="Q100">
        <f>IF($C100-Q$1&lt;År1,0,P99*(1-VLOOKUP($A100,[1]Hugst!$R$5:$W$9,MATCH(ROUNDUP((Q$1)/10,0)*10,[1]Hugst!$R$4:$W$4,0))))</f>
        <v>0</v>
      </c>
      <c r="R100">
        <f>IF($C100-R$1&lt;År1,0,Q99*(1-VLOOKUP($A100,[1]Hugst!$R$5:$W$9,MATCH(ROUNDUP((R$1)/10,0)*10,[1]Hugst!$R$4:$W$4,0))))</f>
        <v>0</v>
      </c>
      <c r="S100">
        <f>IF($C100-S$1&lt;År1,0,R99*(1-VLOOKUP($A100,[1]Hugst!$R$5:$W$9,MATCH(ROUNDUP((S$1)/10,0)*10,[1]Hugst!$R$4:$W$4,0))))</f>
        <v>0</v>
      </c>
      <c r="T100">
        <f>IF($C100-T$1&lt;År1,0,S99*(1-VLOOKUP($A100,[1]Hugst!$R$5:$W$9,MATCH(ROUNDUP((T$1)/10,0)*10,[1]Hugst!$R$4:$W$4,0))))</f>
        <v>0</v>
      </c>
      <c r="U100">
        <f>IF($C100-U$1&lt;År1,0,T99*(1-VLOOKUP($A100,[1]Hugst!$R$5:$W$9,MATCH(ROUNDUP((U$1)/10,0)*10,[1]Hugst!$R$4:$W$4,0))))</f>
        <v>0</v>
      </c>
      <c r="V100">
        <f>IF($C100-V$1&lt;År1,0,U99*(1-VLOOKUP($A100,[1]Hugst!$R$5:$W$9,MATCH(ROUNDUP((V$1)/10,0)*10,[1]Hugst!$R$4:$W$4,0))))</f>
        <v>0</v>
      </c>
      <c r="W100">
        <f>IF($C100-W$1&lt;År1,0,V99*(1-VLOOKUP($A100,[1]Hugst!$R$5:$W$9,MATCH(ROUNDUP((W$1)/10,0)*10,[1]Hugst!$R$4:$W$4,0))))</f>
        <v>0</v>
      </c>
      <c r="X100">
        <f>IF($C100-X$1&lt;År1,0,W99*(1-VLOOKUP($A100,[1]Hugst!$R$5:$W$9,MATCH(ROUNDUP((X$1)/10,0)*10,[1]Hugst!$R$4:$W$4,0))))</f>
        <v>0</v>
      </c>
      <c r="Y100">
        <f>IF($C100-Y$1&lt;År1,0,X99*(1-VLOOKUP($A100,[1]Hugst!$R$5:$W$9,MATCH(ROUNDUP((Y$1)/10,0)*10,[1]Hugst!$R$4:$W$4,0))))</f>
        <v>0</v>
      </c>
      <c r="Z100">
        <f>IF($C100-Z$1&lt;År1,0,Y99*(1-VLOOKUP($A100,[1]Hugst!$R$5:$W$9,MATCH(ROUNDUP((Z$1)/10,0)*10,[1]Hugst!$R$4:$W$4,0))))</f>
        <v>0</v>
      </c>
      <c r="AA100">
        <f>IF($C100-AA$1&lt;År1,0,Z99*(1-VLOOKUP($A100,[1]Hugst!$R$5:$W$9,MATCH(ROUNDUP((AA$1)/10,0)*10,[1]Hugst!$R$4:$W$4,0))))</f>
        <v>0</v>
      </c>
      <c r="AB100">
        <f>IF($C100-AB$1&lt;År1,0,AA99*(1-VLOOKUP($A100,[1]Hugst!$R$5:$W$9,MATCH(ROUNDUP((AB$1)/10,0)*10,[1]Hugst!$R$4:$W$4,0))))</f>
        <v>0</v>
      </c>
      <c r="AC100">
        <f>IF($C100-AC$1&lt;År1,0,AB99*(1-VLOOKUP($A100,[1]Hugst!$R$5:$W$9,MATCH(ROUNDUP((AC$1)/10,0)*10,[1]Hugst!$R$4:$W$4,0))))</f>
        <v>0</v>
      </c>
      <c r="AD100">
        <f>IF($C100-AD$1&lt;År1,0,AC99*(1-VLOOKUP($A100,[1]Hugst!$R$5:$W$9,MATCH(ROUNDUP((AD$1)/10,0)*10,[1]Hugst!$R$4:$W$4,0))))</f>
        <v>0</v>
      </c>
      <c r="AE100">
        <f>IF($C100-AE$1&lt;År1,0,AD99*(1-VLOOKUP($A100,[1]Hugst!$R$5:$W$9,MATCH(ROUNDUP((AE$1)/10,0)*10,[1]Hugst!$R$4:$W$4,0))))</f>
        <v>0</v>
      </c>
      <c r="AF100">
        <f>IF($C100-AF$1&lt;År1,0,AE99*(1-VLOOKUP($A100,[1]Hugst!$R$5:$W$9,MATCH(ROUNDUP((AF$1)/10,0)*10,[1]Hugst!$R$4:$W$4,0))))</f>
        <v>0</v>
      </c>
      <c r="AG100">
        <f>IF($C100-AG$1&lt;År1,0,AF99*(1-VLOOKUP($A100,[1]Hugst!$R$5:$W$9,MATCH(ROUNDUP((AG$1)/10,0)*10,[1]Hugst!$R$4:$W$4,0))))</f>
        <v>0</v>
      </c>
      <c r="AH100">
        <f>IF($C100-AH$1&lt;År1,0,AG99*(1-VLOOKUP($A100,[1]Hugst!$R$5:$W$9,MATCH(ROUNDUP((AH$1)/10,0)*10,[1]Hugst!$R$4:$W$4,0))))</f>
        <v>0</v>
      </c>
      <c r="AI100">
        <f>IF($C100-AI$1&lt;År1,0,AH99*(1-VLOOKUP($A100,[1]Hugst!$R$5:$W$9,MATCH(ROUNDUP((AI$1)/10,0)*10,[1]Hugst!$R$4:$W$4,0))))</f>
        <v>0</v>
      </c>
      <c r="AJ100">
        <f>IF($C100-AJ$1&lt;År1,0,AI99*(1-VLOOKUP($A100,[1]Hugst!$R$5:$W$9,MATCH(ROUNDUP((AJ$1)/10,0)*10,[1]Hugst!$R$4:$W$4,0))))</f>
        <v>0</v>
      </c>
    </row>
    <row r="101" spans="1:36" x14ac:dyDescent="0.25">
      <c r="A101" t="s">
        <v>177</v>
      </c>
      <c r="B101" t="s">
        <v>24</v>
      </c>
      <c r="C101">
        <v>2026</v>
      </c>
      <c r="D101" cm="1">
        <f t="array" ref="D101">(IF(B101="Vestdanmark",Skovbrug!$C$22-(Skovbrug!$C$22)*(1-Skovbrug!$C$9)^(C101-Skovbrug!$B$12),Skovbrug!$F$22-(Skovbrug!$F$22)*(1-Skovbrug!$C$9)^(C101-Skovbrug!$B$12)))*VLOOKUP(A101,Skovbrug!$A$13:$D$17,IF('Skovbrug-alder'!C101&lt;=År2,3,4),FALSE)
-IF(C101&gt;2020,SUM(INDEX($C$1:$D$311,MATCH(1,(2020=$C$1:$C$311)*(B101=$B$1:$B$311)*(A101=$A$1:$A$311),0),2):D100),0)</f>
        <v>278.03824066756056</v>
      </c>
      <c r="E101">
        <f t="shared" ca="1" si="2"/>
        <v>0</v>
      </c>
      <c r="F101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952.28066490998458</v>
      </c>
      <c r="G101">
        <f ca="1">IF($C101-G$1&lt;År1,0,F100*(1-VLOOKUP($A101,[1]Hugst!$R$5:$W$9,MATCH(ROUNDUP((G$1)/10,0)*10,[1]Hugst!$R$4:$W$4,0))))</f>
        <v>953.67784199875382</v>
      </c>
      <c r="H101">
        <f ca="1">IF($C101-H$1&lt;År1,0,G100*(1-VLOOKUP($A101,[1]Hugst!$R$5:$W$9,MATCH(ROUNDUP((H$1)/10,0)*10,[1]Hugst!$R$4:$W$4,0))))</f>
        <v>955.0820400779362</v>
      </c>
      <c r="I101">
        <f ca="1">IF($C101-I$1&lt;År1,0,H100*(1-VLOOKUP($A101,[1]Hugst!$R$5:$W$9,MATCH(ROUNDUP((I$1)/10,0)*10,[1]Hugst!$R$4:$W$4,0))))</f>
        <v>956.49329442886085</v>
      </c>
      <c r="J101">
        <f ca="1">IF($C101-J$1&lt;År1,0,I100*(1-VLOOKUP($A101,[1]Hugst!$R$5:$W$9,MATCH(ROUNDUP((J$1)/10,0)*10,[1]Hugst!$R$4:$W$4,0))))</f>
        <v>957.91164051020678</v>
      </c>
      <c r="K101">
        <f ca="1">IF($C101-K$1&lt;År1,0,J100*(1-VLOOKUP($A101,[1]Hugst!$R$5:$W$9,MATCH(ROUNDUP((K$1)/10,0)*10,[1]Hugst!$R$4:$W$4,0))))</f>
        <v>959.33711395878777</v>
      </c>
      <c r="L101">
        <f ca="1">IF($C101-L$1&lt;År1,0,K100*(1-VLOOKUP($A101,[1]Hugst!$R$5:$W$9,MATCH(ROUNDUP((L$1)/10,0)*10,[1]Hugst!$R$4:$W$4,0))))</f>
        <v>960.76975059052859</v>
      </c>
      <c r="M101">
        <f>IF($C101-M$1&lt;År1,0,L100*(1-VLOOKUP($A101,[1]Hugst!$R$5:$W$9,MATCH(ROUNDUP((M$1)/10,0)*10,[1]Hugst!$R$4:$W$4,0))))</f>
        <v>0</v>
      </c>
      <c r="N101">
        <f>IF($C101-N$1&lt;År1,0,M100*(1-VLOOKUP($A101,[1]Hugst!$R$5:$W$9,MATCH(ROUNDUP((N$1)/10,0)*10,[1]Hugst!$R$4:$W$4,0))))</f>
        <v>0</v>
      </c>
      <c r="O101">
        <f>IF($C101-O$1&lt;År1,0,N100*(1-VLOOKUP($A101,[1]Hugst!$R$5:$W$9,MATCH(ROUNDUP((O$1)/10,0)*10,[1]Hugst!$R$4:$W$4,0))))</f>
        <v>0</v>
      </c>
      <c r="P101">
        <f>IF($C101-P$1&lt;År1,0,O100*(1-VLOOKUP($A101,[1]Hugst!$R$5:$W$9,MATCH(ROUNDUP((P$1)/10,0)*10,[1]Hugst!$R$4:$W$4,0))))</f>
        <v>0</v>
      </c>
      <c r="Q101">
        <f>IF($C101-Q$1&lt;År1,0,P100*(1-VLOOKUP($A101,[1]Hugst!$R$5:$W$9,MATCH(ROUNDUP((Q$1)/10,0)*10,[1]Hugst!$R$4:$W$4,0))))</f>
        <v>0</v>
      </c>
      <c r="R101">
        <f>IF($C101-R$1&lt;År1,0,Q100*(1-VLOOKUP($A101,[1]Hugst!$R$5:$W$9,MATCH(ROUNDUP((R$1)/10,0)*10,[1]Hugst!$R$4:$W$4,0))))</f>
        <v>0</v>
      </c>
      <c r="S101">
        <f>IF($C101-S$1&lt;År1,0,R100*(1-VLOOKUP($A101,[1]Hugst!$R$5:$W$9,MATCH(ROUNDUP((S$1)/10,0)*10,[1]Hugst!$R$4:$W$4,0))))</f>
        <v>0</v>
      </c>
      <c r="T101">
        <f>IF($C101-T$1&lt;År1,0,S100*(1-VLOOKUP($A101,[1]Hugst!$R$5:$W$9,MATCH(ROUNDUP((T$1)/10,0)*10,[1]Hugst!$R$4:$W$4,0))))</f>
        <v>0</v>
      </c>
      <c r="U101">
        <f>IF($C101-U$1&lt;År1,0,T100*(1-VLOOKUP($A101,[1]Hugst!$R$5:$W$9,MATCH(ROUNDUP((U$1)/10,0)*10,[1]Hugst!$R$4:$W$4,0))))</f>
        <v>0</v>
      </c>
      <c r="V101">
        <f>IF($C101-V$1&lt;År1,0,U100*(1-VLOOKUP($A101,[1]Hugst!$R$5:$W$9,MATCH(ROUNDUP((V$1)/10,0)*10,[1]Hugst!$R$4:$W$4,0))))</f>
        <v>0</v>
      </c>
      <c r="W101">
        <f>IF($C101-W$1&lt;År1,0,V100*(1-VLOOKUP($A101,[1]Hugst!$R$5:$W$9,MATCH(ROUNDUP((W$1)/10,0)*10,[1]Hugst!$R$4:$W$4,0))))</f>
        <v>0</v>
      </c>
      <c r="X101">
        <f>IF($C101-X$1&lt;År1,0,W100*(1-VLOOKUP($A101,[1]Hugst!$R$5:$W$9,MATCH(ROUNDUP((X$1)/10,0)*10,[1]Hugst!$R$4:$W$4,0))))</f>
        <v>0</v>
      </c>
      <c r="Y101">
        <f>IF($C101-Y$1&lt;År1,0,X100*(1-VLOOKUP($A101,[1]Hugst!$R$5:$W$9,MATCH(ROUNDUP((Y$1)/10,0)*10,[1]Hugst!$R$4:$W$4,0))))</f>
        <v>0</v>
      </c>
      <c r="Z101">
        <f>IF($C101-Z$1&lt;År1,0,Y100*(1-VLOOKUP($A101,[1]Hugst!$R$5:$W$9,MATCH(ROUNDUP((Z$1)/10,0)*10,[1]Hugst!$R$4:$W$4,0))))</f>
        <v>0</v>
      </c>
      <c r="AA101">
        <f>IF($C101-AA$1&lt;År1,0,Z100*(1-VLOOKUP($A101,[1]Hugst!$R$5:$W$9,MATCH(ROUNDUP((AA$1)/10,0)*10,[1]Hugst!$R$4:$W$4,0))))</f>
        <v>0</v>
      </c>
      <c r="AB101">
        <f>IF($C101-AB$1&lt;År1,0,AA100*(1-VLOOKUP($A101,[1]Hugst!$R$5:$W$9,MATCH(ROUNDUP((AB$1)/10,0)*10,[1]Hugst!$R$4:$W$4,0))))</f>
        <v>0</v>
      </c>
      <c r="AC101">
        <f>IF($C101-AC$1&lt;År1,0,AB100*(1-VLOOKUP($A101,[1]Hugst!$R$5:$W$9,MATCH(ROUNDUP((AC$1)/10,0)*10,[1]Hugst!$R$4:$W$4,0))))</f>
        <v>0</v>
      </c>
      <c r="AD101">
        <f>IF($C101-AD$1&lt;År1,0,AC100*(1-VLOOKUP($A101,[1]Hugst!$R$5:$W$9,MATCH(ROUNDUP((AD$1)/10,0)*10,[1]Hugst!$R$4:$W$4,0))))</f>
        <v>0</v>
      </c>
      <c r="AE101">
        <f>IF($C101-AE$1&lt;År1,0,AD100*(1-VLOOKUP($A101,[1]Hugst!$R$5:$W$9,MATCH(ROUNDUP((AE$1)/10,0)*10,[1]Hugst!$R$4:$W$4,0))))</f>
        <v>0</v>
      </c>
      <c r="AF101">
        <f>IF($C101-AF$1&lt;År1,0,AE100*(1-VLOOKUP($A101,[1]Hugst!$R$5:$W$9,MATCH(ROUNDUP((AF$1)/10,0)*10,[1]Hugst!$R$4:$W$4,0))))</f>
        <v>0</v>
      </c>
      <c r="AG101">
        <f>IF($C101-AG$1&lt;År1,0,AF100*(1-VLOOKUP($A101,[1]Hugst!$R$5:$W$9,MATCH(ROUNDUP((AG$1)/10,0)*10,[1]Hugst!$R$4:$W$4,0))))</f>
        <v>0</v>
      </c>
      <c r="AH101">
        <f>IF($C101-AH$1&lt;År1,0,AG100*(1-VLOOKUP($A101,[1]Hugst!$R$5:$W$9,MATCH(ROUNDUP((AH$1)/10,0)*10,[1]Hugst!$R$4:$W$4,0))))</f>
        <v>0</v>
      </c>
      <c r="AI101">
        <f>IF($C101-AI$1&lt;År1,0,AH100*(1-VLOOKUP($A101,[1]Hugst!$R$5:$W$9,MATCH(ROUNDUP((AI$1)/10,0)*10,[1]Hugst!$R$4:$W$4,0))))</f>
        <v>0</v>
      </c>
      <c r="AJ101">
        <f>IF($C101-AJ$1&lt;År1,0,AI100*(1-VLOOKUP($A101,[1]Hugst!$R$5:$W$9,MATCH(ROUNDUP((AJ$1)/10,0)*10,[1]Hugst!$R$4:$W$4,0))))</f>
        <v>0</v>
      </c>
    </row>
    <row r="102" spans="1:36" x14ac:dyDescent="0.25">
      <c r="A102" t="s">
        <v>177</v>
      </c>
      <c r="B102" t="s">
        <v>24</v>
      </c>
      <c r="C102">
        <v>2027</v>
      </c>
      <c r="D102" cm="1">
        <f t="array" ref="D102">(IF(B102="Vestdanmark",Skovbrug!$C$22-(Skovbrug!$C$22)*(1-Skovbrug!$C$9)^(C102-Skovbrug!$B$12),Skovbrug!$F$22-(Skovbrug!$F$22)*(1-Skovbrug!$C$9)^(C102-Skovbrug!$B$12)))*VLOOKUP(A102,Skovbrug!$A$13:$D$17,IF('Skovbrug-alder'!C102&lt;=År2,3,4),FALSE)
-IF(C102&gt;2020,SUM(INDEX($C$1:$D$311,MATCH(1,(2020=$C$1:$C$311)*(B102=$B$1:$B$311)*(A102=$A$1:$A$311),0),2):D101),0)</f>
        <v>276.64804946420918</v>
      </c>
      <c r="E102">
        <f t="shared" ca="1" si="2"/>
        <v>0</v>
      </c>
      <c r="F102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950.8904737066332</v>
      </c>
      <c r="G102">
        <f ca="1">IF($C102-G$1&lt;År1,0,F101*(1-VLOOKUP($A102,[1]Hugst!$R$5:$W$9,MATCH(ROUNDUP((G$1)/10,0)*10,[1]Hugst!$R$4:$W$4,0))))</f>
        <v>952.28066490998458</v>
      </c>
      <c r="H102">
        <f ca="1">IF($C102-H$1&lt;År1,0,G101*(1-VLOOKUP($A102,[1]Hugst!$R$5:$W$9,MATCH(ROUNDUP((H$1)/10,0)*10,[1]Hugst!$R$4:$W$4,0))))</f>
        <v>953.67784199875382</v>
      </c>
      <c r="I102">
        <f ca="1">IF($C102-I$1&lt;År1,0,H101*(1-VLOOKUP($A102,[1]Hugst!$R$5:$W$9,MATCH(ROUNDUP((I$1)/10,0)*10,[1]Hugst!$R$4:$W$4,0))))</f>
        <v>955.0820400779362</v>
      </c>
      <c r="J102">
        <f ca="1">IF($C102-J$1&lt;År1,0,I101*(1-VLOOKUP($A102,[1]Hugst!$R$5:$W$9,MATCH(ROUNDUP((J$1)/10,0)*10,[1]Hugst!$R$4:$W$4,0))))</f>
        <v>956.49329442886085</v>
      </c>
      <c r="K102">
        <f ca="1">IF($C102-K$1&lt;År1,0,J101*(1-VLOOKUP($A102,[1]Hugst!$R$5:$W$9,MATCH(ROUNDUP((K$1)/10,0)*10,[1]Hugst!$R$4:$W$4,0))))</f>
        <v>957.91164051020678</v>
      </c>
      <c r="L102">
        <f ca="1">IF($C102-L$1&lt;År1,0,K101*(1-VLOOKUP($A102,[1]Hugst!$R$5:$W$9,MATCH(ROUNDUP((L$1)/10,0)*10,[1]Hugst!$R$4:$W$4,0))))</f>
        <v>959.33711395878777</v>
      </c>
      <c r="M102">
        <f ca="1">IF($C102-M$1&lt;År1,0,L101*(1-VLOOKUP($A102,[1]Hugst!$R$5:$W$9,MATCH(ROUNDUP((M$1)/10,0)*10,[1]Hugst!$R$4:$W$4,0))))</f>
        <v>960.76975059052859</v>
      </c>
      <c r="N102">
        <f>IF($C102-N$1&lt;År1,0,M101*(1-VLOOKUP($A102,[1]Hugst!$R$5:$W$9,MATCH(ROUNDUP((N$1)/10,0)*10,[1]Hugst!$R$4:$W$4,0))))</f>
        <v>0</v>
      </c>
      <c r="O102">
        <f>IF($C102-O$1&lt;År1,0,N101*(1-VLOOKUP($A102,[1]Hugst!$R$5:$W$9,MATCH(ROUNDUP((O$1)/10,0)*10,[1]Hugst!$R$4:$W$4,0))))</f>
        <v>0</v>
      </c>
      <c r="P102">
        <f>IF($C102-P$1&lt;År1,0,O101*(1-VLOOKUP($A102,[1]Hugst!$R$5:$W$9,MATCH(ROUNDUP((P$1)/10,0)*10,[1]Hugst!$R$4:$W$4,0))))</f>
        <v>0</v>
      </c>
      <c r="Q102">
        <f>IF($C102-Q$1&lt;År1,0,P101*(1-VLOOKUP($A102,[1]Hugst!$R$5:$W$9,MATCH(ROUNDUP((Q$1)/10,0)*10,[1]Hugst!$R$4:$W$4,0))))</f>
        <v>0</v>
      </c>
      <c r="R102">
        <f>IF($C102-R$1&lt;År1,0,Q101*(1-VLOOKUP($A102,[1]Hugst!$R$5:$W$9,MATCH(ROUNDUP((R$1)/10,0)*10,[1]Hugst!$R$4:$W$4,0))))</f>
        <v>0</v>
      </c>
      <c r="S102">
        <f>IF($C102-S$1&lt;År1,0,R101*(1-VLOOKUP($A102,[1]Hugst!$R$5:$W$9,MATCH(ROUNDUP((S$1)/10,0)*10,[1]Hugst!$R$4:$W$4,0))))</f>
        <v>0</v>
      </c>
      <c r="T102">
        <f>IF($C102-T$1&lt;År1,0,S101*(1-VLOOKUP($A102,[1]Hugst!$R$5:$W$9,MATCH(ROUNDUP((T$1)/10,0)*10,[1]Hugst!$R$4:$W$4,0))))</f>
        <v>0</v>
      </c>
      <c r="U102">
        <f>IF($C102-U$1&lt;År1,0,T101*(1-VLOOKUP($A102,[1]Hugst!$R$5:$W$9,MATCH(ROUNDUP((U$1)/10,0)*10,[1]Hugst!$R$4:$W$4,0))))</f>
        <v>0</v>
      </c>
      <c r="V102">
        <f>IF($C102-V$1&lt;År1,0,U101*(1-VLOOKUP($A102,[1]Hugst!$R$5:$W$9,MATCH(ROUNDUP((V$1)/10,0)*10,[1]Hugst!$R$4:$W$4,0))))</f>
        <v>0</v>
      </c>
      <c r="W102">
        <f>IF($C102-W$1&lt;År1,0,V101*(1-VLOOKUP($A102,[1]Hugst!$R$5:$W$9,MATCH(ROUNDUP((W$1)/10,0)*10,[1]Hugst!$R$4:$W$4,0))))</f>
        <v>0</v>
      </c>
      <c r="X102">
        <f>IF($C102-X$1&lt;År1,0,W101*(1-VLOOKUP($A102,[1]Hugst!$R$5:$W$9,MATCH(ROUNDUP((X$1)/10,0)*10,[1]Hugst!$R$4:$W$4,0))))</f>
        <v>0</v>
      </c>
      <c r="Y102">
        <f>IF($C102-Y$1&lt;År1,0,X101*(1-VLOOKUP($A102,[1]Hugst!$R$5:$W$9,MATCH(ROUNDUP((Y$1)/10,0)*10,[1]Hugst!$R$4:$W$4,0))))</f>
        <v>0</v>
      </c>
      <c r="Z102">
        <f>IF($C102-Z$1&lt;År1,0,Y101*(1-VLOOKUP($A102,[1]Hugst!$R$5:$W$9,MATCH(ROUNDUP((Z$1)/10,0)*10,[1]Hugst!$R$4:$W$4,0))))</f>
        <v>0</v>
      </c>
      <c r="AA102">
        <f>IF($C102-AA$1&lt;År1,0,Z101*(1-VLOOKUP($A102,[1]Hugst!$R$5:$W$9,MATCH(ROUNDUP((AA$1)/10,0)*10,[1]Hugst!$R$4:$W$4,0))))</f>
        <v>0</v>
      </c>
      <c r="AB102">
        <f>IF($C102-AB$1&lt;År1,0,AA101*(1-VLOOKUP($A102,[1]Hugst!$R$5:$W$9,MATCH(ROUNDUP((AB$1)/10,0)*10,[1]Hugst!$R$4:$W$4,0))))</f>
        <v>0</v>
      </c>
      <c r="AC102">
        <f>IF($C102-AC$1&lt;År1,0,AB101*(1-VLOOKUP($A102,[1]Hugst!$R$5:$W$9,MATCH(ROUNDUP((AC$1)/10,0)*10,[1]Hugst!$R$4:$W$4,0))))</f>
        <v>0</v>
      </c>
      <c r="AD102">
        <f>IF($C102-AD$1&lt;År1,0,AC101*(1-VLOOKUP($A102,[1]Hugst!$R$5:$W$9,MATCH(ROUNDUP((AD$1)/10,0)*10,[1]Hugst!$R$4:$W$4,0))))</f>
        <v>0</v>
      </c>
      <c r="AE102">
        <f>IF($C102-AE$1&lt;År1,0,AD101*(1-VLOOKUP($A102,[1]Hugst!$R$5:$W$9,MATCH(ROUNDUP((AE$1)/10,0)*10,[1]Hugst!$R$4:$W$4,0))))</f>
        <v>0</v>
      </c>
      <c r="AF102">
        <f>IF($C102-AF$1&lt;År1,0,AE101*(1-VLOOKUP($A102,[1]Hugst!$R$5:$W$9,MATCH(ROUNDUP((AF$1)/10,0)*10,[1]Hugst!$R$4:$W$4,0))))</f>
        <v>0</v>
      </c>
      <c r="AG102">
        <f>IF($C102-AG$1&lt;År1,0,AF101*(1-VLOOKUP($A102,[1]Hugst!$R$5:$W$9,MATCH(ROUNDUP((AG$1)/10,0)*10,[1]Hugst!$R$4:$W$4,0))))</f>
        <v>0</v>
      </c>
      <c r="AH102">
        <f>IF($C102-AH$1&lt;År1,0,AG101*(1-VLOOKUP($A102,[1]Hugst!$R$5:$W$9,MATCH(ROUNDUP((AH$1)/10,0)*10,[1]Hugst!$R$4:$W$4,0))))</f>
        <v>0</v>
      </c>
      <c r="AI102">
        <f>IF($C102-AI$1&lt;År1,0,AH101*(1-VLOOKUP($A102,[1]Hugst!$R$5:$W$9,MATCH(ROUNDUP((AI$1)/10,0)*10,[1]Hugst!$R$4:$W$4,0))))</f>
        <v>0</v>
      </c>
      <c r="AJ102">
        <f>IF($C102-AJ$1&lt;År1,0,AI101*(1-VLOOKUP($A102,[1]Hugst!$R$5:$W$9,MATCH(ROUNDUP((AJ$1)/10,0)*10,[1]Hugst!$R$4:$W$4,0))))</f>
        <v>0</v>
      </c>
    </row>
    <row r="103" spans="1:36" x14ac:dyDescent="0.25">
      <c r="A103" t="s">
        <v>177</v>
      </c>
      <c r="B103" t="s">
        <v>24</v>
      </c>
      <c r="C103">
        <v>2028</v>
      </c>
      <c r="D103" cm="1">
        <f t="array" ref="D103">(IF(B103="Vestdanmark",Skovbrug!$C$22-(Skovbrug!$C$22)*(1-Skovbrug!$C$9)^(C103-Skovbrug!$B$12),Skovbrug!$F$22-(Skovbrug!$F$22)*(1-Skovbrug!$C$9)^(C103-Skovbrug!$B$12)))*VLOOKUP(A103,Skovbrug!$A$13:$D$17,IF('Skovbrug-alder'!C103&lt;=År2,3,4),FALSE)
-IF(C103&gt;2020,SUM(INDEX($C$1:$D$311,MATCH(1,(2020=$C$1:$C$311)*(B103=$B$1:$B$311)*(A103=$A$1:$A$311),0),2):D102),0)</f>
        <v>275.26480921689426</v>
      </c>
      <c r="E103">
        <f t="shared" ca="1" si="2"/>
        <v>0</v>
      </c>
      <c r="F103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949.50723345931829</v>
      </c>
      <c r="G103">
        <f ca="1">IF($C103-G$1&lt;År1,0,F102*(1-VLOOKUP($A103,[1]Hugst!$R$5:$W$9,MATCH(ROUNDUP((G$1)/10,0)*10,[1]Hugst!$R$4:$W$4,0))))</f>
        <v>950.8904737066332</v>
      </c>
      <c r="H103">
        <f ca="1">IF($C103-H$1&lt;År1,0,G102*(1-VLOOKUP($A103,[1]Hugst!$R$5:$W$9,MATCH(ROUNDUP((H$1)/10,0)*10,[1]Hugst!$R$4:$W$4,0))))</f>
        <v>952.28066490998458</v>
      </c>
      <c r="I103">
        <f ca="1">IF($C103-I$1&lt;År1,0,H102*(1-VLOOKUP($A103,[1]Hugst!$R$5:$W$9,MATCH(ROUNDUP((I$1)/10,0)*10,[1]Hugst!$R$4:$W$4,0))))</f>
        <v>953.67784199875382</v>
      </c>
      <c r="J103">
        <f ca="1">IF($C103-J$1&lt;År1,0,I102*(1-VLOOKUP($A103,[1]Hugst!$R$5:$W$9,MATCH(ROUNDUP((J$1)/10,0)*10,[1]Hugst!$R$4:$W$4,0))))</f>
        <v>955.0820400779362</v>
      </c>
      <c r="K103">
        <f ca="1">IF($C103-K$1&lt;År1,0,J102*(1-VLOOKUP($A103,[1]Hugst!$R$5:$W$9,MATCH(ROUNDUP((K$1)/10,0)*10,[1]Hugst!$R$4:$W$4,0))))</f>
        <v>956.49329442886085</v>
      </c>
      <c r="L103">
        <f ca="1">IF($C103-L$1&lt;År1,0,K102*(1-VLOOKUP($A103,[1]Hugst!$R$5:$W$9,MATCH(ROUNDUP((L$1)/10,0)*10,[1]Hugst!$R$4:$W$4,0))))</f>
        <v>957.91164051020678</v>
      </c>
      <c r="M103">
        <f ca="1">IF($C103-M$1&lt;År1,0,L102*(1-VLOOKUP($A103,[1]Hugst!$R$5:$W$9,MATCH(ROUNDUP((M$1)/10,0)*10,[1]Hugst!$R$4:$W$4,0))))</f>
        <v>959.33711395878777</v>
      </c>
      <c r="N103">
        <f ca="1">IF($C103-N$1&lt;År1,0,M102*(1-VLOOKUP($A103,[1]Hugst!$R$5:$W$9,MATCH(ROUNDUP((N$1)/10,0)*10,[1]Hugst!$R$4:$W$4,0))))</f>
        <v>960.76975059052859</v>
      </c>
      <c r="O103">
        <f>IF($C103-O$1&lt;År1,0,N102*(1-VLOOKUP($A103,[1]Hugst!$R$5:$W$9,MATCH(ROUNDUP((O$1)/10,0)*10,[1]Hugst!$R$4:$W$4,0))))</f>
        <v>0</v>
      </c>
      <c r="P103">
        <f>IF($C103-P$1&lt;År1,0,O102*(1-VLOOKUP($A103,[1]Hugst!$R$5:$W$9,MATCH(ROUNDUP((P$1)/10,0)*10,[1]Hugst!$R$4:$W$4,0))))</f>
        <v>0</v>
      </c>
      <c r="Q103">
        <f>IF($C103-Q$1&lt;År1,0,P102*(1-VLOOKUP($A103,[1]Hugst!$R$5:$W$9,MATCH(ROUNDUP((Q$1)/10,0)*10,[1]Hugst!$R$4:$W$4,0))))</f>
        <v>0</v>
      </c>
      <c r="R103">
        <f>IF($C103-R$1&lt;År1,0,Q102*(1-VLOOKUP($A103,[1]Hugst!$R$5:$W$9,MATCH(ROUNDUP((R$1)/10,0)*10,[1]Hugst!$R$4:$W$4,0))))</f>
        <v>0</v>
      </c>
      <c r="S103">
        <f>IF($C103-S$1&lt;År1,0,R102*(1-VLOOKUP($A103,[1]Hugst!$R$5:$W$9,MATCH(ROUNDUP((S$1)/10,0)*10,[1]Hugst!$R$4:$W$4,0))))</f>
        <v>0</v>
      </c>
      <c r="T103">
        <f>IF($C103-T$1&lt;År1,0,S102*(1-VLOOKUP($A103,[1]Hugst!$R$5:$W$9,MATCH(ROUNDUP((T$1)/10,0)*10,[1]Hugst!$R$4:$W$4,0))))</f>
        <v>0</v>
      </c>
      <c r="U103">
        <f>IF($C103-U$1&lt;År1,0,T102*(1-VLOOKUP($A103,[1]Hugst!$R$5:$W$9,MATCH(ROUNDUP((U$1)/10,0)*10,[1]Hugst!$R$4:$W$4,0))))</f>
        <v>0</v>
      </c>
      <c r="V103">
        <f>IF($C103-V$1&lt;År1,0,U102*(1-VLOOKUP($A103,[1]Hugst!$R$5:$W$9,MATCH(ROUNDUP((V$1)/10,0)*10,[1]Hugst!$R$4:$W$4,0))))</f>
        <v>0</v>
      </c>
      <c r="W103">
        <f>IF($C103-W$1&lt;År1,0,V102*(1-VLOOKUP($A103,[1]Hugst!$R$5:$W$9,MATCH(ROUNDUP((W$1)/10,0)*10,[1]Hugst!$R$4:$W$4,0))))</f>
        <v>0</v>
      </c>
      <c r="X103">
        <f>IF($C103-X$1&lt;År1,0,W102*(1-VLOOKUP($A103,[1]Hugst!$R$5:$W$9,MATCH(ROUNDUP((X$1)/10,0)*10,[1]Hugst!$R$4:$W$4,0))))</f>
        <v>0</v>
      </c>
      <c r="Y103">
        <f>IF($C103-Y$1&lt;År1,0,X102*(1-VLOOKUP($A103,[1]Hugst!$R$5:$W$9,MATCH(ROUNDUP((Y$1)/10,0)*10,[1]Hugst!$R$4:$W$4,0))))</f>
        <v>0</v>
      </c>
      <c r="Z103">
        <f>IF($C103-Z$1&lt;År1,0,Y102*(1-VLOOKUP($A103,[1]Hugst!$R$5:$W$9,MATCH(ROUNDUP((Z$1)/10,0)*10,[1]Hugst!$R$4:$W$4,0))))</f>
        <v>0</v>
      </c>
      <c r="AA103">
        <f>IF($C103-AA$1&lt;År1,0,Z102*(1-VLOOKUP($A103,[1]Hugst!$R$5:$W$9,MATCH(ROUNDUP((AA$1)/10,0)*10,[1]Hugst!$R$4:$W$4,0))))</f>
        <v>0</v>
      </c>
      <c r="AB103">
        <f>IF($C103-AB$1&lt;År1,0,AA102*(1-VLOOKUP($A103,[1]Hugst!$R$5:$W$9,MATCH(ROUNDUP((AB$1)/10,0)*10,[1]Hugst!$R$4:$W$4,0))))</f>
        <v>0</v>
      </c>
      <c r="AC103">
        <f>IF($C103-AC$1&lt;År1,0,AB102*(1-VLOOKUP($A103,[1]Hugst!$R$5:$W$9,MATCH(ROUNDUP((AC$1)/10,0)*10,[1]Hugst!$R$4:$W$4,0))))</f>
        <v>0</v>
      </c>
      <c r="AD103">
        <f>IF($C103-AD$1&lt;År1,0,AC102*(1-VLOOKUP($A103,[1]Hugst!$R$5:$W$9,MATCH(ROUNDUP((AD$1)/10,0)*10,[1]Hugst!$R$4:$W$4,0))))</f>
        <v>0</v>
      </c>
      <c r="AE103">
        <f>IF($C103-AE$1&lt;År1,0,AD102*(1-VLOOKUP($A103,[1]Hugst!$R$5:$W$9,MATCH(ROUNDUP((AE$1)/10,0)*10,[1]Hugst!$R$4:$W$4,0))))</f>
        <v>0</v>
      </c>
      <c r="AF103">
        <f>IF($C103-AF$1&lt;År1,0,AE102*(1-VLOOKUP($A103,[1]Hugst!$R$5:$W$9,MATCH(ROUNDUP((AF$1)/10,0)*10,[1]Hugst!$R$4:$W$4,0))))</f>
        <v>0</v>
      </c>
      <c r="AG103">
        <f>IF($C103-AG$1&lt;År1,0,AF102*(1-VLOOKUP($A103,[1]Hugst!$R$5:$W$9,MATCH(ROUNDUP((AG$1)/10,0)*10,[1]Hugst!$R$4:$W$4,0))))</f>
        <v>0</v>
      </c>
      <c r="AH103">
        <f>IF($C103-AH$1&lt;År1,0,AG102*(1-VLOOKUP($A103,[1]Hugst!$R$5:$W$9,MATCH(ROUNDUP((AH$1)/10,0)*10,[1]Hugst!$R$4:$W$4,0))))</f>
        <v>0</v>
      </c>
      <c r="AI103">
        <f>IF($C103-AI$1&lt;År1,0,AH102*(1-VLOOKUP($A103,[1]Hugst!$R$5:$W$9,MATCH(ROUNDUP((AI$1)/10,0)*10,[1]Hugst!$R$4:$W$4,0))))</f>
        <v>0</v>
      </c>
      <c r="AJ103">
        <f>IF($C103-AJ$1&lt;År1,0,AI102*(1-VLOOKUP($A103,[1]Hugst!$R$5:$W$9,MATCH(ROUNDUP((AJ$1)/10,0)*10,[1]Hugst!$R$4:$W$4,0))))</f>
        <v>0</v>
      </c>
    </row>
    <row r="104" spans="1:36" x14ac:dyDescent="0.25">
      <c r="A104" t="s">
        <v>177</v>
      </c>
      <c r="B104" t="s">
        <v>24</v>
      </c>
      <c r="C104">
        <v>2029</v>
      </c>
      <c r="D104" cm="1">
        <f t="array" ref="D104">(IF(B104="Vestdanmark",Skovbrug!$C$22-(Skovbrug!$C$22)*(1-Skovbrug!$C$9)^(C104-Skovbrug!$B$12),Skovbrug!$F$22-(Skovbrug!$F$22)*(1-Skovbrug!$C$9)^(C104-Skovbrug!$B$12)))*VLOOKUP(A104,Skovbrug!$A$13:$D$17,IF('Skovbrug-alder'!C104&lt;=År2,3,4),FALSE)
-IF(C104&gt;2020,SUM(INDEX($C$1:$D$311,MATCH(1,(2020=$C$1:$C$311)*(B104=$B$1:$B$311)*(A104=$A$1:$A$311),0),2):D103),0)</f>
        <v>273.88848517080805</v>
      </c>
      <c r="E104">
        <f ca="1">IF(C104=2020,SUM(G104:AJ104),SUM(F103:AJ103)-SUM(G104:AJ104))</f>
        <v>0</v>
      </c>
      <c r="F104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948.13090941323208</v>
      </c>
      <c r="G104">
        <f ca="1">IF($C104-G$1&lt;År1,0,F103*(1-VLOOKUP($A104,[1]Hugst!$R$5:$W$9,MATCH(ROUNDUP((G$1)/10,0)*10,[1]Hugst!$R$4:$W$4,0))))</f>
        <v>949.50723345931829</v>
      </c>
      <c r="H104">
        <f ca="1">IF($C104-H$1&lt;År1,0,G103*(1-VLOOKUP($A104,[1]Hugst!$R$5:$W$9,MATCH(ROUNDUP((H$1)/10,0)*10,[1]Hugst!$R$4:$W$4,0))))</f>
        <v>950.8904737066332</v>
      </c>
      <c r="I104">
        <f ca="1">IF($C104-I$1&lt;År1,0,H103*(1-VLOOKUP($A104,[1]Hugst!$R$5:$W$9,MATCH(ROUNDUP((I$1)/10,0)*10,[1]Hugst!$R$4:$W$4,0))))</f>
        <v>952.28066490998458</v>
      </c>
      <c r="J104">
        <f ca="1">IF($C104-J$1&lt;År1,0,I103*(1-VLOOKUP($A104,[1]Hugst!$R$5:$W$9,MATCH(ROUNDUP((J$1)/10,0)*10,[1]Hugst!$R$4:$W$4,0))))</f>
        <v>953.67784199875382</v>
      </c>
      <c r="K104">
        <f ca="1">IF($C104-K$1&lt;År1,0,J103*(1-VLOOKUP($A104,[1]Hugst!$R$5:$W$9,MATCH(ROUNDUP((K$1)/10,0)*10,[1]Hugst!$R$4:$W$4,0))))</f>
        <v>955.0820400779362</v>
      </c>
      <c r="L104">
        <f ca="1">IF($C104-L$1&lt;År1,0,K103*(1-VLOOKUP($A104,[1]Hugst!$R$5:$W$9,MATCH(ROUNDUP((L$1)/10,0)*10,[1]Hugst!$R$4:$W$4,0))))</f>
        <v>956.49329442886085</v>
      </c>
      <c r="M104">
        <f ca="1">IF($C104-M$1&lt;År1,0,L103*(1-VLOOKUP($A104,[1]Hugst!$R$5:$W$9,MATCH(ROUNDUP((M$1)/10,0)*10,[1]Hugst!$R$4:$W$4,0))))</f>
        <v>957.91164051020678</v>
      </c>
      <c r="N104">
        <f ca="1">IF($C104-N$1&lt;År1,0,M103*(1-VLOOKUP($A104,[1]Hugst!$R$5:$W$9,MATCH(ROUNDUP((N$1)/10,0)*10,[1]Hugst!$R$4:$W$4,0))))</f>
        <v>959.33711395878777</v>
      </c>
      <c r="O104">
        <f ca="1">IF($C104-O$1&lt;År1,0,N103*(1-VLOOKUP($A104,[1]Hugst!$R$5:$W$9,MATCH(ROUNDUP((O$1)/10,0)*10,[1]Hugst!$R$4:$W$4,0))))</f>
        <v>960.76975059052859</v>
      </c>
      <c r="P104">
        <f>IF($C104-P$1&lt;År1,0,O103*(1-VLOOKUP($A104,[1]Hugst!$R$5:$W$9,MATCH(ROUNDUP((P$1)/10,0)*10,[1]Hugst!$R$4:$W$4,0))))</f>
        <v>0</v>
      </c>
      <c r="Q104">
        <f>IF($C104-Q$1&lt;År1,0,P103*(1-VLOOKUP($A104,[1]Hugst!$R$5:$W$9,MATCH(ROUNDUP((Q$1)/10,0)*10,[1]Hugst!$R$4:$W$4,0))))</f>
        <v>0</v>
      </c>
      <c r="R104">
        <f>IF($C104-R$1&lt;År1,0,Q103*(1-VLOOKUP($A104,[1]Hugst!$R$5:$W$9,MATCH(ROUNDUP((R$1)/10,0)*10,[1]Hugst!$R$4:$W$4,0))))</f>
        <v>0</v>
      </c>
      <c r="S104">
        <f>IF($C104-S$1&lt;År1,0,R103*(1-VLOOKUP($A104,[1]Hugst!$R$5:$W$9,MATCH(ROUNDUP((S$1)/10,0)*10,[1]Hugst!$R$4:$W$4,0))))</f>
        <v>0</v>
      </c>
      <c r="T104">
        <f>IF($C104-T$1&lt;År1,0,S103*(1-VLOOKUP($A104,[1]Hugst!$R$5:$W$9,MATCH(ROUNDUP((T$1)/10,0)*10,[1]Hugst!$R$4:$W$4,0))))</f>
        <v>0</v>
      </c>
      <c r="U104">
        <f>IF($C104-U$1&lt;År1,0,T103*(1-VLOOKUP($A104,[1]Hugst!$R$5:$W$9,MATCH(ROUNDUP((U$1)/10,0)*10,[1]Hugst!$R$4:$W$4,0))))</f>
        <v>0</v>
      </c>
      <c r="V104">
        <f>IF($C104-V$1&lt;År1,0,U103*(1-VLOOKUP($A104,[1]Hugst!$R$5:$W$9,MATCH(ROUNDUP((V$1)/10,0)*10,[1]Hugst!$R$4:$W$4,0))))</f>
        <v>0</v>
      </c>
      <c r="W104">
        <f>IF($C104-W$1&lt;År1,0,V103*(1-VLOOKUP($A104,[1]Hugst!$R$5:$W$9,MATCH(ROUNDUP((W$1)/10,0)*10,[1]Hugst!$R$4:$W$4,0))))</f>
        <v>0</v>
      </c>
      <c r="X104">
        <f>IF($C104-X$1&lt;År1,0,W103*(1-VLOOKUP($A104,[1]Hugst!$R$5:$W$9,MATCH(ROUNDUP((X$1)/10,0)*10,[1]Hugst!$R$4:$W$4,0))))</f>
        <v>0</v>
      </c>
      <c r="Y104">
        <f>IF($C104-Y$1&lt;År1,0,X103*(1-VLOOKUP($A104,[1]Hugst!$R$5:$W$9,MATCH(ROUNDUP((Y$1)/10,0)*10,[1]Hugst!$R$4:$W$4,0))))</f>
        <v>0</v>
      </c>
      <c r="Z104">
        <f>IF($C104-Z$1&lt;År1,0,Y103*(1-VLOOKUP($A104,[1]Hugst!$R$5:$W$9,MATCH(ROUNDUP((Z$1)/10,0)*10,[1]Hugst!$R$4:$W$4,0))))</f>
        <v>0</v>
      </c>
      <c r="AA104">
        <f>IF($C104-AA$1&lt;År1,0,Z103*(1-VLOOKUP($A104,[1]Hugst!$R$5:$W$9,MATCH(ROUNDUP((AA$1)/10,0)*10,[1]Hugst!$R$4:$W$4,0))))</f>
        <v>0</v>
      </c>
      <c r="AB104">
        <f>IF($C104-AB$1&lt;År1,0,AA103*(1-VLOOKUP($A104,[1]Hugst!$R$5:$W$9,MATCH(ROUNDUP((AB$1)/10,0)*10,[1]Hugst!$R$4:$W$4,0))))</f>
        <v>0</v>
      </c>
      <c r="AC104">
        <f>IF($C104-AC$1&lt;År1,0,AB103*(1-VLOOKUP($A104,[1]Hugst!$R$5:$W$9,MATCH(ROUNDUP((AC$1)/10,0)*10,[1]Hugst!$R$4:$W$4,0))))</f>
        <v>0</v>
      </c>
      <c r="AD104">
        <f>IF($C104-AD$1&lt;År1,0,AC103*(1-VLOOKUP($A104,[1]Hugst!$R$5:$W$9,MATCH(ROUNDUP((AD$1)/10,0)*10,[1]Hugst!$R$4:$W$4,0))))</f>
        <v>0</v>
      </c>
      <c r="AE104">
        <f>IF($C104-AE$1&lt;År1,0,AD103*(1-VLOOKUP($A104,[1]Hugst!$R$5:$W$9,MATCH(ROUNDUP((AE$1)/10,0)*10,[1]Hugst!$R$4:$W$4,0))))</f>
        <v>0</v>
      </c>
      <c r="AF104">
        <f>IF($C104-AF$1&lt;År1,0,AE103*(1-VLOOKUP($A104,[1]Hugst!$R$5:$W$9,MATCH(ROUNDUP((AF$1)/10,0)*10,[1]Hugst!$R$4:$W$4,0))))</f>
        <v>0</v>
      </c>
      <c r="AG104">
        <f>IF($C104-AG$1&lt;År1,0,AF103*(1-VLOOKUP($A104,[1]Hugst!$R$5:$W$9,MATCH(ROUNDUP((AG$1)/10,0)*10,[1]Hugst!$R$4:$W$4,0))))</f>
        <v>0</v>
      </c>
      <c r="AH104">
        <f>IF($C104-AH$1&lt;År1,0,AG103*(1-VLOOKUP($A104,[1]Hugst!$R$5:$W$9,MATCH(ROUNDUP((AH$1)/10,0)*10,[1]Hugst!$R$4:$W$4,0))))</f>
        <v>0</v>
      </c>
      <c r="AI104">
        <f>IF($C104-AI$1&lt;År1,0,AH103*(1-VLOOKUP($A104,[1]Hugst!$R$5:$W$9,MATCH(ROUNDUP((AI$1)/10,0)*10,[1]Hugst!$R$4:$W$4,0))))</f>
        <v>0</v>
      </c>
      <c r="AJ104">
        <f>IF($C104-AJ$1&lt;År1,0,AI103*(1-VLOOKUP($A104,[1]Hugst!$R$5:$W$9,MATCH(ROUNDUP((AJ$1)/10,0)*10,[1]Hugst!$R$4:$W$4,0))))</f>
        <v>0</v>
      </c>
    </row>
    <row r="105" spans="1:36" x14ac:dyDescent="0.25">
      <c r="A105" t="s">
        <v>177</v>
      </c>
      <c r="B105" t="s">
        <v>24</v>
      </c>
      <c r="C105">
        <v>2030</v>
      </c>
      <c r="D105" cm="1">
        <f t="array" ref="D105">(IF(B105="Vestdanmark",Skovbrug!$C$22-(Skovbrug!$C$22)*(1-Skovbrug!$C$9)^(C105-Skovbrug!$B$12),Skovbrug!$F$22-(Skovbrug!$F$22)*(1-Skovbrug!$C$9)^(C105-Skovbrug!$B$12)))*VLOOKUP(A105,Skovbrug!$A$13:$D$17,IF('Skovbrug-alder'!C105&lt;=År2,3,4),FALSE)
-IF(C105&gt;2020,SUM(INDEX($C$1:$D$311,MATCH(1,(2020=$C$1:$C$311)*(B105=$B$1:$B$311)*(A105=$A$1:$A$311),0),2):D104),0)</f>
        <v>272.51904274496019</v>
      </c>
      <c r="E105">
        <f t="shared" ca="1" si="2"/>
        <v>1.4655809754767688</v>
      </c>
      <c r="F105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948.22704796286098</v>
      </c>
      <c r="G105">
        <f ca="1">IF($C105-G$1&lt;År1,0,F104*(1-VLOOKUP($A105,[1]Hugst!$R$5:$W$9,MATCH(ROUNDUP((G$1)/10,0)*10,[1]Hugst!$R$4:$W$4,0))))</f>
        <v>948.13090941323208</v>
      </c>
      <c r="H105">
        <f ca="1">IF($C105-H$1&lt;År1,0,G104*(1-VLOOKUP($A105,[1]Hugst!$R$5:$W$9,MATCH(ROUNDUP((H$1)/10,0)*10,[1]Hugst!$R$4:$W$4,0))))</f>
        <v>949.50723345931829</v>
      </c>
      <c r="I105">
        <f ca="1">IF($C105-I$1&lt;År1,0,H104*(1-VLOOKUP($A105,[1]Hugst!$R$5:$W$9,MATCH(ROUNDUP((I$1)/10,0)*10,[1]Hugst!$R$4:$W$4,0))))</f>
        <v>950.8904737066332</v>
      </c>
      <c r="J105">
        <f ca="1">IF($C105-J$1&lt;År1,0,I104*(1-VLOOKUP($A105,[1]Hugst!$R$5:$W$9,MATCH(ROUNDUP((J$1)/10,0)*10,[1]Hugst!$R$4:$W$4,0))))</f>
        <v>952.28066490998458</v>
      </c>
      <c r="K105">
        <f ca="1">IF($C105-K$1&lt;År1,0,J104*(1-VLOOKUP($A105,[1]Hugst!$R$5:$W$9,MATCH(ROUNDUP((K$1)/10,0)*10,[1]Hugst!$R$4:$W$4,0))))</f>
        <v>953.67784199875382</v>
      </c>
      <c r="L105">
        <f ca="1">IF($C105-L$1&lt;År1,0,K104*(1-VLOOKUP($A105,[1]Hugst!$R$5:$W$9,MATCH(ROUNDUP((L$1)/10,0)*10,[1]Hugst!$R$4:$W$4,0))))</f>
        <v>955.0820400779362</v>
      </c>
      <c r="M105">
        <f ca="1">IF($C105-M$1&lt;År1,0,L104*(1-VLOOKUP($A105,[1]Hugst!$R$5:$W$9,MATCH(ROUNDUP((M$1)/10,0)*10,[1]Hugst!$R$4:$W$4,0))))</f>
        <v>956.49329442886085</v>
      </c>
      <c r="N105">
        <f ca="1">IF($C105-N$1&lt;År1,0,M104*(1-VLOOKUP($A105,[1]Hugst!$R$5:$W$9,MATCH(ROUNDUP((N$1)/10,0)*10,[1]Hugst!$R$4:$W$4,0))))</f>
        <v>957.91164051020678</v>
      </c>
      <c r="O105">
        <f ca="1">IF($C105-O$1&lt;År1,0,N104*(1-VLOOKUP($A105,[1]Hugst!$R$5:$W$9,MATCH(ROUNDUP((O$1)/10,0)*10,[1]Hugst!$R$4:$W$4,0))))</f>
        <v>959.33711395878777</v>
      </c>
      <c r="P105">
        <f ca="1">IF($C105-P$1&lt;År1,0,O104*(1-VLOOKUP($A105,[1]Hugst!$R$5:$W$9,MATCH(ROUNDUP((P$1)/10,0)*10,[1]Hugst!$R$4:$W$4,0))))</f>
        <v>959.30416961505148</v>
      </c>
      <c r="Q105">
        <f>IF($C105-Q$1&lt;År1,0,P104*(1-VLOOKUP($A105,[1]Hugst!$R$5:$W$9,MATCH(ROUNDUP((Q$1)/10,0)*10,[1]Hugst!$R$4:$W$4,0))))</f>
        <v>0</v>
      </c>
      <c r="R105">
        <f>IF($C105-R$1&lt;År1,0,Q104*(1-VLOOKUP($A105,[1]Hugst!$R$5:$W$9,MATCH(ROUNDUP((R$1)/10,0)*10,[1]Hugst!$R$4:$W$4,0))))</f>
        <v>0</v>
      </c>
      <c r="S105">
        <f>IF($C105-S$1&lt;År1,0,R104*(1-VLOOKUP($A105,[1]Hugst!$R$5:$W$9,MATCH(ROUNDUP((S$1)/10,0)*10,[1]Hugst!$R$4:$W$4,0))))</f>
        <v>0</v>
      </c>
      <c r="T105">
        <f>IF($C105-T$1&lt;År1,0,S104*(1-VLOOKUP($A105,[1]Hugst!$R$5:$W$9,MATCH(ROUNDUP((T$1)/10,0)*10,[1]Hugst!$R$4:$W$4,0))))</f>
        <v>0</v>
      </c>
      <c r="U105">
        <f>IF($C105-U$1&lt;År1,0,T104*(1-VLOOKUP($A105,[1]Hugst!$R$5:$W$9,MATCH(ROUNDUP((U$1)/10,0)*10,[1]Hugst!$R$4:$W$4,0))))</f>
        <v>0</v>
      </c>
      <c r="V105">
        <f>IF($C105-V$1&lt;År1,0,U104*(1-VLOOKUP($A105,[1]Hugst!$R$5:$W$9,MATCH(ROUNDUP((V$1)/10,0)*10,[1]Hugst!$R$4:$W$4,0))))</f>
        <v>0</v>
      </c>
      <c r="W105">
        <f>IF($C105-W$1&lt;År1,0,V104*(1-VLOOKUP($A105,[1]Hugst!$R$5:$W$9,MATCH(ROUNDUP((W$1)/10,0)*10,[1]Hugst!$R$4:$W$4,0))))</f>
        <v>0</v>
      </c>
      <c r="X105">
        <f>IF($C105-X$1&lt;År1,0,W104*(1-VLOOKUP($A105,[1]Hugst!$R$5:$W$9,MATCH(ROUNDUP((X$1)/10,0)*10,[1]Hugst!$R$4:$W$4,0))))</f>
        <v>0</v>
      </c>
      <c r="Y105">
        <f>IF($C105-Y$1&lt;År1,0,X104*(1-VLOOKUP($A105,[1]Hugst!$R$5:$W$9,MATCH(ROUNDUP((Y$1)/10,0)*10,[1]Hugst!$R$4:$W$4,0))))</f>
        <v>0</v>
      </c>
      <c r="Z105">
        <f>IF($C105-Z$1&lt;År1,0,Y104*(1-VLOOKUP($A105,[1]Hugst!$R$5:$W$9,MATCH(ROUNDUP((Z$1)/10,0)*10,[1]Hugst!$R$4:$W$4,0))))</f>
        <v>0</v>
      </c>
      <c r="AA105">
        <f>IF($C105-AA$1&lt;År1,0,Z104*(1-VLOOKUP($A105,[1]Hugst!$R$5:$W$9,MATCH(ROUNDUP((AA$1)/10,0)*10,[1]Hugst!$R$4:$W$4,0))))</f>
        <v>0</v>
      </c>
      <c r="AB105">
        <f>IF($C105-AB$1&lt;År1,0,AA104*(1-VLOOKUP($A105,[1]Hugst!$R$5:$W$9,MATCH(ROUNDUP((AB$1)/10,0)*10,[1]Hugst!$R$4:$W$4,0))))</f>
        <v>0</v>
      </c>
      <c r="AC105">
        <f>IF($C105-AC$1&lt;År1,0,AB104*(1-VLOOKUP($A105,[1]Hugst!$R$5:$W$9,MATCH(ROUNDUP((AC$1)/10,0)*10,[1]Hugst!$R$4:$W$4,0))))</f>
        <v>0</v>
      </c>
      <c r="AD105">
        <f>IF($C105-AD$1&lt;År1,0,AC104*(1-VLOOKUP($A105,[1]Hugst!$R$5:$W$9,MATCH(ROUNDUP((AD$1)/10,0)*10,[1]Hugst!$R$4:$W$4,0))))</f>
        <v>0</v>
      </c>
      <c r="AE105">
        <f>IF($C105-AE$1&lt;År1,0,AD104*(1-VLOOKUP($A105,[1]Hugst!$R$5:$W$9,MATCH(ROUNDUP((AE$1)/10,0)*10,[1]Hugst!$R$4:$W$4,0))))</f>
        <v>0</v>
      </c>
      <c r="AF105">
        <f>IF($C105-AF$1&lt;År1,0,AE104*(1-VLOOKUP($A105,[1]Hugst!$R$5:$W$9,MATCH(ROUNDUP((AF$1)/10,0)*10,[1]Hugst!$R$4:$W$4,0))))</f>
        <v>0</v>
      </c>
      <c r="AG105">
        <f>IF($C105-AG$1&lt;År1,0,AF104*(1-VLOOKUP($A105,[1]Hugst!$R$5:$W$9,MATCH(ROUNDUP((AG$1)/10,0)*10,[1]Hugst!$R$4:$W$4,0))))</f>
        <v>0</v>
      </c>
      <c r="AH105">
        <f>IF($C105-AH$1&lt;År1,0,AG104*(1-VLOOKUP($A105,[1]Hugst!$R$5:$W$9,MATCH(ROUNDUP((AH$1)/10,0)*10,[1]Hugst!$R$4:$W$4,0))))</f>
        <v>0</v>
      </c>
      <c r="AI105">
        <f>IF($C105-AI$1&lt;År1,0,AH104*(1-VLOOKUP($A105,[1]Hugst!$R$5:$W$9,MATCH(ROUNDUP((AI$1)/10,0)*10,[1]Hugst!$R$4:$W$4,0))))</f>
        <v>0</v>
      </c>
      <c r="AJ105">
        <f>IF($C105-AJ$1&lt;År1,0,AI104*(1-VLOOKUP($A105,[1]Hugst!$R$5:$W$9,MATCH(ROUNDUP((AJ$1)/10,0)*10,[1]Hugst!$R$4:$W$4,0))))</f>
        <v>0</v>
      </c>
    </row>
    <row r="106" spans="1:36" x14ac:dyDescent="0.25">
      <c r="A106" t="s">
        <v>177</v>
      </c>
      <c r="B106" t="s">
        <v>24</v>
      </c>
      <c r="C106">
        <v>2031</v>
      </c>
      <c r="D106" cm="1">
        <f t="array" ref="D106">(IF(B106="Vestdanmark",Skovbrug!$C$22-(Skovbrug!$C$22)*(1-Skovbrug!$C$9)^(C106-Skovbrug!$B$12),Skovbrug!$F$22-(Skovbrug!$F$22)*(1-Skovbrug!$C$9)^(C106-Skovbrug!$B$12)))*VLOOKUP(A106,Skovbrug!$A$13:$D$17,IF('Skovbrug-alder'!C106&lt;=År2,3,4),FALSE)
-IF(C106&gt;2020,SUM(INDEX($C$1:$D$311,MATCH(1,(2020=$C$1:$C$311)*(B106=$B$1:$B$311)*(A106=$A$1:$A$311),0),2):D105),0)</f>
        <v>271.15644753122115</v>
      </c>
      <c r="E106">
        <f t="shared" ca="1" si="2"/>
        <v>2.926740941045864</v>
      </c>
      <c r="F106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644.9165218056005</v>
      </c>
      <c r="G106">
        <f ca="1">IF($C106-G$1&lt;År1,0,F105*(1-VLOOKUP($A106,[1]Hugst!$R$5:$W$9,MATCH(ROUNDUP((G$1)/10,0)*10,[1]Hugst!$R$4:$W$4,0))))</f>
        <v>948.22704796286098</v>
      </c>
      <c r="H106">
        <f ca="1">IF($C106-H$1&lt;År1,0,G105*(1-VLOOKUP($A106,[1]Hugst!$R$5:$W$9,MATCH(ROUNDUP((H$1)/10,0)*10,[1]Hugst!$R$4:$W$4,0))))</f>
        <v>948.13090941323208</v>
      </c>
      <c r="I106">
        <f ca="1">IF($C106-I$1&lt;År1,0,H105*(1-VLOOKUP($A106,[1]Hugst!$R$5:$W$9,MATCH(ROUNDUP((I$1)/10,0)*10,[1]Hugst!$R$4:$W$4,0))))</f>
        <v>949.50723345931829</v>
      </c>
      <c r="J106">
        <f ca="1">IF($C106-J$1&lt;År1,0,I105*(1-VLOOKUP($A106,[1]Hugst!$R$5:$W$9,MATCH(ROUNDUP((J$1)/10,0)*10,[1]Hugst!$R$4:$W$4,0))))</f>
        <v>950.8904737066332</v>
      </c>
      <c r="K106">
        <f ca="1">IF($C106-K$1&lt;År1,0,J105*(1-VLOOKUP($A106,[1]Hugst!$R$5:$W$9,MATCH(ROUNDUP((K$1)/10,0)*10,[1]Hugst!$R$4:$W$4,0))))</f>
        <v>952.28066490998458</v>
      </c>
      <c r="L106">
        <f ca="1">IF($C106-L$1&lt;År1,0,K105*(1-VLOOKUP($A106,[1]Hugst!$R$5:$W$9,MATCH(ROUNDUP((L$1)/10,0)*10,[1]Hugst!$R$4:$W$4,0))))</f>
        <v>953.67784199875382</v>
      </c>
      <c r="M106">
        <f ca="1">IF($C106-M$1&lt;År1,0,L105*(1-VLOOKUP($A106,[1]Hugst!$R$5:$W$9,MATCH(ROUNDUP((M$1)/10,0)*10,[1]Hugst!$R$4:$W$4,0))))</f>
        <v>955.0820400779362</v>
      </c>
      <c r="N106">
        <f ca="1">IF($C106-N$1&lt;År1,0,M105*(1-VLOOKUP($A106,[1]Hugst!$R$5:$W$9,MATCH(ROUNDUP((N$1)/10,0)*10,[1]Hugst!$R$4:$W$4,0))))</f>
        <v>956.49329442886085</v>
      </c>
      <c r="O106">
        <f ca="1">IF($C106-O$1&lt;År1,0,N105*(1-VLOOKUP($A106,[1]Hugst!$R$5:$W$9,MATCH(ROUNDUP((O$1)/10,0)*10,[1]Hugst!$R$4:$W$4,0))))</f>
        <v>957.91164051020678</v>
      </c>
      <c r="P106">
        <f ca="1">IF($C106-P$1&lt;År1,0,O105*(1-VLOOKUP($A106,[1]Hugst!$R$5:$W$9,MATCH(ROUNDUP((P$1)/10,0)*10,[1]Hugst!$R$4:$W$4,0))))</f>
        <v>957.8737183612235</v>
      </c>
      <c r="Q106">
        <f ca="1">IF($C106-Q$1&lt;År1,0,P105*(1-VLOOKUP($A106,[1]Hugst!$R$5:$W$9,MATCH(ROUNDUP((Q$1)/10,0)*10,[1]Hugst!$R$4:$W$4,0))))</f>
        <v>957.84082427157091</v>
      </c>
      <c r="R106">
        <f>IF($C106-R$1&lt;År1,0,Q105*(1-VLOOKUP($A106,[1]Hugst!$R$5:$W$9,MATCH(ROUNDUP((R$1)/10,0)*10,[1]Hugst!$R$4:$W$4,0))))</f>
        <v>0</v>
      </c>
      <c r="S106">
        <f>IF($C106-S$1&lt;År1,0,R105*(1-VLOOKUP($A106,[1]Hugst!$R$5:$W$9,MATCH(ROUNDUP((S$1)/10,0)*10,[1]Hugst!$R$4:$W$4,0))))</f>
        <v>0</v>
      </c>
      <c r="T106">
        <f>IF($C106-T$1&lt;År1,0,S105*(1-VLOOKUP($A106,[1]Hugst!$R$5:$W$9,MATCH(ROUNDUP((T$1)/10,0)*10,[1]Hugst!$R$4:$W$4,0))))</f>
        <v>0</v>
      </c>
      <c r="U106">
        <f>IF($C106-U$1&lt;År1,0,T105*(1-VLOOKUP($A106,[1]Hugst!$R$5:$W$9,MATCH(ROUNDUP((U$1)/10,0)*10,[1]Hugst!$R$4:$W$4,0))))</f>
        <v>0</v>
      </c>
      <c r="V106">
        <f>IF($C106-V$1&lt;År1,0,U105*(1-VLOOKUP($A106,[1]Hugst!$R$5:$W$9,MATCH(ROUNDUP((V$1)/10,0)*10,[1]Hugst!$R$4:$W$4,0))))</f>
        <v>0</v>
      </c>
      <c r="W106">
        <f>IF($C106-W$1&lt;År1,0,V105*(1-VLOOKUP($A106,[1]Hugst!$R$5:$W$9,MATCH(ROUNDUP((W$1)/10,0)*10,[1]Hugst!$R$4:$W$4,0))))</f>
        <v>0</v>
      </c>
      <c r="X106">
        <f>IF($C106-X$1&lt;År1,0,W105*(1-VLOOKUP($A106,[1]Hugst!$R$5:$W$9,MATCH(ROUNDUP((X$1)/10,0)*10,[1]Hugst!$R$4:$W$4,0))))</f>
        <v>0</v>
      </c>
      <c r="Y106">
        <f>IF($C106-Y$1&lt;År1,0,X105*(1-VLOOKUP($A106,[1]Hugst!$R$5:$W$9,MATCH(ROUNDUP((Y$1)/10,0)*10,[1]Hugst!$R$4:$W$4,0))))</f>
        <v>0</v>
      </c>
      <c r="Z106">
        <f>IF($C106-Z$1&lt;År1,0,Y105*(1-VLOOKUP($A106,[1]Hugst!$R$5:$W$9,MATCH(ROUNDUP((Z$1)/10,0)*10,[1]Hugst!$R$4:$W$4,0))))</f>
        <v>0</v>
      </c>
      <c r="AA106">
        <f>IF($C106-AA$1&lt;År1,0,Z105*(1-VLOOKUP($A106,[1]Hugst!$R$5:$W$9,MATCH(ROUNDUP((AA$1)/10,0)*10,[1]Hugst!$R$4:$W$4,0))))</f>
        <v>0</v>
      </c>
      <c r="AB106">
        <f>IF($C106-AB$1&lt;År1,0,AA105*(1-VLOOKUP($A106,[1]Hugst!$R$5:$W$9,MATCH(ROUNDUP((AB$1)/10,0)*10,[1]Hugst!$R$4:$W$4,0))))</f>
        <v>0</v>
      </c>
      <c r="AC106">
        <f>IF($C106-AC$1&lt;År1,0,AB105*(1-VLOOKUP($A106,[1]Hugst!$R$5:$W$9,MATCH(ROUNDUP((AC$1)/10,0)*10,[1]Hugst!$R$4:$W$4,0))))</f>
        <v>0</v>
      </c>
      <c r="AD106">
        <f>IF($C106-AD$1&lt;År1,0,AC105*(1-VLOOKUP($A106,[1]Hugst!$R$5:$W$9,MATCH(ROUNDUP((AD$1)/10,0)*10,[1]Hugst!$R$4:$W$4,0))))</f>
        <v>0</v>
      </c>
      <c r="AE106">
        <f>IF($C106-AE$1&lt;År1,0,AD105*(1-VLOOKUP($A106,[1]Hugst!$R$5:$W$9,MATCH(ROUNDUP((AE$1)/10,0)*10,[1]Hugst!$R$4:$W$4,0))))</f>
        <v>0</v>
      </c>
      <c r="AF106">
        <f>IF($C106-AF$1&lt;År1,0,AE105*(1-VLOOKUP($A106,[1]Hugst!$R$5:$W$9,MATCH(ROUNDUP((AF$1)/10,0)*10,[1]Hugst!$R$4:$W$4,0))))</f>
        <v>0</v>
      </c>
      <c r="AG106">
        <f>IF($C106-AG$1&lt;År1,0,AF105*(1-VLOOKUP($A106,[1]Hugst!$R$5:$W$9,MATCH(ROUNDUP((AG$1)/10,0)*10,[1]Hugst!$R$4:$W$4,0))))</f>
        <v>0</v>
      </c>
      <c r="AH106">
        <f>IF($C106-AH$1&lt;År1,0,AG105*(1-VLOOKUP($A106,[1]Hugst!$R$5:$W$9,MATCH(ROUNDUP((AH$1)/10,0)*10,[1]Hugst!$R$4:$W$4,0))))</f>
        <v>0</v>
      </c>
      <c r="AI106">
        <f>IF($C106-AI$1&lt;År1,0,AH105*(1-VLOOKUP($A106,[1]Hugst!$R$5:$W$9,MATCH(ROUNDUP((AI$1)/10,0)*10,[1]Hugst!$R$4:$W$4,0))))</f>
        <v>0</v>
      </c>
      <c r="AJ106">
        <f>IF($C106-AJ$1&lt;År1,0,AI105*(1-VLOOKUP($A106,[1]Hugst!$R$5:$W$9,MATCH(ROUNDUP((AJ$1)/10,0)*10,[1]Hugst!$R$4:$W$4,0))))</f>
        <v>0</v>
      </c>
    </row>
    <row r="107" spans="1:36" x14ac:dyDescent="0.25">
      <c r="A107" t="s">
        <v>177</v>
      </c>
      <c r="B107" t="s">
        <v>24</v>
      </c>
      <c r="C107">
        <v>2032</v>
      </c>
      <c r="D107" cm="1">
        <f t="array" ref="D107">(IF(B107="Vestdanmark",Skovbrug!$C$22-(Skovbrug!$C$22)*(1-Skovbrug!$C$9)^(C107-Skovbrug!$B$12),Skovbrug!$F$22-(Skovbrug!$F$22)*(1-Skovbrug!$C$9)^(C107-Skovbrug!$B$12)))*VLOOKUP(A107,Skovbrug!$A$13:$D$17,IF('Skovbrug-alder'!C107&lt;=År2,3,4),FALSE)
-IF(C107&gt;2020,SUM(INDEX($C$1:$D$311,MATCH(1,(2020=$C$1:$C$311)*(B107=$B$1:$B$311)*(A107=$A$1:$A$311),0),2):D106),0)</f>
        <v>269.80066529357509</v>
      </c>
      <c r="E107">
        <f t="shared" ca="1" si="2"/>
        <v>4.3834975675054011</v>
      </c>
      <c r="F107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645.01749619441398</v>
      </c>
      <c r="G107">
        <f ca="1">IF($C107-G$1&lt;År1,0,F106*(1-VLOOKUP($A107,[1]Hugst!$R$5:$W$9,MATCH(ROUNDUP((G$1)/10,0)*10,[1]Hugst!$R$4:$W$4,0))))</f>
        <v>644.9165218056005</v>
      </c>
      <c r="H107">
        <f ca="1">IF($C107-H$1&lt;År1,0,G106*(1-VLOOKUP($A107,[1]Hugst!$R$5:$W$9,MATCH(ROUNDUP((H$1)/10,0)*10,[1]Hugst!$R$4:$W$4,0))))</f>
        <v>948.22704796286098</v>
      </c>
      <c r="I107">
        <f ca="1">IF($C107-I$1&lt;År1,0,H106*(1-VLOOKUP($A107,[1]Hugst!$R$5:$W$9,MATCH(ROUNDUP((I$1)/10,0)*10,[1]Hugst!$R$4:$W$4,0))))</f>
        <v>948.13090941323208</v>
      </c>
      <c r="J107">
        <f ca="1">IF($C107-J$1&lt;År1,0,I106*(1-VLOOKUP($A107,[1]Hugst!$R$5:$W$9,MATCH(ROUNDUP((J$1)/10,0)*10,[1]Hugst!$R$4:$W$4,0))))</f>
        <v>949.50723345931829</v>
      </c>
      <c r="K107">
        <f ca="1">IF($C107-K$1&lt;År1,0,J106*(1-VLOOKUP($A107,[1]Hugst!$R$5:$W$9,MATCH(ROUNDUP((K$1)/10,0)*10,[1]Hugst!$R$4:$W$4,0))))</f>
        <v>950.8904737066332</v>
      </c>
      <c r="L107">
        <f ca="1">IF($C107-L$1&lt;År1,0,K106*(1-VLOOKUP($A107,[1]Hugst!$R$5:$W$9,MATCH(ROUNDUP((L$1)/10,0)*10,[1]Hugst!$R$4:$W$4,0))))</f>
        <v>952.28066490998458</v>
      </c>
      <c r="M107">
        <f ca="1">IF($C107-M$1&lt;År1,0,L106*(1-VLOOKUP($A107,[1]Hugst!$R$5:$W$9,MATCH(ROUNDUP((M$1)/10,0)*10,[1]Hugst!$R$4:$W$4,0))))</f>
        <v>953.67784199875382</v>
      </c>
      <c r="N107">
        <f ca="1">IF($C107-N$1&lt;År1,0,M106*(1-VLOOKUP($A107,[1]Hugst!$R$5:$W$9,MATCH(ROUNDUP((N$1)/10,0)*10,[1]Hugst!$R$4:$W$4,0))))</f>
        <v>955.0820400779362</v>
      </c>
      <c r="O107">
        <f ca="1">IF($C107-O$1&lt;År1,0,N106*(1-VLOOKUP($A107,[1]Hugst!$R$5:$W$9,MATCH(ROUNDUP((O$1)/10,0)*10,[1]Hugst!$R$4:$W$4,0))))</f>
        <v>956.49329442886085</v>
      </c>
      <c r="P107">
        <f ca="1">IF($C107-P$1&lt;År1,0,O106*(1-VLOOKUP($A107,[1]Hugst!$R$5:$W$9,MATCH(ROUNDUP((P$1)/10,0)*10,[1]Hugst!$R$4:$W$4,0))))</f>
        <v>956.45041936366579</v>
      </c>
      <c r="Q107">
        <f ca="1">IF($C107-Q$1&lt;År1,0,P106*(1-VLOOKUP($A107,[1]Hugst!$R$5:$W$9,MATCH(ROUNDUP((Q$1)/10,0)*10,[1]Hugst!$R$4:$W$4,0))))</f>
        <v>956.41255506202833</v>
      </c>
      <c r="R107">
        <f ca="1">IF($C107-R$1&lt;År1,0,Q106*(1-VLOOKUP($A107,[1]Hugst!$R$5:$W$9,MATCH(ROUNDUP((R$1)/10,0)*10,[1]Hugst!$R$4:$W$4,0))))</f>
        <v>956.37971114980064</v>
      </c>
      <c r="S107">
        <f>IF($C107-S$1&lt;År1,0,R106*(1-VLOOKUP($A107,[1]Hugst!$R$5:$W$9,MATCH(ROUNDUP((S$1)/10,0)*10,[1]Hugst!$R$4:$W$4,0))))</f>
        <v>0</v>
      </c>
      <c r="T107">
        <f>IF($C107-T$1&lt;År1,0,S106*(1-VLOOKUP($A107,[1]Hugst!$R$5:$W$9,MATCH(ROUNDUP((T$1)/10,0)*10,[1]Hugst!$R$4:$W$4,0))))</f>
        <v>0</v>
      </c>
      <c r="U107">
        <f>IF($C107-U$1&lt;År1,0,T106*(1-VLOOKUP($A107,[1]Hugst!$R$5:$W$9,MATCH(ROUNDUP((U$1)/10,0)*10,[1]Hugst!$R$4:$W$4,0))))</f>
        <v>0</v>
      </c>
      <c r="V107">
        <f>IF($C107-V$1&lt;År1,0,U106*(1-VLOOKUP($A107,[1]Hugst!$R$5:$W$9,MATCH(ROUNDUP((V$1)/10,0)*10,[1]Hugst!$R$4:$W$4,0))))</f>
        <v>0</v>
      </c>
      <c r="W107">
        <f>IF($C107-W$1&lt;År1,0,V106*(1-VLOOKUP($A107,[1]Hugst!$R$5:$W$9,MATCH(ROUNDUP((W$1)/10,0)*10,[1]Hugst!$R$4:$W$4,0))))</f>
        <v>0</v>
      </c>
      <c r="X107">
        <f>IF($C107-X$1&lt;År1,0,W106*(1-VLOOKUP($A107,[1]Hugst!$R$5:$W$9,MATCH(ROUNDUP((X$1)/10,0)*10,[1]Hugst!$R$4:$W$4,0))))</f>
        <v>0</v>
      </c>
      <c r="Y107">
        <f>IF($C107-Y$1&lt;År1,0,X106*(1-VLOOKUP($A107,[1]Hugst!$R$5:$W$9,MATCH(ROUNDUP((Y$1)/10,0)*10,[1]Hugst!$R$4:$W$4,0))))</f>
        <v>0</v>
      </c>
      <c r="Z107">
        <f>IF($C107-Z$1&lt;År1,0,Y106*(1-VLOOKUP($A107,[1]Hugst!$R$5:$W$9,MATCH(ROUNDUP((Z$1)/10,0)*10,[1]Hugst!$R$4:$W$4,0))))</f>
        <v>0</v>
      </c>
      <c r="AA107">
        <f>IF($C107-AA$1&lt;År1,0,Z106*(1-VLOOKUP($A107,[1]Hugst!$R$5:$W$9,MATCH(ROUNDUP((AA$1)/10,0)*10,[1]Hugst!$R$4:$W$4,0))))</f>
        <v>0</v>
      </c>
      <c r="AB107">
        <f>IF($C107-AB$1&lt;År1,0,AA106*(1-VLOOKUP($A107,[1]Hugst!$R$5:$W$9,MATCH(ROUNDUP((AB$1)/10,0)*10,[1]Hugst!$R$4:$W$4,0))))</f>
        <v>0</v>
      </c>
      <c r="AC107">
        <f>IF($C107-AC$1&lt;År1,0,AB106*(1-VLOOKUP($A107,[1]Hugst!$R$5:$W$9,MATCH(ROUNDUP((AC$1)/10,0)*10,[1]Hugst!$R$4:$W$4,0))))</f>
        <v>0</v>
      </c>
      <c r="AD107">
        <f>IF($C107-AD$1&lt;År1,0,AC106*(1-VLOOKUP($A107,[1]Hugst!$R$5:$W$9,MATCH(ROUNDUP((AD$1)/10,0)*10,[1]Hugst!$R$4:$W$4,0))))</f>
        <v>0</v>
      </c>
      <c r="AE107">
        <f>IF($C107-AE$1&lt;År1,0,AD106*(1-VLOOKUP($A107,[1]Hugst!$R$5:$W$9,MATCH(ROUNDUP((AE$1)/10,0)*10,[1]Hugst!$R$4:$W$4,0))))</f>
        <v>0</v>
      </c>
      <c r="AF107">
        <f>IF($C107-AF$1&lt;År1,0,AE106*(1-VLOOKUP($A107,[1]Hugst!$R$5:$W$9,MATCH(ROUNDUP((AF$1)/10,0)*10,[1]Hugst!$R$4:$W$4,0))))</f>
        <v>0</v>
      </c>
      <c r="AG107">
        <f>IF($C107-AG$1&lt;År1,0,AF106*(1-VLOOKUP($A107,[1]Hugst!$R$5:$W$9,MATCH(ROUNDUP((AG$1)/10,0)*10,[1]Hugst!$R$4:$W$4,0))))</f>
        <v>0</v>
      </c>
      <c r="AH107">
        <f>IF($C107-AH$1&lt;År1,0,AG106*(1-VLOOKUP($A107,[1]Hugst!$R$5:$W$9,MATCH(ROUNDUP((AH$1)/10,0)*10,[1]Hugst!$R$4:$W$4,0))))</f>
        <v>0</v>
      </c>
      <c r="AI107">
        <f>IF($C107-AI$1&lt;År1,0,AH106*(1-VLOOKUP($A107,[1]Hugst!$R$5:$W$9,MATCH(ROUNDUP((AI$1)/10,0)*10,[1]Hugst!$R$4:$W$4,0))))</f>
        <v>0</v>
      </c>
      <c r="AJ107">
        <f>IF($C107-AJ$1&lt;År1,0,AI106*(1-VLOOKUP($A107,[1]Hugst!$R$5:$W$9,MATCH(ROUNDUP((AJ$1)/10,0)*10,[1]Hugst!$R$4:$W$4,0))))</f>
        <v>0</v>
      </c>
    </row>
    <row r="108" spans="1:36" x14ac:dyDescent="0.25">
      <c r="A108" t="s">
        <v>177</v>
      </c>
      <c r="B108" t="s">
        <v>24</v>
      </c>
      <c r="C108">
        <v>2033</v>
      </c>
      <c r="D108" cm="1">
        <f t="array" ref="D108">(IF(B108="Vestdanmark",Skovbrug!$C$22-(Skovbrug!$C$22)*(1-Skovbrug!$C$9)^(C108-Skovbrug!$B$12),Skovbrug!$F$22-(Skovbrug!$F$22)*(1-Skovbrug!$C$9)^(C108-Skovbrug!$B$12)))*VLOOKUP(A108,Skovbrug!$A$13:$D$17,IF('Skovbrug-alder'!C108&lt;=År2,3,4),FALSE)
-IF(C108&gt;2020,SUM(INDEX($C$1:$D$311,MATCH(1,(2020=$C$1:$C$311)*(B108=$B$1:$B$311)*(A108=$A$1:$A$311),0),2):D107),0)</f>
        <v>268.45166196710352</v>
      </c>
      <c r="E108">
        <f t="shared" ca="1" si="2"/>
        <v>5.8358684440754587</v>
      </c>
      <c r="F10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645.12086374451246</v>
      </c>
      <c r="G108">
        <f ca="1">IF($C108-G$1&lt;År1,0,F107*(1-VLOOKUP($A108,[1]Hugst!$R$5:$W$9,MATCH(ROUNDUP((G$1)/10,0)*10,[1]Hugst!$R$4:$W$4,0))))</f>
        <v>645.01749619441398</v>
      </c>
      <c r="H108">
        <f ca="1">IF($C108-H$1&lt;År1,0,G107*(1-VLOOKUP($A108,[1]Hugst!$R$5:$W$9,MATCH(ROUNDUP((H$1)/10,0)*10,[1]Hugst!$R$4:$W$4,0))))</f>
        <v>644.9165218056005</v>
      </c>
      <c r="I108">
        <f ca="1">IF($C108-I$1&lt;År1,0,H107*(1-VLOOKUP($A108,[1]Hugst!$R$5:$W$9,MATCH(ROUNDUP((I$1)/10,0)*10,[1]Hugst!$R$4:$W$4,0))))</f>
        <v>948.22704796286098</v>
      </c>
      <c r="J108">
        <f ca="1">IF($C108-J$1&lt;År1,0,I107*(1-VLOOKUP($A108,[1]Hugst!$R$5:$W$9,MATCH(ROUNDUP((J$1)/10,0)*10,[1]Hugst!$R$4:$W$4,0))))</f>
        <v>948.13090941323208</v>
      </c>
      <c r="K108">
        <f ca="1">IF($C108-K$1&lt;År1,0,J107*(1-VLOOKUP($A108,[1]Hugst!$R$5:$W$9,MATCH(ROUNDUP((K$1)/10,0)*10,[1]Hugst!$R$4:$W$4,0))))</f>
        <v>949.50723345931829</v>
      </c>
      <c r="L108">
        <f ca="1">IF($C108-L$1&lt;År1,0,K107*(1-VLOOKUP($A108,[1]Hugst!$R$5:$W$9,MATCH(ROUNDUP((L$1)/10,0)*10,[1]Hugst!$R$4:$W$4,0))))</f>
        <v>950.8904737066332</v>
      </c>
      <c r="M108">
        <f ca="1">IF($C108-M$1&lt;År1,0,L107*(1-VLOOKUP($A108,[1]Hugst!$R$5:$W$9,MATCH(ROUNDUP((M$1)/10,0)*10,[1]Hugst!$R$4:$W$4,0))))</f>
        <v>952.28066490998458</v>
      </c>
      <c r="N108">
        <f ca="1">IF($C108-N$1&lt;År1,0,M107*(1-VLOOKUP($A108,[1]Hugst!$R$5:$W$9,MATCH(ROUNDUP((N$1)/10,0)*10,[1]Hugst!$R$4:$W$4,0))))</f>
        <v>953.67784199875382</v>
      </c>
      <c r="O108">
        <f ca="1">IF($C108-O$1&lt;År1,0,N107*(1-VLOOKUP($A108,[1]Hugst!$R$5:$W$9,MATCH(ROUNDUP((O$1)/10,0)*10,[1]Hugst!$R$4:$W$4,0))))</f>
        <v>955.0820400779362</v>
      </c>
      <c r="P108">
        <f ca="1">IF($C108-P$1&lt;År1,0,O107*(1-VLOOKUP($A108,[1]Hugst!$R$5:$W$9,MATCH(ROUNDUP((P$1)/10,0)*10,[1]Hugst!$R$4:$W$4,0))))</f>
        <v>955.03423686108795</v>
      </c>
      <c r="Q108">
        <f ca="1">IF($C108-Q$1&lt;År1,0,P107*(1-VLOOKUP($A108,[1]Hugst!$R$5:$W$9,MATCH(ROUNDUP((Q$1)/10,0)*10,[1]Hugst!$R$4:$W$4,0))))</f>
        <v>954.99142719853478</v>
      </c>
      <c r="R108">
        <f ca="1">IF($C108-R$1&lt;År1,0,Q107*(1-VLOOKUP($A108,[1]Hugst!$R$5:$W$9,MATCH(ROUNDUP((R$1)/10,0)*10,[1]Hugst!$R$4:$W$4,0))))</f>
        <v>954.95362065600148</v>
      </c>
      <c r="S108">
        <f ca="1">IF($C108-S$1&lt;År1,0,R107*(1-VLOOKUP($A108,[1]Hugst!$R$5:$W$9,MATCH(ROUNDUP((S$1)/10,0)*10,[1]Hugst!$R$4:$W$4,0))))</f>
        <v>954.92082684465686</v>
      </c>
      <c r="T108">
        <f>IF($C108-T$1&lt;År1,0,S107*(1-VLOOKUP($A108,[1]Hugst!$R$5:$W$9,MATCH(ROUNDUP((T$1)/10,0)*10,[1]Hugst!$R$4:$W$4,0))))</f>
        <v>0</v>
      </c>
      <c r="U108">
        <f>IF($C108-U$1&lt;År1,0,T107*(1-VLOOKUP($A108,[1]Hugst!$R$5:$W$9,MATCH(ROUNDUP((U$1)/10,0)*10,[1]Hugst!$R$4:$W$4,0))))</f>
        <v>0</v>
      </c>
      <c r="V108">
        <f>IF($C108-V$1&lt;År1,0,U107*(1-VLOOKUP($A108,[1]Hugst!$R$5:$W$9,MATCH(ROUNDUP((V$1)/10,0)*10,[1]Hugst!$R$4:$W$4,0))))</f>
        <v>0</v>
      </c>
      <c r="W108">
        <f>IF($C108-W$1&lt;År1,0,V107*(1-VLOOKUP($A108,[1]Hugst!$R$5:$W$9,MATCH(ROUNDUP((W$1)/10,0)*10,[1]Hugst!$R$4:$W$4,0))))</f>
        <v>0</v>
      </c>
      <c r="X108">
        <f>IF($C108-X$1&lt;År1,0,W107*(1-VLOOKUP($A108,[1]Hugst!$R$5:$W$9,MATCH(ROUNDUP((X$1)/10,0)*10,[1]Hugst!$R$4:$W$4,0))))</f>
        <v>0</v>
      </c>
      <c r="Y108">
        <f>IF($C108-Y$1&lt;År1,0,X107*(1-VLOOKUP($A108,[1]Hugst!$R$5:$W$9,MATCH(ROUNDUP((Y$1)/10,0)*10,[1]Hugst!$R$4:$W$4,0))))</f>
        <v>0</v>
      </c>
      <c r="Z108">
        <f>IF($C108-Z$1&lt;År1,0,Y107*(1-VLOOKUP($A108,[1]Hugst!$R$5:$W$9,MATCH(ROUNDUP((Z$1)/10,0)*10,[1]Hugst!$R$4:$W$4,0))))</f>
        <v>0</v>
      </c>
      <c r="AA108">
        <f>IF($C108-AA$1&lt;År1,0,Z107*(1-VLOOKUP($A108,[1]Hugst!$R$5:$W$9,MATCH(ROUNDUP((AA$1)/10,0)*10,[1]Hugst!$R$4:$W$4,0))))</f>
        <v>0</v>
      </c>
      <c r="AB108">
        <f>IF($C108-AB$1&lt;År1,0,AA107*(1-VLOOKUP($A108,[1]Hugst!$R$5:$W$9,MATCH(ROUNDUP((AB$1)/10,0)*10,[1]Hugst!$R$4:$W$4,0))))</f>
        <v>0</v>
      </c>
      <c r="AC108">
        <f>IF($C108-AC$1&lt;År1,0,AB107*(1-VLOOKUP($A108,[1]Hugst!$R$5:$W$9,MATCH(ROUNDUP((AC$1)/10,0)*10,[1]Hugst!$R$4:$W$4,0))))</f>
        <v>0</v>
      </c>
      <c r="AD108">
        <f>IF($C108-AD$1&lt;År1,0,AC107*(1-VLOOKUP($A108,[1]Hugst!$R$5:$W$9,MATCH(ROUNDUP((AD$1)/10,0)*10,[1]Hugst!$R$4:$W$4,0))))</f>
        <v>0</v>
      </c>
      <c r="AE108">
        <f>IF($C108-AE$1&lt;År1,0,AD107*(1-VLOOKUP($A108,[1]Hugst!$R$5:$W$9,MATCH(ROUNDUP((AE$1)/10,0)*10,[1]Hugst!$R$4:$W$4,0))))</f>
        <v>0</v>
      </c>
      <c r="AF108">
        <f>IF($C108-AF$1&lt;År1,0,AE107*(1-VLOOKUP($A108,[1]Hugst!$R$5:$W$9,MATCH(ROUNDUP((AF$1)/10,0)*10,[1]Hugst!$R$4:$W$4,0))))</f>
        <v>0</v>
      </c>
      <c r="AG108">
        <f>IF($C108-AG$1&lt;År1,0,AF107*(1-VLOOKUP($A108,[1]Hugst!$R$5:$W$9,MATCH(ROUNDUP((AG$1)/10,0)*10,[1]Hugst!$R$4:$W$4,0))))</f>
        <v>0</v>
      </c>
      <c r="AH108">
        <f>IF($C108-AH$1&lt;År1,0,AG107*(1-VLOOKUP($A108,[1]Hugst!$R$5:$W$9,MATCH(ROUNDUP((AH$1)/10,0)*10,[1]Hugst!$R$4:$W$4,0))))</f>
        <v>0</v>
      </c>
      <c r="AI108">
        <f>IF($C108-AI$1&lt;År1,0,AH107*(1-VLOOKUP($A108,[1]Hugst!$R$5:$W$9,MATCH(ROUNDUP((AI$1)/10,0)*10,[1]Hugst!$R$4:$W$4,0))))</f>
        <v>0</v>
      </c>
      <c r="AJ108">
        <f>IF($C108-AJ$1&lt;År1,0,AI107*(1-VLOOKUP($A108,[1]Hugst!$R$5:$W$9,MATCH(ROUNDUP((AJ$1)/10,0)*10,[1]Hugst!$R$4:$W$4,0))))</f>
        <v>0</v>
      </c>
    </row>
    <row r="109" spans="1:36" x14ac:dyDescent="0.25">
      <c r="A109" t="s">
        <v>177</v>
      </c>
      <c r="B109" t="s">
        <v>24</v>
      </c>
      <c r="C109">
        <v>2034</v>
      </c>
      <c r="D109" cm="1">
        <f t="array" ref="D109">(IF(B109="Vestdanmark",Skovbrug!$C$22-(Skovbrug!$C$22)*(1-Skovbrug!$C$9)^(C109-Skovbrug!$B$12),Skovbrug!$F$22-(Skovbrug!$F$22)*(1-Skovbrug!$C$9)^(C109-Skovbrug!$B$12)))*VLOOKUP(A109,Skovbrug!$A$13:$D$17,IF('Skovbrug-alder'!C109&lt;=År2,3,4),FALSE)
-IF(C109&gt;2020,SUM(INDEX($C$1:$D$311,MATCH(1,(2020=$C$1:$C$311)*(B109=$B$1:$B$311)*(A109=$A$1:$A$311),0),2):D108),0)</f>
        <v>267.10940365726901</v>
      </c>
      <c r="E109">
        <f t="shared" ca="1" si="2"/>
        <v>7.2838710787709715</v>
      </c>
      <c r="F109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645.22660806937347</v>
      </c>
      <c r="G109">
        <f ca="1">IF($C109-G$1&lt;År1,0,F108*(1-VLOOKUP($A109,[1]Hugst!$R$5:$W$9,MATCH(ROUNDUP((G$1)/10,0)*10,[1]Hugst!$R$4:$W$4,0))))</f>
        <v>645.12086374451246</v>
      </c>
      <c r="H109">
        <f ca="1">IF($C109-H$1&lt;År1,0,G108*(1-VLOOKUP($A109,[1]Hugst!$R$5:$W$9,MATCH(ROUNDUP((H$1)/10,0)*10,[1]Hugst!$R$4:$W$4,0))))</f>
        <v>645.01749619441398</v>
      </c>
      <c r="I109">
        <f ca="1">IF($C109-I$1&lt;År1,0,H108*(1-VLOOKUP($A109,[1]Hugst!$R$5:$W$9,MATCH(ROUNDUP((I$1)/10,0)*10,[1]Hugst!$R$4:$W$4,0))))</f>
        <v>644.9165218056005</v>
      </c>
      <c r="J109">
        <f ca="1">IF($C109-J$1&lt;År1,0,I108*(1-VLOOKUP($A109,[1]Hugst!$R$5:$W$9,MATCH(ROUNDUP((J$1)/10,0)*10,[1]Hugst!$R$4:$W$4,0))))</f>
        <v>948.22704796286098</v>
      </c>
      <c r="K109">
        <f ca="1">IF($C109-K$1&lt;År1,0,J108*(1-VLOOKUP($A109,[1]Hugst!$R$5:$W$9,MATCH(ROUNDUP((K$1)/10,0)*10,[1]Hugst!$R$4:$W$4,0))))</f>
        <v>948.13090941323208</v>
      </c>
      <c r="L109">
        <f ca="1">IF($C109-L$1&lt;År1,0,K108*(1-VLOOKUP($A109,[1]Hugst!$R$5:$W$9,MATCH(ROUNDUP((L$1)/10,0)*10,[1]Hugst!$R$4:$W$4,0))))</f>
        <v>949.50723345931829</v>
      </c>
      <c r="M109">
        <f ca="1">IF($C109-M$1&lt;År1,0,L108*(1-VLOOKUP($A109,[1]Hugst!$R$5:$W$9,MATCH(ROUNDUP((M$1)/10,0)*10,[1]Hugst!$R$4:$W$4,0))))</f>
        <v>950.8904737066332</v>
      </c>
      <c r="N109">
        <f ca="1">IF($C109-N$1&lt;År1,0,M108*(1-VLOOKUP($A109,[1]Hugst!$R$5:$W$9,MATCH(ROUNDUP((N$1)/10,0)*10,[1]Hugst!$R$4:$W$4,0))))</f>
        <v>952.28066490998458</v>
      </c>
      <c r="O109">
        <f ca="1">IF($C109-O$1&lt;År1,0,N108*(1-VLOOKUP($A109,[1]Hugst!$R$5:$W$9,MATCH(ROUNDUP((O$1)/10,0)*10,[1]Hugst!$R$4:$W$4,0))))</f>
        <v>953.67784199875382</v>
      </c>
      <c r="P109">
        <f ca="1">IF($C109-P$1&lt;År1,0,O108*(1-VLOOKUP($A109,[1]Hugst!$R$5:$W$9,MATCH(ROUNDUP((P$1)/10,0)*10,[1]Hugst!$R$4:$W$4,0))))</f>
        <v>953.62513527103761</v>
      </c>
      <c r="Q109">
        <f ca="1">IF($C109-Q$1&lt;År1,0,P108*(1-VLOOKUP($A109,[1]Hugst!$R$5:$W$9,MATCH(ROUNDUP((Q$1)/10,0)*10,[1]Hugst!$R$4:$W$4,0))))</f>
        <v>953.57740497435066</v>
      </c>
      <c r="R109">
        <f ca="1">IF($C109-R$1&lt;År1,0,Q108*(1-VLOOKUP($A109,[1]Hugst!$R$5:$W$9,MATCH(ROUNDUP((R$1)/10,0)*10,[1]Hugst!$R$4:$W$4,0))))</f>
        <v>953.53466061467259</v>
      </c>
      <c r="S109">
        <f ca="1">IF($C109-S$1&lt;År1,0,R108*(1-VLOOKUP($A109,[1]Hugst!$R$5:$W$9,MATCH(ROUNDUP((S$1)/10,0)*10,[1]Hugst!$R$4:$W$4,0))))</f>
        <v>953.49691174313637</v>
      </c>
      <c r="T109">
        <f ca="1">IF($C109-T$1&lt;År1,0,S108*(1-VLOOKUP($A109,[1]Hugst!$R$5:$W$9,MATCH(ROUNDUP((T$1)/10,0)*10,[1]Hugst!$R$4:$W$4,0))))</f>
        <v>953.46416795624975</v>
      </c>
      <c r="U109">
        <f>IF($C109-U$1&lt;År1,0,T108*(1-VLOOKUP($A109,[1]Hugst!$R$5:$W$9,MATCH(ROUNDUP((U$1)/10,0)*10,[1]Hugst!$R$4:$W$4,0))))</f>
        <v>0</v>
      </c>
      <c r="V109">
        <f>IF($C109-V$1&lt;År1,0,U108*(1-VLOOKUP($A109,[1]Hugst!$R$5:$W$9,MATCH(ROUNDUP((V$1)/10,0)*10,[1]Hugst!$R$4:$W$4,0))))</f>
        <v>0</v>
      </c>
      <c r="W109">
        <f>IF($C109-W$1&lt;År1,0,V108*(1-VLOOKUP($A109,[1]Hugst!$R$5:$W$9,MATCH(ROUNDUP((W$1)/10,0)*10,[1]Hugst!$R$4:$W$4,0))))</f>
        <v>0</v>
      </c>
      <c r="X109">
        <f>IF($C109-X$1&lt;År1,0,W108*(1-VLOOKUP($A109,[1]Hugst!$R$5:$W$9,MATCH(ROUNDUP((X$1)/10,0)*10,[1]Hugst!$R$4:$W$4,0))))</f>
        <v>0</v>
      </c>
      <c r="Y109">
        <f>IF($C109-Y$1&lt;År1,0,X108*(1-VLOOKUP($A109,[1]Hugst!$R$5:$W$9,MATCH(ROUNDUP((Y$1)/10,0)*10,[1]Hugst!$R$4:$W$4,0))))</f>
        <v>0</v>
      </c>
      <c r="Z109">
        <f>IF($C109-Z$1&lt;År1,0,Y108*(1-VLOOKUP($A109,[1]Hugst!$R$5:$W$9,MATCH(ROUNDUP((Z$1)/10,0)*10,[1]Hugst!$R$4:$W$4,0))))</f>
        <v>0</v>
      </c>
      <c r="AA109">
        <f>IF($C109-AA$1&lt;År1,0,Z108*(1-VLOOKUP($A109,[1]Hugst!$R$5:$W$9,MATCH(ROUNDUP((AA$1)/10,0)*10,[1]Hugst!$R$4:$W$4,0))))</f>
        <v>0</v>
      </c>
      <c r="AB109">
        <f>IF($C109-AB$1&lt;År1,0,AA108*(1-VLOOKUP($A109,[1]Hugst!$R$5:$W$9,MATCH(ROUNDUP((AB$1)/10,0)*10,[1]Hugst!$R$4:$W$4,0))))</f>
        <v>0</v>
      </c>
      <c r="AC109">
        <f>IF($C109-AC$1&lt;År1,0,AB108*(1-VLOOKUP($A109,[1]Hugst!$R$5:$W$9,MATCH(ROUNDUP((AC$1)/10,0)*10,[1]Hugst!$R$4:$W$4,0))))</f>
        <v>0</v>
      </c>
      <c r="AD109">
        <f>IF($C109-AD$1&lt;År1,0,AC108*(1-VLOOKUP($A109,[1]Hugst!$R$5:$W$9,MATCH(ROUNDUP((AD$1)/10,0)*10,[1]Hugst!$R$4:$W$4,0))))</f>
        <v>0</v>
      </c>
      <c r="AE109">
        <f>IF($C109-AE$1&lt;År1,0,AD108*(1-VLOOKUP($A109,[1]Hugst!$R$5:$W$9,MATCH(ROUNDUP((AE$1)/10,0)*10,[1]Hugst!$R$4:$W$4,0))))</f>
        <v>0</v>
      </c>
      <c r="AF109">
        <f>IF($C109-AF$1&lt;År1,0,AE108*(1-VLOOKUP($A109,[1]Hugst!$R$5:$W$9,MATCH(ROUNDUP((AF$1)/10,0)*10,[1]Hugst!$R$4:$W$4,0))))</f>
        <v>0</v>
      </c>
      <c r="AG109">
        <f>IF($C109-AG$1&lt;År1,0,AF108*(1-VLOOKUP($A109,[1]Hugst!$R$5:$W$9,MATCH(ROUNDUP((AG$1)/10,0)*10,[1]Hugst!$R$4:$W$4,0))))</f>
        <v>0</v>
      </c>
      <c r="AH109">
        <f>IF($C109-AH$1&lt;År1,0,AG108*(1-VLOOKUP($A109,[1]Hugst!$R$5:$W$9,MATCH(ROUNDUP((AH$1)/10,0)*10,[1]Hugst!$R$4:$W$4,0))))</f>
        <v>0</v>
      </c>
      <c r="AI109">
        <f>IF($C109-AI$1&lt;År1,0,AH108*(1-VLOOKUP($A109,[1]Hugst!$R$5:$W$9,MATCH(ROUNDUP((AI$1)/10,0)*10,[1]Hugst!$R$4:$W$4,0))))</f>
        <v>0</v>
      </c>
      <c r="AJ109">
        <f>IF($C109-AJ$1&lt;År1,0,AI108*(1-VLOOKUP($A109,[1]Hugst!$R$5:$W$9,MATCH(ROUNDUP((AJ$1)/10,0)*10,[1]Hugst!$R$4:$W$4,0))))</f>
        <v>0</v>
      </c>
    </row>
    <row r="110" spans="1:36" x14ac:dyDescent="0.25">
      <c r="A110" t="s">
        <v>177</v>
      </c>
      <c r="B110" t="s">
        <v>24</v>
      </c>
      <c r="C110">
        <v>2035</v>
      </c>
      <c r="D110" cm="1">
        <f t="array" ref="D110">(IF(B110="Vestdanmark",Skovbrug!$C$22-(Skovbrug!$C$22)*(1-Skovbrug!$C$9)^(C110-Skovbrug!$B$12),Skovbrug!$F$22-(Skovbrug!$F$22)*(1-Skovbrug!$C$9)^(C110-Skovbrug!$B$12)))*VLOOKUP(A110,Skovbrug!$A$13:$D$17,IF('Skovbrug-alder'!C110&lt;=År2,3,4),FALSE)
-IF(C110&gt;2020,SUM(INDEX($C$1:$D$311,MATCH(1,(2020=$C$1:$C$311)*(B110=$B$1:$B$311)*(A110=$A$1:$A$311),0),2):D109),0)</f>
        <v>265.77385663898804</v>
      </c>
      <c r="E110">
        <f t="shared" ca="1" si="2"/>
        <v>8.7275228988146409</v>
      </c>
      <c r="F110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645.33471287113616</v>
      </c>
      <c r="G110">
        <f ca="1">IF($C110-G$1&lt;År1,0,F109*(1-VLOOKUP($A110,[1]Hugst!$R$5:$W$9,MATCH(ROUNDUP((G$1)/10,0)*10,[1]Hugst!$R$4:$W$4,0))))</f>
        <v>645.22660806937347</v>
      </c>
      <c r="H110">
        <f ca="1">IF($C110-H$1&lt;År1,0,G109*(1-VLOOKUP($A110,[1]Hugst!$R$5:$W$9,MATCH(ROUNDUP((H$1)/10,0)*10,[1]Hugst!$R$4:$W$4,0))))</f>
        <v>645.12086374451246</v>
      </c>
      <c r="I110">
        <f ca="1">IF($C110-I$1&lt;År1,0,H109*(1-VLOOKUP($A110,[1]Hugst!$R$5:$W$9,MATCH(ROUNDUP((I$1)/10,0)*10,[1]Hugst!$R$4:$W$4,0))))</f>
        <v>645.01749619441398</v>
      </c>
      <c r="J110">
        <f ca="1">IF($C110-J$1&lt;År1,0,I109*(1-VLOOKUP($A110,[1]Hugst!$R$5:$W$9,MATCH(ROUNDUP((J$1)/10,0)*10,[1]Hugst!$R$4:$W$4,0))))</f>
        <v>644.9165218056005</v>
      </c>
      <c r="K110">
        <f ca="1">IF($C110-K$1&lt;År1,0,J109*(1-VLOOKUP($A110,[1]Hugst!$R$5:$W$9,MATCH(ROUNDUP((K$1)/10,0)*10,[1]Hugst!$R$4:$W$4,0))))</f>
        <v>948.22704796286098</v>
      </c>
      <c r="L110">
        <f ca="1">IF($C110-L$1&lt;År1,0,K109*(1-VLOOKUP($A110,[1]Hugst!$R$5:$W$9,MATCH(ROUNDUP((L$1)/10,0)*10,[1]Hugst!$R$4:$W$4,0))))</f>
        <v>948.13090941323208</v>
      </c>
      <c r="M110">
        <f ca="1">IF($C110-M$1&lt;År1,0,L109*(1-VLOOKUP($A110,[1]Hugst!$R$5:$W$9,MATCH(ROUNDUP((M$1)/10,0)*10,[1]Hugst!$R$4:$W$4,0))))</f>
        <v>949.50723345931829</v>
      </c>
      <c r="N110">
        <f ca="1">IF($C110-N$1&lt;År1,0,M109*(1-VLOOKUP($A110,[1]Hugst!$R$5:$W$9,MATCH(ROUNDUP((N$1)/10,0)*10,[1]Hugst!$R$4:$W$4,0))))</f>
        <v>950.8904737066332</v>
      </c>
      <c r="O110">
        <f ca="1">IF($C110-O$1&lt;År1,0,N109*(1-VLOOKUP($A110,[1]Hugst!$R$5:$W$9,MATCH(ROUNDUP((O$1)/10,0)*10,[1]Hugst!$R$4:$W$4,0))))</f>
        <v>952.28066490998458</v>
      </c>
      <c r="P110">
        <f ca="1">IF($C110-P$1&lt;År1,0,O109*(1-VLOOKUP($A110,[1]Hugst!$R$5:$W$9,MATCH(ROUNDUP((P$1)/10,0)*10,[1]Hugst!$R$4:$W$4,0))))</f>
        <v>952.22307918892523</v>
      </c>
      <c r="Q110">
        <f ca="1">IF($C110-Q$1&lt;År1,0,P109*(1-VLOOKUP($A110,[1]Hugst!$R$5:$W$9,MATCH(ROUNDUP((Q$1)/10,0)*10,[1]Hugst!$R$4:$W$4,0))))</f>
        <v>952.17045286130212</v>
      </c>
      <c r="R110">
        <f ca="1">IF($C110-R$1&lt;År1,0,Q109*(1-VLOOKUP($A110,[1]Hugst!$R$5:$W$9,MATCH(ROUNDUP((R$1)/10,0)*10,[1]Hugst!$R$4:$W$4,0))))</f>
        <v>952.12279537354232</v>
      </c>
      <c r="S110">
        <f ca="1">IF($C110-S$1&lt;År1,0,R109*(1-VLOOKUP($A110,[1]Hugst!$R$5:$W$9,MATCH(ROUNDUP((S$1)/10,0)*10,[1]Hugst!$R$4:$W$4,0))))</f>
        <v>952.08011621712478</v>
      </c>
      <c r="T110">
        <f ca="1">IF($C110-T$1&lt;År1,0,S109*(1-VLOOKUP($A110,[1]Hugst!$R$5:$W$9,MATCH(ROUNDUP((T$1)/10,0)*10,[1]Hugst!$R$4:$W$4,0))))</f>
        <v>952.04242492861295</v>
      </c>
      <c r="U110">
        <f ca="1">IF($C110-U$1&lt;År1,0,T109*(1-VLOOKUP($A110,[1]Hugst!$R$5:$W$9,MATCH(ROUNDUP((U$1)/10,0)*10,[1]Hugst!$R$4:$W$4,0))))</f>
        <v>952.0097310898758</v>
      </c>
      <c r="V110">
        <f>IF($C110-V$1&lt;År1,0,U109*(1-VLOOKUP($A110,[1]Hugst!$R$5:$W$9,MATCH(ROUNDUP((V$1)/10,0)*10,[1]Hugst!$R$4:$W$4,0))))</f>
        <v>0</v>
      </c>
      <c r="W110">
        <f>IF($C110-W$1&lt;År1,0,V109*(1-VLOOKUP($A110,[1]Hugst!$R$5:$W$9,MATCH(ROUNDUP((W$1)/10,0)*10,[1]Hugst!$R$4:$W$4,0))))</f>
        <v>0</v>
      </c>
      <c r="X110">
        <f>IF($C110-X$1&lt;År1,0,W109*(1-VLOOKUP($A110,[1]Hugst!$R$5:$W$9,MATCH(ROUNDUP((X$1)/10,0)*10,[1]Hugst!$R$4:$W$4,0))))</f>
        <v>0</v>
      </c>
      <c r="Y110">
        <f>IF($C110-Y$1&lt;År1,0,X109*(1-VLOOKUP($A110,[1]Hugst!$R$5:$W$9,MATCH(ROUNDUP((Y$1)/10,0)*10,[1]Hugst!$R$4:$W$4,0))))</f>
        <v>0</v>
      </c>
      <c r="Z110">
        <f>IF($C110-Z$1&lt;År1,0,Y109*(1-VLOOKUP($A110,[1]Hugst!$R$5:$W$9,MATCH(ROUNDUP((Z$1)/10,0)*10,[1]Hugst!$R$4:$W$4,0))))</f>
        <v>0</v>
      </c>
      <c r="AA110">
        <f>IF($C110-AA$1&lt;År1,0,Z109*(1-VLOOKUP($A110,[1]Hugst!$R$5:$W$9,MATCH(ROUNDUP((AA$1)/10,0)*10,[1]Hugst!$R$4:$W$4,0))))</f>
        <v>0</v>
      </c>
      <c r="AB110">
        <f>IF($C110-AB$1&lt;År1,0,AA109*(1-VLOOKUP($A110,[1]Hugst!$R$5:$W$9,MATCH(ROUNDUP((AB$1)/10,0)*10,[1]Hugst!$R$4:$W$4,0))))</f>
        <v>0</v>
      </c>
      <c r="AC110">
        <f>IF($C110-AC$1&lt;År1,0,AB109*(1-VLOOKUP($A110,[1]Hugst!$R$5:$W$9,MATCH(ROUNDUP((AC$1)/10,0)*10,[1]Hugst!$R$4:$W$4,0))))</f>
        <v>0</v>
      </c>
      <c r="AD110">
        <f>IF($C110-AD$1&lt;År1,0,AC109*(1-VLOOKUP($A110,[1]Hugst!$R$5:$W$9,MATCH(ROUNDUP((AD$1)/10,0)*10,[1]Hugst!$R$4:$W$4,0))))</f>
        <v>0</v>
      </c>
      <c r="AE110">
        <f>IF($C110-AE$1&lt;År1,0,AD109*(1-VLOOKUP($A110,[1]Hugst!$R$5:$W$9,MATCH(ROUNDUP((AE$1)/10,0)*10,[1]Hugst!$R$4:$W$4,0))))</f>
        <v>0</v>
      </c>
      <c r="AF110">
        <f>IF($C110-AF$1&lt;År1,0,AE109*(1-VLOOKUP($A110,[1]Hugst!$R$5:$W$9,MATCH(ROUNDUP((AF$1)/10,0)*10,[1]Hugst!$R$4:$W$4,0))))</f>
        <v>0</v>
      </c>
      <c r="AG110">
        <f>IF($C110-AG$1&lt;År1,0,AF109*(1-VLOOKUP($A110,[1]Hugst!$R$5:$W$9,MATCH(ROUNDUP((AG$1)/10,0)*10,[1]Hugst!$R$4:$W$4,0))))</f>
        <v>0</v>
      </c>
      <c r="AH110">
        <f>IF($C110-AH$1&lt;År1,0,AG109*(1-VLOOKUP($A110,[1]Hugst!$R$5:$W$9,MATCH(ROUNDUP((AH$1)/10,0)*10,[1]Hugst!$R$4:$W$4,0))))</f>
        <v>0</v>
      </c>
      <c r="AI110">
        <f>IF($C110-AI$1&lt;År1,0,AH109*(1-VLOOKUP($A110,[1]Hugst!$R$5:$W$9,MATCH(ROUNDUP((AI$1)/10,0)*10,[1]Hugst!$R$4:$W$4,0))))</f>
        <v>0</v>
      </c>
      <c r="AJ110">
        <f>IF($C110-AJ$1&lt;År1,0,AI109*(1-VLOOKUP($A110,[1]Hugst!$R$5:$W$9,MATCH(ROUNDUP((AJ$1)/10,0)*10,[1]Hugst!$R$4:$W$4,0))))</f>
        <v>0</v>
      </c>
    </row>
    <row r="111" spans="1:36" x14ac:dyDescent="0.25">
      <c r="A111" t="s">
        <v>177</v>
      </c>
      <c r="B111" t="s">
        <v>24</v>
      </c>
      <c r="C111">
        <v>2036</v>
      </c>
      <c r="D111" cm="1">
        <f t="array" ref="D111">(IF(B111="Vestdanmark",Skovbrug!$C$22-(Skovbrug!$C$22)*(1-Skovbrug!$C$9)^(C111-Skovbrug!$B$12),Skovbrug!$F$22-(Skovbrug!$F$22)*(1-Skovbrug!$C$9)^(C111-Skovbrug!$B$12)))*VLOOKUP(A111,Skovbrug!$A$13:$D$17,IF('Skovbrug-alder'!C111&lt;=År2,3,4),FALSE)
-IF(C111&gt;2020,SUM(INDEX($C$1:$D$311,MATCH(1,(2020=$C$1:$C$311)*(B111=$B$1:$B$311)*(A111=$A$1:$A$311),0),2):D110),0)</f>
        <v>264.444987355786</v>
      </c>
      <c r="E111">
        <f t="shared" ca="1" si="2"/>
        <v>10.166841251040751</v>
      </c>
      <c r="F111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645.44516194016023</v>
      </c>
      <c r="G111">
        <f ca="1">IF($C111-G$1&lt;År1,0,F110*(1-VLOOKUP($A111,[1]Hugst!$R$5:$W$9,MATCH(ROUNDUP((G$1)/10,0)*10,[1]Hugst!$R$4:$W$4,0))))</f>
        <v>645.33471287113616</v>
      </c>
      <c r="H111">
        <f ca="1">IF($C111-H$1&lt;År1,0,G110*(1-VLOOKUP($A111,[1]Hugst!$R$5:$W$9,MATCH(ROUNDUP((H$1)/10,0)*10,[1]Hugst!$R$4:$W$4,0))))</f>
        <v>645.22660806937347</v>
      </c>
      <c r="I111">
        <f ca="1">IF($C111-I$1&lt;År1,0,H110*(1-VLOOKUP($A111,[1]Hugst!$R$5:$W$9,MATCH(ROUNDUP((I$1)/10,0)*10,[1]Hugst!$R$4:$W$4,0))))</f>
        <v>645.12086374451246</v>
      </c>
      <c r="J111">
        <f ca="1">IF($C111-J$1&lt;År1,0,I110*(1-VLOOKUP($A111,[1]Hugst!$R$5:$W$9,MATCH(ROUNDUP((J$1)/10,0)*10,[1]Hugst!$R$4:$W$4,0))))</f>
        <v>645.01749619441398</v>
      </c>
      <c r="K111">
        <f ca="1">IF($C111-K$1&lt;År1,0,J110*(1-VLOOKUP($A111,[1]Hugst!$R$5:$W$9,MATCH(ROUNDUP((K$1)/10,0)*10,[1]Hugst!$R$4:$W$4,0))))</f>
        <v>644.9165218056005</v>
      </c>
      <c r="L111">
        <f ca="1">IF($C111-L$1&lt;År1,0,K110*(1-VLOOKUP($A111,[1]Hugst!$R$5:$W$9,MATCH(ROUNDUP((L$1)/10,0)*10,[1]Hugst!$R$4:$W$4,0))))</f>
        <v>948.22704796286098</v>
      </c>
      <c r="M111">
        <f ca="1">IF($C111-M$1&lt;År1,0,L110*(1-VLOOKUP($A111,[1]Hugst!$R$5:$W$9,MATCH(ROUNDUP((M$1)/10,0)*10,[1]Hugst!$R$4:$W$4,0))))</f>
        <v>948.13090941323208</v>
      </c>
      <c r="N111">
        <f ca="1">IF($C111-N$1&lt;År1,0,M110*(1-VLOOKUP($A111,[1]Hugst!$R$5:$W$9,MATCH(ROUNDUP((N$1)/10,0)*10,[1]Hugst!$R$4:$W$4,0))))</f>
        <v>949.50723345931829</v>
      </c>
      <c r="O111">
        <f ca="1">IF($C111-O$1&lt;År1,0,N110*(1-VLOOKUP($A111,[1]Hugst!$R$5:$W$9,MATCH(ROUNDUP((O$1)/10,0)*10,[1]Hugst!$R$4:$W$4,0))))</f>
        <v>950.8904737066332</v>
      </c>
      <c r="P111">
        <f ca="1">IF($C111-P$1&lt;År1,0,O110*(1-VLOOKUP($A111,[1]Hugst!$R$5:$W$9,MATCH(ROUNDUP((P$1)/10,0)*10,[1]Hugst!$R$4:$W$4,0))))</f>
        <v>950.82803338724045</v>
      </c>
      <c r="Q111">
        <f ca="1">IF($C111-Q$1&lt;År1,0,P110*(1-VLOOKUP($A111,[1]Hugst!$R$5:$W$9,MATCH(ROUNDUP((Q$1)/10,0)*10,[1]Hugst!$R$4:$W$4,0))))</f>
        <v>950.77053550880646</v>
      </c>
      <c r="R111">
        <f ca="1">IF($C111-R$1&lt;År1,0,Q110*(1-VLOOKUP($A111,[1]Hugst!$R$5:$W$9,MATCH(ROUNDUP((R$1)/10,0)*10,[1]Hugst!$R$4:$W$4,0))))</f>
        <v>950.71798945863236</v>
      </c>
      <c r="S111">
        <f ca="1">IF($C111-S$1&lt;År1,0,R110*(1-VLOOKUP($A111,[1]Hugst!$R$5:$W$9,MATCH(ROUNDUP((S$1)/10,0)*10,[1]Hugst!$R$4:$W$4,0))))</f>
        <v>950.67040466873516</v>
      </c>
      <c r="T111">
        <f ca="1">IF($C111-T$1&lt;År1,0,S110*(1-VLOOKUP($A111,[1]Hugst!$R$5:$W$9,MATCH(ROUNDUP((T$1)/10,0)*10,[1]Hugst!$R$4:$W$4,0))))</f>
        <v>950.62779061611559</v>
      </c>
      <c r="U111">
        <f ca="1">IF($C111-U$1&lt;År1,0,T110*(1-VLOOKUP($A111,[1]Hugst!$R$5:$W$9,MATCH(ROUNDUP((U$1)/10,0)*10,[1]Hugst!$R$4:$W$4,0))))</f>
        <v>950.5901568227896</v>
      </c>
      <c r="V111">
        <f ca="1">IF($C111-V$1&lt;År1,0,U110*(1-VLOOKUP($A111,[1]Hugst!$R$5:$W$9,MATCH(ROUNDUP((V$1)/10,0)*10,[1]Hugst!$R$4:$W$4,0))))</f>
        <v>950.55751285600991</v>
      </c>
      <c r="W111">
        <f>IF($C111-W$1&lt;År1,0,V110*(1-VLOOKUP($A111,[1]Hugst!$R$5:$W$9,MATCH(ROUNDUP((W$1)/10,0)*10,[1]Hugst!$R$4:$W$4,0))))</f>
        <v>0</v>
      </c>
      <c r="X111">
        <f>IF($C111-X$1&lt;År1,0,W110*(1-VLOOKUP($A111,[1]Hugst!$R$5:$W$9,MATCH(ROUNDUP((X$1)/10,0)*10,[1]Hugst!$R$4:$W$4,0))))</f>
        <v>0</v>
      </c>
      <c r="Y111">
        <f>IF($C111-Y$1&lt;År1,0,X110*(1-VLOOKUP($A111,[1]Hugst!$R$5:$W$9,MATCH(ROUNDUP((Y$1)/10,0)*10,[1]Hugst!$R$4:$W$4,0))))</f>
        <v>0</v>
      </c>
      <c r="Z111">
        <f>IF($C111-Z$1&lt;År1,0,Y110*(1-VLOOKUP($A111,[1]Hugst!$R$5:$W$9,MATCH(ROUNDUP((Z$1)/10,0)*10,[1]Hugst!$R$4:$W$4,0))))</f>
        <v>0</v>
      </c>
      <c r="AA111">
        <f>IF($C111-AA$1&lt;År1,0,Z110*(1-VLOOKUP($A111,[1]Hugst!$R$5:$W$9,MATCH(ROUNDUP((AA$1)/10,0)*10,[1]Hugst!$R$4:$W$4,0))))</f>
        <v>0</v>
      </c>
      <c r="AB111">
        <f>IF($C111-AB$1&lt;År1,0,AA110*(1-VLOOKUP($A111,[1]Hugst!$R$5:$W$9,MATCH(ROUNDUP((AB$1)/10,0)*10,[1]Hugst!$R$4:$W$4,0))))</f>
        <v>0</v>
      </c>
      <c r="AC111">
        <f>IF($C111-AC$1&lt;År1,0,AB110*(1-VLOOKUP($A111,[1]Hugst!$R$5:$W$9,MATCH(ROUNDUP((AC$1)/10,0)*10,[1]Hugst!$R$4:$W$4,0))))</f>
        <v>0</v>
      </c>
      <c r="AD111">
        <f>IF($C111-AD$1&lt;År1,0,AC110*(1-VLOOKUP($A111,[1]Hugst!$R$5:$W$9,MATCH(ROUNDUP((AD$1)/10,0)*10,[1]Hugst!$R$4:$W$4,0))))</f>
        <v>0</v>
      </c>
      <c r="AE111">
        <f>IF($C111-AE$1&lt;År1,0,AD110*(1-VLOOKUP($A111,[1]Hugst!$R$5:$W$9,MATCH(ROUNDUP((AE$1)/10,0)*10,[1]Hugst!$R$4:$W$4,0))))</f>
        <v>0</v>
      </c>
      <c r="AF111">
        <f>IF($C111-AF$1&lt;År1,0,AE110*(1-VLOOKUP($A111,[1]Hugst!$R$5:$W$9,MATCH(ROUNDUP((AF$1)/10,0)*10,[1]Hugst!$R$4:$W$4,0))))</f>
        <v>0</v>
      </c>
      <c r="AG111">
        <f>IF($C111-AG$1&lt;År1,0,AF110*(1-VLOOKUP($A111,[1]Hugst!$R$5:$W$9,MATCH(ROUNDUP((AG$1)/10,0)*10,[1]Hugst!$R$4:$W$4,0))))</f>
        <v>0</v>
      </c>
      <c r="AH111">
        <f>IF($C111-AH$1&lt;År1,0,AG110*(1-VLOOKUP($A111,[1]Hugst!$R$5:$W$9,MATCH(ROUNDUP((AH$1)/10,0)*10,[1]Hugst!$R$4:$W$4,0))))</f>
        <v>0</v>
      </c>
      <c r="AI111">
        <f>IF($C111-AI$1&lt;År1,0,AH110*(1-VLOOKUP($A111,[1]Hugst!$R$5:$W$9,MATCH(ROUNDUP((AI$1)/10,0)*10,[1]Hugst!$R$4:$W$4,0))))</f>
        <v>0</v>
      </c>
      <c r="AJ111">
        <f>IF($C111-AJ$1&lt;År1,0,AI110*(1-VLOOKUP($A111,[1]Hugst!$R$5:$W$9,MATCH(ROUNDUP((AJ$1)/10,0)*10,[1]Hugst!$R$4:$W$4,0))))</f>
        <v>0</v>
      </c>
    </row>
    <row r="112" spans="1:36" x14ac:dyDescent="0.25">
      <c r="A112" t="s">
        <v>177</v>
      </c>
      <c r="B112" t="s">
        <v>24</v>
      </c>
      <c r="C112">
        <v>2037</v>
      </c>
      <c r="D112" cm="1">
        <f t="array" ref="D112">(IF(B112="Vestdanmark",Skovbrug!$C$22-(Skovbrug!$C$22)*(1-Skovbrug!$C$9)^(C112-Skovbrug!$B$12),Skovbrug!$F$22-(Skovbrug!$F$22)*(1-Skovbrug!$C$9)^(C112-Skovbrug!$B$12)))*VLOOKUP(A112,Skovbrug!$A$13:$D$17,IF('Skovbrug-alder'!C112&lt;=År2,3,4),FALSE)
-IF(C112&gt;2020,SUM(INDEX($C$1:$D$311,MATCH(1,(2020=$C$1:$C$311)*(B112=$B$1:$B$311)*(A112=$A$1:$A$311),0),2):D111),0)</f>
        <v>263.12276241901054</v>
      </c>
      <c r="E112">
        <f t="shared" ca="1" si="2"/>
        <v>11.601843402244413</v>
      </c>
      <c r="F112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645.55793915458844</v>
      </c>
      <c r="G112">
        <f ca="1">IF($C112-G$1&lt;År1,0,F111*(1-VLOOKUP($A112,[1]Hugst!$R$5:$W$9,MATCH(ROUNDUP((G$1)/10,0)*10,[1]Hugst!$R$4:$W$4,0))))</f>
        <v>645.44516194016023</v>
      </c>
      <c r="H112">
        <f ca="1">IF($C112-H$1&lt;År1,0,G111*(1-VLOOKUP($A112,[1]Hugst!$R$5:$W$9,MATCH(ROUNDUP((H$1)/10,0)*10,[1]Hugst!$R$4:$W$4,0))))</f>
        <v>645.33471287113616</v>
      </c>
      <c r="I112">
        <f ca="1">IF($C112-I$1&lt;År1,0,H111*(1-VLOOKUP($A112,[1]Hugst!$R$5:$W$9,MATCH(ROUNDUP((I$1)/10,0)*10,[1]Hugst!$R$4:$W$4,0))))</f>
        <v>645.22660806937347</v>
      </c>
      <c r="J112">
        <f ca="1">IF($C112-J$1&lt;År1,0,I111*(1-VLOOKUP($A112,[1]Hugst!$R$5:$W$9,MATCH(ROUNDUP((J$1)/10,0)*10,[1]Hugst!$R$4:$W$4,0))))</f>
        <v>645.12086374451246</v>
      </c>
      <c r="K112">
        <f ca="1">IF($C112-K$1&lt;År1,0,J111*(1-VLOOKUP($A112,[1]Hugst!$R$5:$W$9,MATCH(ROUNDUP((K$1)/10,0)*10,[1]Hugst!$R$4:$W$4,0))))</f>
        <v>645.01749619441398</v>
      </c>
      <c r="L112">
        <f ca="1">IF($C112-L$1&lt;År1,0,K111*(1-VLOOKUP($A112,[1]Hugst!$R$5:$W$9,MATCH(ROUNDUP((L$1)/10,0)*10,[1]Hugst!$R$4:$W$4,0))))</f>
        <v>644.9165218056005</v>
      </c>
      <c r="M112">
        <f ca="1">IF($C112-M$1&lt;År1,0,L111*(1-VLOOKUP($A112,[1]Hugst!$R$5:$W$9,MATCH(ROUNDUP((M$1)/10,0)*10,[1]Hugst!$R$4:$W$4,0))))</f>
        <v>948.22704796286098</v>
      </c>
      <c r="N112">
        <f ca="1">IF($C112-N$1&lt;År1,0,M111*(1-VLOOKUP($A112,[1]Hugst!$R$5:$W$9,MATCH(ROUNDUP((N$1)/10,0)*10,[1]Hugst!$R$4:$W$4,0))))</f>
        <v>948.13090941323208</v>
      </c>
      <c r="O112">
        <f ca="1">IF($C112-O$1&lt;År1,0,N111*(1-VLOOKUP($A112,[1]Hugst!$R$5:$W$9,MATCH(ROUNDUP((O$1)/10,0)*10,[1]Hugst!$R$4:$W$4,0))))</f>
        <v>949.50723345931829</v>
      </c>
      <c r="P112">
        <f ca="1">IF($C112-P$1&lt;År1,0,O111*(1-VLOOKUP($A112,[1]Hugst!$R$5:$W$9,MATCH(ROUNDUP((P$1)/10,0)*10,[1]Hugst!$R$4:$W$4,0))))</f>
        <v>949.43996281453826</v>
      </c>
      <c r="Q112">
        <f ca="1">IF($C112-Q$1&lt;År1,0,P111*(1-VLOOKUP($A112,[1]Hugst!$R$5:$W$9,MATCH(ROUNDUP((Q$1)/10,0)*10,[1]Hugst!$R$4:$W$4,0))))</f>
        <v>949.37761774309035</v>
      </c>
      <c r="R112">
        <f ca="1">IF($C112-R$1&lt;År1,0,Q111*(1-VLOOKUP($A112,[1]Hugst!$R$5:$W$9,MATCH(ROUNDUP((R$1)/10,0)*10,[1]Hugst!$R$4:$W$4,0))))</f>
        <v>949.32020757328451</v>
      </c>
      <c r="S112">
        <f ca="1">IF($C112-S$1&lt;År1,0,R111*(1-VLOOKUP($A112,[1]Hugst!$R$5:$W$9,MATCH(ROUNDUP((S$1)/10,0)*10,[1]Hugst!$R$4:$W$4,0))))</f>
        <v>949.2677416781022</v>
      </c>
      <c r="T112">
        <f ca="1">IF($C112-T$1&lt;År1,0,S111*(1-VLOOKUP($A112,[1]Hugst!$R$5:$W$9,MATCH(ROUNDUP((T$1)/10,0)*10,[1]Hugst!$R$4:$W$4,0))))</f>
        <v>949.22022947517269</v>
      </c>
      <c r="U112">
        <f ca="1">IF($C112-U$1&lt;År1,0,T111*(1-VLOOKUP($A112,[1]Hugst!$R$5:$W$9,MATCH(ROUNDUP((U$1)/10,0)*10,[1]Hugst!$R$4:$W$4,0))))</f>
        <v>949.17768042704017</v>
      </c>
      <c r="V112">
        <f ca="1">IF($C112-V$1&lt;År1,0,U111*(1-VLOOKUP($A112,[1]Hugst!$R$5:$W$9,MATCH(ROUNDUP((V$1)/10,0)*10,[1]Hugst!$R$4:$W$4,0))))</f>
        <v>949.14010404119551</v>
      </c>
      <c r="W112">
        <f ca="1">IF($C112-W$1&lt;År1,0,V111*(1-VLOOKUP($A112,[1]Hugst!$R$5:$W$9,MATCH(ROUNDUP((W$1)/10,0)*10,[1]Hugst!$R$4:$W$4,0))))</f>
        <v>949.10750987029735</v>
      </c>
      <c r="X112">
        <f>IF($C112-X$1&lt;År1,0,W111*(1-VLOOKUP($A112,[1]Hugst!$R$5:$W$9,MATCH(ROUNDUP((X$1)/10,0)*10,[1]Hugst!$R$4:$W$4,0))))</f>
        <v>0</v>
      </c>
      <c r="Y112">
        <f>IF($C112-Y$1&lt;År1,0,X111*(1-VLOOKUP($A112,[1]Hugst!$R$5:$W$9,MATCH(ROUNDUP((Y$1)/10,0)*10,[1]Hugst!$R$4:$W$4,0))))</f>
        <v>0</v>
      </c>
      <c r="Z112">
        <f>IF($C112-Z$1&lt;År1,0,Y111*(1-VLOOKUP($A112,[1]Hugst!$R$5:$W$9,MATCH(ROUNDUP((Z$1)/10,0)*10,[1]Hugst!$R$4:$W$4,0))))</f>
        <v>0</v>
      </c>
      <c r="AA112">
        <f>IF($C112-AA$1&lt;År1,0,Z111*(1-VLOOKUP($A112,[1]Hugst!$R$5:$W$9,MATCH(ROUNDUP((AA$1)/10,0)*10,[1]Hugst!$R$4:$W$4,0))))</f>
        <v>0</v>
      </c>
      <c r="AB112">
        <f>IF($C112-AB$1&lt;År1,0,AA111*(1-VLOOKUP($A112,[1]Hugst!$R$5:$W$9,MATCH(ROUNDUP((AB$1)/10,0)*10,[1]Hugst!$R$4:$W$4,0))))</f>
        <v>0</v>
      </c>
      <c r="AC112">
        <f>IF($C112-AC$1&lt;År1,0,AB111*(1-VLOOKUP($A112,[1]Hugst!$R$5:$W$9,MATCH(ROUNDUP((AC$1)/10,0)*10,[1]Hugst!$R$4:$W$4,0))))</f>
        <v>0</v>
      </c>
      <c r="AD112">
        <f>IF($C112-AD$1&lt;År1,0,AC111*(1-VLOOKUP($A112,[1]Hugst!$R$5:$W$9,MATCH(ROUNDUP((AD$1)/10,0)*10,[1]Hugst!$R$4:$W$4,0))))</f>
        <v>0</v>
      </c>
      <c r="AE112">
        <f>IF($C112-AE$1&lt;År1,0,AD111*(1-VLOOKUP($A112,[1]Hugst!$R$5:$W$9,MATCH(ROUNDUP((AE$1)/10,0)*10,[1]Hugst!$R$4:$W$4,0))))</f>
        <v>0</v>
      </c>
      <c r="AF112">
        <f>IF($C112-AF$1&lt;År1,0,AE111*(1-VLOOKUP($A112,[1]Hugst!$R$5:$W$9,MATCH(ROUNDUP((AF$1)/10,0)*10,[1]Hugst!$R$4:$W$4,0))))</f>
        <v>0</v>
      </c>
      <c r="AG112">
        <f>IF($C112-AG$1&lt;År1,0,AF111*(1-VLOOKUP($A112,[1]Hugst!$R$5:$W$9,MATCH(ROUNDUP((AG$1)/10,0)*10,[1]Hugst!$R$4:$W$4,0))))</f>
        <v>0</v>
      </c>
      <c r="AH112">
        <f>IF($C112-AH$1&lt;År1,0,AG111*(1-VLOOKUP($A112,[1]Hugst!$R$5:$W$9,MATCH(ROUNDUP((AH$1)/10,0)*10,[1]Hugst!$R$4:$W$4,0))))</f>
        <v>0</v>
      </c>
      <c r="AI112">
        <f>IF($C112-AI$1&lt;År1,0,AH111*(1-VLOOKUP($A112,[1]Hugst!$R$5:$W$9,MATCH(ROUNDUP((AI$1)/10,0)*10,[1]Hugst!$R$4:$W$4,0))))</f>
        <v>0</v>
      </c>
      <c r="AJ112">
        <f>IF($C112-AJ$1&lt;År1,0,AI111*(1-VLOOKUP($A112,[1]Hugst!$R$5:$W$9,MATCH(ROUNDUP((AJ$1)/10,0)*10,[1]Hugst!$R$4:$W$4,0))))</f>
        <v>0</v>
      </c>
    </row>
    <row r="113" spans="1:38" x14ac:dyDescent="0.25">
      <c r="A113" t="s">
        <v>177</v>
      </c>
      <c r="B113" t="s">
        <v>24</v>
      </c>
      <c r="C113">
        <v>2038</v>
      </c>
      <c r="D113" cm="1">
        <f t="array" ref="D113">(IF(B113="Vestdanmark",Skovbrug!$C$22-(Skovbrug!$C$22)*(1-Skovbrug!$C$9)^(C113-Skovbrug!$B$12),Skovbrug!$F$22-(Skovbrug!$F$22)*(1-Skovbrug!$C$9)^(C113-Skovbrug!$B$12)))*VLOOKUP(A113,Skovbrug!$A$13:$D$17,IF('Skovbrug-alder'!C113&lt;=År2,3,4),FALSE)
-IF(C113&gt;2020,SUM(INDEX($C$1:$D$311,MATCH(1,(2020=$C$1:$C$311)*(B113=$B$1:$B$311)*(A113=$A$1:$A$311),0),2):D112),0)</f>
        <v>261.80714860692024</v>
      </c>
      <c r="E113">
        <f t="shared" ca="1" si="2"/>
        <v>13.032546539614486</v>
      </c>
      <c r="F113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645.67302847986821</v>
      </c>
      <c r="G113">
        <f ca="1">IF($C113-G$1&lt;År1,0,F112*(1-VLOOKUP($A113,[1]Hugst!$R$5:$W$9,MATCH(ROUNDUP((G$1)/10,0)*10,[1]Hugst!$R$4:$W$4,0))))</f>
        <v>645.55793915458844</v>
      </c>
      <c r="H113">
        <f ca="1">IF($C113-H$1&lt;År1,0,G112*(1-VLOOKUP($A113,[1]Hugst!$R$5:$W$9,MATCH(ROUNDUP((H$1)/10,0)*10,[1]Hugst!$R$4:$W$4,0))))</f>
        <v>645.44516194016023</v>
      </c>
      <c r="I113">
        <f ca="1">IF($C113-I$1&lt;År1,0,H112*(1-VLOOKUP($A113,[1]Hugst!$R$5:$W$9,MATCH(ROUNDUP((I$1)/10,0)*10,[1]Hugst!$R$4:$W$4,0))))</f>
        <v>645.33471287113616</v>
      </c>
      <c r="J113">
        <f ca="1">IF($C113-J$1&lt;År1,0,I112*(1-VLOOKUP($A113,[1]Hugst!$R$5:$W$9,MATCH(ROUNDUP((J$1)/10,0)*10,[1]Hugst!$R$4:$W$4,0))))</f>
        <v>645.22660806937347</v>
      </c>
      <c r="K113">
        <f ca="1">IF($C113-K$1&lt;År1,0,J112*(1-VLOOKUP($A113,[1]Hugst!$R$5:$W$9,MATCH(ROUNDUP((K$1)/10,0)*10,[1]Hugst!$R$4:$W$4,0))))</f>
        <v>645.12086374451246</v>
      </c>
      <c r="L113">
        <f ca="1">IF($C113-L$1&lt;År1,0,K112*(1-VLOOKUP($A113,[1]Hugst!$R$5:$W$9,MATCH(ROUNDUP((L$1)/10,0)*10,[1]Hugst!$R$4:$W$4,0))))</f>
        <v>645.01749619441398</v>
      </c>
      <c r="M113">
        <f ca="1">IF($C113-M$1&lt;År1,0,L112*(1-VLOOKUP($A113,[1]Hugst!$R$5:$W$9,MATCH(ROUNDUP((M$1)/10,0)*10,[1]Hugst!$R$4:$W$4,0))))</f>
        <v>644.9165218056005</v>
      </c>
      <c r="N113">
        <f ca="1">IF($C113-N$1&lt;År1,0,M112*(1-VLOOKUP($A113,[1]Hugst!$R$5:$W$9,MATCH(ROUNDUP((N$1)/10,0)*10,[1]Hugst!$R$4:$W$4,0))))</f>
        <v>948.22704796286098</v>
      </c>
      <c r="O113">
        <f ca="1">IF($C113-O$1&lt;År1,0,N112*(1-VLOOKUP($A113,[1]Hugst!$R$5:$W$9,MATCH(ROUNDUP((O$1)/10,0)*10,[1]Hugst!$R$4:$W$4,0))))</f>
        <v>948.13090941323208</v>
      </c>
      <c r="P113">
        <f ca="1">IF($C113-P$1&lt;År1,0,O112*(1-VLOOKUP($A113,[1]Hugst!$R$5:$W$9,MATCH(ROUNDUP((P$1)/10,0)*10,[1]Hugst!$R$4:$W$4,0))))</f>
        <v>948.05883259471932</v>
      </c>
      <c r="Q113">
        <f ca="1">IF($C113-Q$1&lt;År1,0,P112*(1-VLOOKUP($A113,[1]Hugst!$R$5:$W$9,MATCH(ROUNDUP((Q$1)/10,0)*10,[1]Hugst!$R$4:$W$4,0))))</f>
        <v>947.99166456617706</v>
      </c>
      <c r="R113">
        <f ca="1">IF($C113-R$1&lt;År1,0,Q112*(1-VLOOKUP($A113,[1]Hugst!$R$5:$W$9,MATCH(ROUNDUP((R$1)/10,0)*10,[1]Hugst!$R$4:$W$4,0))))</f>
        <v>947.92941459738051</v>
      </c>
      <c r="S113">
        <f ca="1">IF($C113-S$1&lt;År1,0,R112*(1-VLOOKUP($A113,[1]Hugst!$R$5:$W$9,MATCH(ROUNDUP((S$1)/10,0)*10,[1]Hugst!$R$4:$W$4,0))))</f>
        <v>947.87209200241</v>
      </c>
      <c r="T113">
        <f ca="1">IF($C113-T$1&lt;År1,0,S112*(1-VLOOKUP($A113,[1]Hugst!$R$5:$W$9,MATCH(ROUNDUP((T$1)/10,0)*10,[1]Hugst!$R$4:$W$4,0))))</f>
        <v>947.81970613994918</v>
      </c>
      <c r="U113">
        <f ca="1">IF($C113-U$1&lt;År1,0,T112*(1-VLOOKUP($A113,[1]Hugst!$R$5:$W$9,MATCH(ROUNDUP((U$1)/10,0)*10,[1]Hugst!$R$4:$W$4,0))))</f>
        <v>947.77226641326138</v>
      </c>
      <c r="V113">
        <f ca="1">IF($C113-V$1&lt;År1,0,U112*(1-VLOOKUP($A113,[1]Hugst!$R$5:$W$9,MATCH(ROUNDUP((V$1)/10,0)*10,[1]Hugst!$R$4:$W$4,0))))</f>
        <v>947.72978227045655</v>
      </c>
      <c r="W113">
        <f ca="1">IF($C113-W$1&lt;År1,0,V112*(1-VLOOKUP($A113,[1]Hugst!$R$5:$W$9,MATCH(ROUNDUP((W$1)/10,0)*10,[1]Hugst!$R$4:$W$4,0))))</f>
        <v>947.69226320452242</v>
      </c>
      <c r="X113">
        <f ca="1">IF($C113-X$1&lt;År1,0,W112*(1-VLOOKUP($A113,[1]Hugst!$R$5:$W$9,MATCH(ROUNDUP((X$1)/10,0)*10,[1]Hugst!$R$4:$W$4,0))))</f>
        <v>947.65971875354603</v>
      </c>
      <c r="Y113">
        <f>IF($C113-Y$1&lt;År1,0,X112*(1-VLOOKUP($A113,[1]Hugst!$R$5:$W$9,MATCH(ROUNDUP((Y$1)/10,0)*10,[1]Hugst!$R$4:$W$4,0))))</f>
        <v>0</v>
      </c>
      <c r="Z113">
        <f>IF($C113-Z$1&lt;År1,0,Y112*(1-VLOOKUP($A113,[1]Hugst!$R$5:$W$9,MATCH(ROUNDUP((Z$1)/10,0)*10,[1]Hugst!$R$4:$W$4,0))))</f>
        <v>0</v>
      </c>
      <c r="AA113">
        <f>IF($C113-AA$1&lt;År1,0,Z112*(1-VLOOKUP($A113,[1]Hugst!$R$5:$W$9,MATCH(ROUNDUP((AA$1)/10,0)*10,[1]Hugst!$R$4:$W$4,0))))</f>
        <v>0</v>
      </c>
      <c r="AB113">
        <f>IF($C113-AB$1&lt;År1,0,AA112*(1-VLOOKUP($A113,[1]Hugst!$R$5:$W$9,MATCH(ROUNDUP((AB$1)/10,0)*10,[1]Hugst!$R$4:$W$4,0))))</f>
        <v>0</v>
      </c>
      <c r="AC113">
        <f>IF($C113-AC$1&lt;År1,0,AB112*(1-VLOOKUP($A113,[1]Hugst!$R$5:$W$9,MATCH(ROUNDUP((AC$1)/10,0)*10,[1]Hugst!$R$4:$W$4,0))))</f>
        <v>0</v>
      </c>
      <c r="AD113">
        <f>IF($C113-AD$1&lt;År1,0,AC112*(1-VLOOKUP($A113,[1]Hugst!$R$5:$W$9,MATCH(ROUNDUP((AD$1)/10,0)*10,[1]Hugst!$R$4:$W$4,0))))</f>
        <v>0</v>
      </c>
      <c r="AE113">
        <f>IF($C113-AE$1&lt;År1,0,AD112*(1-VLOOKUP($A113,[1]Hugst!$R$5:$W$9,MATCH(ROUNDUP((AE$1)/10,0)*10,[1]Hugst!$R$4:$W$4,0))))</f>
        <v>0</v>
      </c>
      <c r="AF113">
        <f>IF($C113-AF$1&lt;År1,0,AE112*(1-VLOOKUP($A113,[1]Hugst!$R$5:$W$9,MATCH(ROUNDUP((AF$1)/10,0)*10,[1]Hugst!$R$4:$W$4,0))))</f>
        <v>0</v>
      </c>
      <c r="AG113">
        <f>IF($C113-AG$1&lt;År1,0,AF112*(1-VLOOKUP($A113,[1]Hugst!$R$5:$W$9,MATCH(ROUNDUP((AG$1)/10,0)*10,[1]Hugst!$R$4:$W$4,0))))</f>
        <v>0</v>
      </c>
      <c r="AH113">
        <f>IF($C113-AH$1&lt;År1,0,AG112*(1-VLOOKUP($A113,[1]Hugst!$R$5:$W$9,MATCH(ROUNDUP((AH$1)/10,0)*10,[1]Hugst!$R$4:$W$4,0))))</f>
        <v>0</v>
      </c>
      <c r="AI113">
        <f>IF($C113-AI$1&lt;År1,0,AH112*(1-VLOOKUP($A113,[1]Hugst!$R$5:$W$9,MATCH(ROUNDUP((AI$1)/10,0)*10,[1]Hugst!$R$4:$W$4,0))))</f>
        <v>0</v>
      </c>
      <c r="AJ113">
        <f>IF($C113-AJ$1&lt;År1,0,AI112*(1-VLOOKUP($A113,[1]Hugst!$R$5:$W$9,MATCH(ROUNDUP((AJ$1)/10,0)*10,[1]Hugst!$R$4:$W$4,0))))</f>
        <v>0</v>
      </c>
    </row>
    <row r="114" spans="1:38" x14ac:dyDescent="0.25">
      <c r="A114" t="s">
        <v>177</v>
      </c>
      <c r="B114" t="s">
        <v>24</v>
      </c>
      <c r="C114">
        <v>2039</v>
      </c>
      <c r="D114" cm="1">
        <f t="array" ref="D114">(IF(B114="Vestdanmark",Skovbrug!$C$22-(Skovbrug!$C$22)*(1-Skovbrug!$C$9)^(C114-Skovbrug!$B$12),Skovbrug!$F$22-(Skovbrug!$F$22)*(1-Skovbrug!$C$9)^(C114-Skovbrug!$B$12)))*VLOOKUP(A114,Skovbrug!$A$13:$D$17,IF('Skovbrug-alder'!C114&lt;=År2,3,4),FALSE)
-IF(C114&gt;2020,SUM(INDEX($C$1:$D$311,MATCH(1,(2020=$C$1:$C$311)*(B114=$B$1:$B$311)*(A114=$A$1:$A$311),0),2):D113),0)</f>
        <v>260.49811286387649</v>
      </c>
      <c r="E114">
        <f t="shared" ca="1" si="2"/>
        <v>14.458967771122843</v>
      </c>
      <c r="F114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645.79041396833281</v>
      </c>
      <c r="G114">
        <f ca="1">IF($C114-G$1&lt;År1,0,F113*(1-VLOOKUP($A114,[1]Hugst!$R$5:$W$9,MATCH(ROUNDUP((G$1)/10,0)*10,[1]Hugst!$R$4:$W$4,0))))</f>
        <v>645.67302847986821</v>
      </c>
      <c r="H114">
        <f ca="1">IF($C114-H$1&lt;År1,0,G113*(1-VLOOKUP($A114,[1]Hugst!$R$5:$W$9,MATCH(ROUNDUP((H$1)/10,0)*10,[1]Hugst!$R$4:$W$4,0))))</f>
        <v>645.55793915458844</v>
      </c>
      <c r="I114">
        <f ca="1">IF($C114-I$1&lt;År1,0,H113*(1-VLOOKUP($A114,[1]Hugst!$R$5:$W$9,MATCH(ROUNDUP((I$1)/10,0)*10,[1]Hugst!$R$4:$W$4,0))))</f>
        <v>645.44516194016023</v>
      </c>
      <c r="J114">
        <f ca="1">IF($C114-J$1&lt;År1,0,I113*(1-VLOOKUP($A114,[1]Hugst!$R$5:$W$9,MATCH(ROUNDUP((J$1)/10,0)*10,[1]Hugst!$R$4:$W$4,0))))</f>
        <v>645.33471287113616</v>
      </c>
      <c r="K114">
        <f ca="1">IF($C114-K$1&lt;År1,0,J113*(1-VLOOKUP($A114,[1]Hugst!$R$5:$W$9,MATCH(ROUNDUP((K$1)/10,0)*10,[1]Hugst!$R$4:$W$4,0))))</f>
        <v>645.22660806937347</v>
      </c>
      <c r="L114">
        <f ca="1">IF($C114-L$1&lt;År1,0,K113*(1-VLOOKUP($A114,[1]Hugst!$R$5:$W$9,MATCH(ROUNDUP((L$1)/10,0)*10,[1]Hugst!$R$4:$W$4,0))))</f>
        <v>645.12086374451246</v>
      </c>
      <c r="M114">
        <f ca="1">IF($C114-M$1&lt;År1,0,L113*(1-VLOOKUP($A114,[1]Hugst!$R$5:$W$9,MATCH(ROUNDUP((M$1)/10,0)*10,[1]Hugst!$R$4:$W$4,0))))</f>
        <v>645.01749619441398</v>
      </c>
      <c r="N114">
        <f ca="1">IF($C114-N$1&lt;År1,0,M113*(1-VLOOKUP($A114,[1]Hugst!$R$5:$W$9,MATCH(ROUNDUP((N$1)/10,0)*10,[1]Hugst!$R$4:$W$4,0))))</f>
        <v>644.9165218056005</v>
      </c>
      <c r="O114">
        <f ca="1">IF($C114-O$1&lt;År1,0,N113*(1-VLOOKUP($A114,[1]Hugst!$R$5:$W$9,MATCH(ROUNDUP((O$1)/10,0)*10,[1]Hugst!$R$4:$W$4,0))))</f>
        <v>948.22704796286098</v>
      </c>
      <c r="P114">
        <f ca="1">IF($C114-P$1&lt;År1,0,O113*(1-VLOOKUP($A114,[1]Hugst!$R$5:$W$9,MATCH(ROUNDUP((P$1)/10,0)*10,[1]Hugst!$R$4:$W$4,0))))</f>
        <v>946.68460802599157</v>
      </c>
      <c r="Q114">
        <f ca="1">IF($C114-Q$1&lt;År1,0,P113*(1-VLOOKUP($A114,[1]Hugst!$R$5:$W$9,MATCH(ROUNDUP((Q$1)/10,0)*10,[1]Hugst!$R$4:$W$4,0))))</f>
        <v>946.61264115516803</v>
      </c>
      <c r="R114">
        <f ca="1">IF($C114-R$1&lt;År1,0,Q113*(1-VLOOKUP($A114,[1]Hugst!$R$5:$W$9,MATCH(ROUNDUP((R$1)/10,0)*10,[1]Hugst!$R$4:$W$4,0))))</f>
        <v>946.5455755863303</v>
      </c>
      <c r="S114">
        <f ca="1">IF($C114-S$1&lt;År1,0,R113*(1-VLOOKUP($A114,[1]Hugst!$R$5:$W$9,MATCH(ROUNDUP((S$1)/10,0)*10,[1]Hugst!$R$4:$W$4,0))))</f>
        <v>946.48342057511331</v>
      </c>
      <c r="T114">
        <f ca="1">IF($C114-T$1&lt;År1,0,S113*(1-VLOOKUP($A114,[1]Hugst!$R$5:$W$9,MATCH(ROUNDUP((T$1)/10,0)*10,[1]Hugst!$R$4:$W$4,0))))</f>
        <v>946.42618542138939</v>
      </c>
      <c r="U114">
        <f ca="1">IF($C114-U$1&lt;År1,0,T113*(1-VLOOKUP($A114,[1]Hugst!$R$5:$W$9,MATCH(ROUNDUP((U$1)/10,0)*10,[1]Hugst!$R$4:$W$4,0))))</f>
        <v>946.37387946956619</v>
      </c>
      <c r="V114">
        <f ca="1">IF($C114-V$1&lt;År1,0,U113*(1-VLOOKUP($A114,[1]Hugst!$R$5:$W$9,MATCH(ROUNDUP((V$1)/10,0)*10,[1]Hugst!$R$4:$W$4,0))))</f>
        <v>946.32651210856318</v>
      </c>
      <c r="W114">
        <f ca="1">IF($C114-W$1&lt;År1,0,V113*(1-VLOOKUP($A114,[1]Hugst!$R$5:$W$9,MATCH(ROUNDUP((W$1)/10,0)*10,[1]Hugst!$R$4:$W$4,0))))</f>
        <v>946.28409277207788</v>
      </c>
      <c r="X114">
        <f ca="1">IF($C114-X$1&lt;År1,0,W113*(1-VLOOKUP($A114,[1]Hugst!$R$5:$W$9,MATCH(ROUNDUP((X$1)/10,0)*10,[1]Hugst!$R$4:$W$4,0))))</f>
        <v>946.24663093861716</v>
      </c>
      <c r="Y114">
        <f ca="1">IF($C114-Y$1&lt;År1,0,X113*(1-VLOOKUP($A114,[1]Hugst!$R$5:$W$9,MATCH(ROUNDUP((Y$1)/10,0)*10,[1]Hugst!$R$4:$W$4,0))))</f>
        <v>946.21413613171853</v>
      </c>
      <c r="Z114">
        <f>IF($C114-Z$1&lt;År1,0,Y113*(1-VLOOKUP($A114,[1]Hugst!$R$5:$W$9,MATCH(ROUNDUP((Z$1)/10,0)*10,[1]Hugst!$R$4:$W$4,0))))</f>
        <v>0</v>
      </c>
      <c r="AA114">
        <f>IF($C114-AA$1&lt;År1,0,Z113*(1-VLOOKUP($A114,[1]Hugst!$R$5:$W$9,MATCH(ROUNDUP((AA$1)/10,0)*10,[1]Hugst!$R$4:$W$4,0))))</f>
        <v>0</v>
      </c>
      <c r="AB114">
        <f>IF($C114-AB$1&lt;År1,0,AA113*(1-VLOOKUP($A114,[1]Hugst!$R$5:$W$9,MATCH(ROUNDUP((AB$1)/10,0)*10,[1]Hugst!$R$4:$W$4,0))))</f>
        <v>0</v>
      </c>
      <c r="AC114">
        <f>IF($C114-AC$1&lt;År1,0,AB113*(1-VLOOKUP($A114,[1]Hugst!$R$5:$W$9,MATCH(ROUNDUP((AC$1)/10,0)*10,[1]Hugst!$R$4:$W$4,0))))</f>
        <v>0</v>
      </c>
      <c r="AD114">
        <f>IF($C114-AD$1&lt;År1,0,AC113*(1-VLOOKUP($A114,[1]Hugst!$R$5:$W$9,MATCH(ROUNDUP((AD$1)/10,0)*10,[1]Hugst!$R$4:$W$4,0))))</f>
        <v>0</v>
      </c>
      <c r="AE114">
        <f>IF($C114-AE$1&lt;År1,0,AD113*(1-VLOOKUP($A114,[1]Hugst!$R$5:$W$9,MATCH(ROUNDUP((AE$1)/10,0)*10,[1]Hugst!$R$4:$W$4,0))))</f>
        <v>0</v>
      </c>
      <c r="AF114">
        <f>IF($C114-AF$1&lt;År1,0,AE113*(1-VLOOKUP($A114,[1]Hugst!$R$5:$W$9,MATCH(ROUNDUP((AF$1)/10,0)*10,[1]Hugst!$R$4:$W$4,0))))</f>
        <v>0</v>
      </c>
      <c r="AG114">
        <f>IF($C114-AG$1&lt;År1,0,AF113*(1-VLOOKUP($A114,[1]Hugst!$R$5:$W$9,MATCH(ROUNDUP((AG$1)/10,0)*10,[1]Hugst!$R$4:$W$4,0))))</f>
        <v>0</v>
      </c>
      <c r="AH114">
        <f>IF($C114-AH$1&lt;År1,0,AG113*(1-VLOOKUP($A114,[1]Hugst!$R$5:$W$9,MATCH(ROUNDUP((AH$1)/10,0)*10,[1]Hugst!$R$4:$W$4,0))))</f>
        <v>0</v>
      </c>
      <c r="AI114">
        <f>IF($C114-AI$1&lt;År1,0,AH113*(1-VLOOKUP($A114,[1]Hugst!$R$5:$W$9,MATCH(ROUNDUP((AI$1)/10,0)*10,[1]Hugst!$R$4:$W$4,0))))</f>
        <v>0</v>
      </c>
      <c r="AJ114">
        <f>IF($C114-AJ$1&lt;År1,0,AI113*(1-VLOOKUP($A114,[1]Hugst!$R$5:$W$9,MATCH(ROUNDUP((AJ$1)/10,0)*10,[1]Hugst!$R$4:$W$4,0))))</f>
        <v>0</v>
      </c>
    </row>
    <row r="115" spans="1:38" x14ac:dyDescent="0.25">
      <c r="A115" t="s">
        <v>177</v>
      </c>
      <c r="B115" t="s">
        <v>24</v>
      </c>
      <c r="C115">
        <v>2040</v>
      </c>
      <c r="D115" cm="1">
        <f t="array" ref="D115">(IF(B115="Vestdanmark",Skovbrug!$C$22-(Skovbrug!$C$22)*(1-Skovbrug!$C$9)^(C115-Skovbrug!$B$12),Skovbrug!$F$22-(Skovbrug!$F$22)*(1-Skovbrug!$C$9)^(C115-Skovbrug!$B$12)))*VLOOKUP(A115,Skovbrug!$A$13:$D$17,IF('Skovbrug-alder'!C115&lt;=År2,3,4),FALSE)
-IF(C115&gt;2020,SUM(INDEX($C$1:$D$311,MATCH(1,(2020=$C$1:$C$311)*(B115=$B$1:$B$311)*(A115=$A$1:$A$311),0),2):D114),0)</f>
        <v>259.19562229955955</v>
      </c>
      <c r="E115">
        <f t="shared" ca="1" si="2"/>
        <v>16.083828854487365</v>
      </c>
      <c r="F115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646.1127844873804</v>
      </c>
      <c r="G115">
        <f ca="1">IF($C115-G$1&lt;År1,0,F114*(1-VLOOKUP($A115,[1]Hugst!$R$5:$W$9,MATCH(ROUNDUP((G$1)/10,0)*10,[1]Hugst!$R$4:$W$4,0))))</f>
        <v>645.79041396833281</v>
      </c>
      <c r="H115">
        <f ca="1">IF($C115-H$1&lt;År1,0,G114*(1-VLOOKUP($A115,[1]Hugst!$R$5:$W$9,MATCH(ROUNDUP((H$1)/10,0)*10,[1]Hugst!$R$4:$W$4,0))))</f>
        <v>645.67302847986821</v>
      </c>
      <c r="I115">
        <f ca="1">IF($C115-I$1&lt;År1,0,H114*(1-VLOOKUP($A115,[1]Hugst!$R$5:$W$9,MATCH(ROUNDUP((I$1)/10,0)*10,[1]Hugst!$R$4:$W$4,0))))</f>
        <v>645.55793915458844</v>
      </c>
      <c r="J115">
        <f ca="1">IF($C115-J$1&lt;År1,0,I114*(1-VLOOKUP($A115,[1]Hugst!$R$5:$W$9,MATCH(ROUNDUP((J$1)/10,0)*10,[1]Hugst!$R$4:$W$4,0))))</f>
        <v>645.44516194016023</v>
      </c>
      <c r="K115">
        <f ca="1">IF($C115-K$1&lt;År1,0,J114*(1-VLOOKUP($A115,[1]Hugst!$R$5:$W$9,MATCH(ROUNDUP((K$1)/10,0)*10,[1]Hugst!$R$4:$W$4,0))))</f>
        <v>645.33471287113616</v>
      </c>
      <c r="L115">
        <f ca="1">IF($C115-L$1&lt;År1,0,K114*(1-VLOOKUP($A115,[1]Hugst!$R$5:$W$9,MATCH(ROUNDUP((L$1)/10,0)*10,[1]Hugst!$R$4:$W$4,0))))</f>
        <v>645.22660806937347</v>
      </c>
      <c r="M115">
        <f ca="1">IF($C115-M$1&lt;År1,0,L114*(1-VLOOKUP($A115,[1]Hugst!$R$5:$W$9,MATCH(ROUNDUP((M$1)/10,0)*10,[1]Hugst!$R$4:$W$4,0))))</f>
        <v>645.12086374451246</v>
      </c>
      <c r="N115">
        <f ca="1">IF($C115-N$1&lt;År1,0,M114*(1-VLOOKUP($A115,[1]Hugst!$R$5:$W$9,MATCH(ROUNDUP((N$1)/10,0)*10,[1]Hugst!$R$4:$W$4,0))))</f>
        <v>645.01749619441398</v>
      </c>
      <c r="O115">
        <f ca="1">IF($C115-O$1&lt;År1,0,N114*(1-VLOOKUP($A115,[1]Hugst!$R$5:$W$9,MATCH(ROUNDUP((O$1)/10,0)*10,[1]Hugst!$R$4:$W$4,0))))</f>
        <v>644.9165218056005</v>
      </c>
      <c r="P115">
        <f ca="1">IF($C115-P$1&lt;År1,0,O114*(1-VLOOKUP($A115,[1]Hugst!$R$5:$W$9,MATCH(ROUNDUP((P$1)/10,0)*10,[1]Hugst!$R$4:$W$4,0))))</f>
        <v>946.78059992359556</v>
      </c>
      <c r="Q115">
        <f ca="1">IF($C115-Q$1&lt;År1,0,P114*(1-VLOOKUP($A115,[1]Hugst!$R$5:$W$9,MATCH(ROUNDUP((Q$1)/10,0)*10,[1]Hugst!$R$4:$W$4,0))))</f>
        <v>945.24051286120607</v>
      </c>
      <c r="R115">
        <f ca="1">IF($C115-R$1&lt;År1,0,Q114*(1-VLOOKUP($A115,[1]Hugst!$R$5:$W$9,MATCH(ROUNDUP((R$1)/10,0)*10,[1]Hugst!$R$4:$W$4,0))))</f>
        <v>945.16865577035503</v>
      </c>
      <c r="S115">
        <f ca="1">IF($C115-S$1&lt;År1,0,R114*(1-VLOOKUP($A115,[1]Hugst!$R$5:$W$9,MATCH(ROUNDUP((S$1)/10,0)*10,[1]Hugst!$R$4:$W$4,0))))</f>
        <v>945.10169250492743</v>
      </c>
      <c r="T115">
        <f ca="1">IF($C115-T$1&lt;År1,0,S114*(1-VLOOKUP($A115,[1]Hugst!$R$5:$W$9,MATCH(ROUNDUP((T$1)/10,0)*10,[1]Hugst!$R$4:$W$4,0))))</f>
        <v>945.03963230643933</v>
      </c>
      <c r="U115">
        <f ca="1">IF($C115-U$1&lt;År1,0,T114*(1-VLOOKUP($A115,[1]Hugst!$R$5:$W$9,MATCH(ROUNDUP((U$1)/10,0)*10,[1]Hugst!$R$4:$W$4,0))))</f>
        <v>944.9824844605771</v>
      </c>
      <c r="V115">
        <f ca="1">IF($C115-V$1&lt;År1,0,U114*(1-VLOOKUP($A115,[1]Hugst!$R$5:$W$9,MATCH(ROUNDUP((V$1)/10,0)*10,[1]Hugst!$R$4:$W$4,0))))</f>
        <v>944.93025829749399</v>
      </c>
      <c r="W115">
        <f ca="1">IF($C115-W$1&lt;År1,0,V114*(1-VLOOKUP($A115,[1]Hugst!$R$5:$W$9,MATCH(ROUNDUP((W$1)/10,0)*10,[1]Hugst!$R$4:$W$4,0))))</f>
        <v>944.88296319178733</v>
      </c>
      <c r="X115">
        <f ca="1">IF($C115-X$1&lt;År1,0,W114*(1-VLOOKUP($A115,[1]Hugst!$R$5:$W$9,MATCH(ROUNDUP((X$1)/10,0)*10,[1]Hugst!$R$4:$W$4,0))))</f>
        <v>944.84060856276449</v>
      </c>
      <c r="Y115">
        <f ca="1">IF($C115-Y$1&lt;År1,0,X114*(1-VLOOKUP($A115,[1]Hugst!$R$5:$W$9,MATCH(ROUNDUP((Y$1)/10,0)*10,[1]Hugst!$R$4:$W$4,0))))</f>
        <v>944.80320387447352</v>
      </c>
      <c r="Z115">
        <f ca="1">IF($C115-Z$1&lt;År1,0,Y114*(1-VLOOKUP($A115,[1]Hugst!$R$5:$W$9,MATCH(ROUNDUP((Z$1)/10,0)*10,[1]Hugst!$R$4:$W$4,0))))</f>
        <v>944.57028953928625</v>
      </c>
      <c r="AA115">
        <f>IF($C115-AA$1&lt;År1,0,Z114*(1-VLOOKUP($A115,[1]Hugst!$R$5:$W$9,MATCH(ROUNDUP((AA$1)/10,0)*10,[1]Hugst!$R$4:$W$4,0))))</f>
        <v>0</v>
      </c>
      <c r="AB115">
        <f>IF($C115-AB$1&lt;År1,0,AA114*(1-VLOOKUP($A115,[1]Hugst!$R$5:$W$9,MATCH(ROUNDUP((AB$1)/10,0)*10,[1]Hugst!$R$4:$W$4,0))))</f>
        <v>0</v>
      </c>
      <c r="AC115">
        <f>IF($C115-AC$1&lt;År1,0,AB114*(1-VLOOKUP($A115,[1]Hugst!$R$5:$W$9,MATCH(ROUNDUP((AC$1)/10,0)*10,[1]Hugst!$R$4:$W$4,0))))</f>
        <v>0</v>
      </c>
      <c r="AD115">
        <f>IF($C115-AD$1&lt;År1,0,AC114*(1-VLOOKUP($A115,[1]Hugst!$R$5:$W$9,MATCH(ROUNDUP((AD$1)/10,0)*10,[1]Hugst!$R$4:$W$4,0))))</f>
        <v>0</v>
      </c>
      <c r="AE115">
        <f>IF($C115-AE$1&lt;År1,0,AD114*(1-VLOOKUP($A115,[1]Hugst!$R$5:$W$9,MATCH(ROUNDUP((AE$1)/10,0)*10,[1]Hugst!$R$4:$W$4,0))))</f>
        <v>0</v>
      </c>
      <c r="AF115">
        <f>IF($C115-AF$1&lt;År1,0,AE114*(1-VLOOKUP($A115,[1]Hugst!$R$5:$W$9,MATCH(ROUNDUP((AF$1)/10,0)*10,[1]Hugst!$R$4:$W$4,0))))</f>
        <v>0</v>
      </c>
      <c r="AG115">
        <f>IF($C115-AG$1&lt;År1,0,AF114*(1-VLOOKUP($A115,[1]Hugst!$R$5:$W$9,MATCH(ROUNDUP((AG$1)/10,0)*10,[1]Hugst!$R$4:$W$4,0))))</f>
        <v>0</v>
      </c>
      <c r="AH115">
        <f>IF($C115-AH$1&lt;År1,0,AG114*(1-VLOOKUP($A115,[1]Hugst!$R$5:$W$9,MATCH(ROUNDUP((AH$1)/10,0)*10,[1]Hugst!$R$4:$W$4,0))))</f>
        <v>0</v>
      </c>
      <c r="AI115">
        <f>IF($C115-AI$1&lt;År1,0,AH114*(1-VLOOKUP($A115,[1]Hugst!$R$5:$W$9,MATCH(ROUNDUP((AI$1)/10,0)*10,[1]Hugst!$R$4:$W$4,0))))</f>
        <v>0</v>
      </c>
      <c r="AJ115">
        <f>IF($C115-AJ$1&lt;År1,0,AI114*(1-VLOOKUP($A115,[1]Hugst!$R$5:$W$9,MATCH(ROUNDUP((AJ$1)/10,0)*10,[1]Hugst!$R$4:$W$4,0))))</f>
        <v>0</v>
      </c>
    </row>
    <row r="116" spans="1:38" x14ac:dyDescent="0.25">
      <c r="A116" t="s">
        <v>177</v>
      </c>
      <c r="B116" t="s">
        <v>24</v>
      </c>
      <c r="C116">
        <v>2041</v>
      </c>
      <c r="D116" cm="1">
        <f t="array" ref="D116">(IF(B116="Vestdanmark",Skovbrug!$C$22-(Skovbrug!$C$22)*(1-Skovbrug!$C$9)^(C116-Skovbrug!$B$12),Skovbrug!$F$22-(Skovbrug!$F$22)*(1-Skovbrug!$C$9)^(C116-Skovbrug!$B$12)))*VLOOKUP(A116,Skovbrug!$A$13:$D$17,IF('Skovbrug-alder'!C116&lt;=År2,3,4),FALSE)
-IF(C116&gt;2020,SUM(INDEX($C$1:$D$311,MATCH(1,(2020=$C$1:$C$311)*(B116=$B$1:$B$311)*(A116=$A$1:$A$311),0),2):D115),0)</f>
        <v>257.89964418806539</v>
      </c>
      <c r="E116">
        <f t="shared" ca="1" si="2"/>
        <v>17.242887063501257</v>
      </c>
      <c r="F116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645.97586458490014</v>
      </c>
      <c r="G116">
        <f ca="1">IF($C116-G$1&lt;År1,0,F115*(1-VLOOKUP($A116,[1]Hugst!$R$5:$W$9,MATCH(ROUNDUP((G$1)/10,0)*10,[1]Hugst!$R$4:$W$4,0))))</f>
        <v>646.1127844873804</v>
      </c>
      <c r="H116">
        <f ca="1">IF($C116-H$1&lt;År1,0,G115*(1-VLOOKUP($A116,[1]Hugst!$R$5:$W$9,MATCH(ROUNDUP((H$1)/10,0)*10,[1]Hugst!$R$4:$W$4,0))))</f>
        <v>645.79041396833281</v>
      </c>
      <c r="I116">
        <f ca="1">IF($C116-I$1&lt;År1,0,H115*(1-VLOOKUP($A116,[1]Hugst!$R$5:$W$9,MATCH(ROUNDUP((I$1)/10,0)*10,[1]Hugst!$R$4:$W$4,0))))</f>
        <v>645.67302847986821</v>
      </c>
      <c r="J116">
        <f ca="1">IF($C116-J$1&lt;År1,0,I115*(1-VLOOKUP($A116,[1]Hugst!$R$5:$W$9,MATCH(ROUNDUP((J$1)/10,0)*10,[1]Hugst!$R$4:$W$4,0))))</f>
        <v>645.55793915458844</v>
      </c>
      <c r="K116">
        <f ca="1">IF($C116-K$1&lt;År1,0,J115*(1-VLOOKUP($A116,[1]Hugst!$R$5:$W$9,MATCH(ROUNDUP((K$1)/10,0)*10,[1]Hugst!$R$4:$W$4,0))))</f>
        <v>645.44516194016023</v>
      </c>
      <c r="L116">
        <f ca="1">IF($C116-L$1&lt;År1,0,K115*(1-VLOOKUP($A116,[1]Hugst!$R$5:$W$9,MATCH(ROUNDUP((L$1)/10,0)*10,[1]Hugst!$R$4:$W$4,0))))</f>
        <v>645.33471287113616</v>
      </c>
      <c r="M116">
        <f ca="1">IF($C116-M$1&lt;År1,0,L115*(1-VLOOKUP($A116,[1]Hugst!$R$5:$W$9,MATCH(ROUNDUP((M$1)/10,0)*10,[1]Hugst!$R$4:$W$4,0))))</f>
        <v>645.22660806937347</v>
      </c>
      <c r="N116">
        <f ca="1">IF($C116-N$1&lt;År1,0,M115*(1-VLOOKUP($A116,[1]Hugst!$R$5:$W$9,MATCH(ROUNDUP((N$1)/10,0)*10,[1]Hugst!$R$4:$W$4,0))))</f>
        <v>645.12086374451246</v>
      </c>
      <c r="O116">
        <f ca="1">IF($C116-O$1&lt;År1,0,N115*(1-VLOOKUP($A116,[1]Hugst!$R$5:$W$9,MATCH(ROUNDUP((O$1)/10,0)*10,[1]Hugst!$R$4:$W$4,0))))</f>
        <v>645.01749619441398</v>
      </c>
      <c r="P116">
        <f ca="1">IF($C116-P$1&lt;År1,0,O115*(1-VLOOKUP($A116,[1]Hugst!$R$5:$W$9,MATCH(ROUNDUP((P$1)/10,0)*10,[1]Hugst!$R$4:$W$4,0))))</f>
        <v>643.9327508401343</v>
      </c>
      <c r="Q116">
        <f ca="1">IF($C116-Q$1&lt;År1,0,P115*(1-VLOOKUP($A116,[1]Hugst!$R$5:$W$9,MATCH(ROUNDUP((Q$1)/10,0)*10,[1]Hugst!$R$4:$W$4,0))))</f>
        <v>945.33635833049175</v>
      </c>
      <c r="R116">
        <f ca="1">IF($C116-R$1&lt;År1,0,Q115*(1-VLOOKUP($A116,[1]Hugst!$R$5:$W$9,MATCH(ROUNDUP((R$1)/10,0)*10,[1]Hugst!$R$4:$W$4,0))))</f>
        <v>943.79862055345166</v>
      </c>
      <c r="S116">
        <f ca="1">IF($C116-S$1&lt;År1,0,R115*(1-VLOOKUP($A116,[1]Hugst!$R$5:$W$9,MATCH(ROUNDUP((S$1)/10,0)*10,[1]Hugst!$R$4:$W$4,0))))</f>
        <v>943.72687307511205</v>
      </c>
      <c r="T116">
        <f ca="1">IF($C116-T$1&lt;År1,0,S115*(1-VLOOKUP($A116,[1]Hugst!$R$5:$W$9,MATCH(ROUNDUP((T$1)/10,0)*10,[1]Hugst!$R$4:$W$4,0))))</f>
        <v>943.66001195703848</v>
      </c>
      <c r="U116">
        <f ca="1">IF($C116-U$1&lt;År1,0,T115*(1-VLOOKUP($A116,[1]Hugst!$R$5:$W$9,MATCH(ROUNDUP((U$1)/10,0)*10,[1]Hugst!$R$4:$W$4,0))))</f>
        <v>943.59804642664983</v>
      </c>
      <c r="V116">
        <f ca="1">IF($C116-V$1&lt;År1,0,U115*(1-VLOOKUP($A116,[1]Hugst!$R$5:$W$9,MATCH(ROUNDUP((V$1)/10,0)*10,[1]Hugst!$R$4:$W$4,0))))</f>
        <v>943.54098575546766</v>
      </c>
      <c r="W116">
        <f ca="1">IF($C116-W$1&lt;År1,0,V115*(1-VLOOKUP($A116,[1]Hugst!$R$5:$W$9,MATCH(ROUNDUP((W$1)/10,0)*10,[1]Hugst!$R$4:$W$4,0))))</f>
        <v>943.488839259413</v>
      </c>
      <c r="X116">
        <f ca="1">IF($C116-X$1&lt;År1,0,W115*(1-VLOOKUP($A116,[1]Hugst!$R$5:$W$9,MATCH(ROUNDUP((X$1)/10,0)*10,[1]Hugst!$R$4:$W$4,0))))</f>
        <v>943.44161629878283</v>
      </c>
      <c r="Y116">
        <f ca="1">IF($C116-Y$1&lt;År1,0,X115*(1-VLOOKUP($A116,[1]Hugst!$R$5:$W$9,MATCH(ROUNDUP((Y$1)/10,0)*10,[1]Hugst!$R$4:$W$4,0))))</f>
        <v>943.39932627851613</v>
      </c>
      <c r="Z116">
        <f ca="1">IF($C116-Z$1&lt;År1,0,Y115*(1-VLOOKUP($A116,[1]Hugst!$R$5:$W$9,MATCH(ROUNDUP((Z$1)/10,0)*10,[1]Hugst!$R$4:$W$4,0))))</f>
        <v>943.1618084779119</v>
      </c>
      <c r="AA116">
        <f ca="1">IF($C116-AA$1&lt;År1,0,Z115*(1-VLOOKUP($A116,[1]Hugst!$R$5:$W$9,MATCH(ROUNDUP((AA$1)/10,0)*10,[1]Hugst!$R$4:$W$4,0))))</f>
        <v>942.92929878203574</v>
      </c>
      <c r="AB116">
        <f>IF($C116-AB$1&lt;År1,0,AA115*(1-VLOOKUP($A116,[1]Hugst!$R$5:$W$9,MATCH(ROUNDUP((AB$1)/10,0)*10,[1]Hugst!$R$4:$W$4,0))))</f>
        <v>0</v>
      </c>
      <c r="AC116">
        <f>IF($C116-AC$1&lt;År1,0,AB115*(1-VLOOKUP($A116,[1]Hugst!$R$5:$W$9,MATCH(ROUNDUP((AC$1)/10,0)*10,[1]Hugst!$R$4:$W$4,0))))</f>
        <v>0</v>
      </c>
      <c r="AD116">
        <f>IF($C116-AD$1&lt;År1,0,AC115*(1-VLOOKUP($A116,[1]Hugst!$R$5:$W$9,MATCH(ROUNDUP((AD$1)/10,0)*10,[1]Hugst!$R$4:$W$4,0))))</f>
        <v>0</v>
      </c>
      <c r="AE116">
        <f>IF($C116-AE$1&lt;År1,0,AD115*(1-VLOOKUP($A116,[1]Hugst!$R$5:$W$9,MATCH(ROUNDUP((AE$1)/10,0)*10,[1]Hugst!$R$4:$W$4,0))))</f>
        <v>0</v>
      </c>
      <c r="AF116">
        <f>IF($C116-AF$1&lt;År1,0,AE115*(1-VLOOKUP($A116,[1]Hugst!$R$5:$W$9,MATCH(ROUNDUP((AF$1)/10,0)*10,[1]Hugst!$R$4:$W$4,0))))</f>
        <v>0</v>
      </c>
      <c r="AG116">
        <f>IF($C116-AG$1&lt;År1,0,AF115*(1-VLOOKUP($A116,[1]Hugst!$R$5:$W$9,MATCH(ROUNDUP((AG$1)/10,0)*10,[1]Hugst!$R$4:$W$4,0))))</f>
        <v>0</v>
      </c>
      <c r="AH116">
        <f>IF($C116-AH$1&lt;År1,0,AG115*(1-VLOOKUP($A116,[1]Hugst!$R$5:$W$9,MATCH(ROUNDUP((AH$1)/10,0)*10,[1]Hugst!$R$4:$W$4,0))))</f>
        <v>0</v>
      </c>
      <c r="AI116">
        <f>IF($C116-AI$1&lt;År1,0,AH115*(1-VLOOKUP($A116,[1]Hugst!$R$5:$W$9,MATCH(ROUNDUP((AI$1)/10,0)*10,[1]Hugst!$R$4:$W$4,0))))</f>
        <v>0</v>
      </c>
      <c r="AJ116">
        <f>IF($C116-AJ$1&lt;År1,0,AI115*(1-VLOOKUP($A116,[1]Hugst!$R$5:$W$9,MATCH(ROUNDUP((AJ$1)/10,0)*10,[1]Hugst!$R$4:$W$4,0))))</f>
        <v>0</v>
      </c>
    </row>
    <row r="117" spans="1:38" x14ac:dyDescent="0.25">
      <c r="A117" t="s">
        <v>177</v>
      </c>
      <c r="B117" t="s">
        <v>24</v>
      </c>
      <c r="C117">
        <v>2042</v>
      </c>
      <c r="D117" cm="1">
        <f t="array" ref="D117">(IF(B117="Vestdanmark",Skovbrug!$C$22-(Skovbrug!$C$22)*(1-Skovbrug!$C$9)^(C117-Skovbrug!$B$12),Skovbrug!$F$22-(Skovbrug!$F$22)*(1-Skovbrug!$C$9)^(C117-Skovbrug!$B$12)))*VLOOKUP(A117,Skovbrug!$A$13:$D$17,IF('Skovbrug-alder'!C117&lt;=År2,3,4),FALSE)
-IF(C117&gt;2020,SUM(INDEX($C$1:$D$311,MATCH(1,(2020=$C$1:$C$311)*(B117=$B$1:$B$311)*(A117=$A$1:$A$311),0),2):D116),0)</f>
        <v>256.61014596712266</v>
      </c>
      <c r="E117">
        <f t="shared" ca="1" si="2"/>
        <v>18.399686666441994</v>
      </c>
      <c r="F117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645.84316596689814</v>
      </c>
      <c r="G117">
        <f ca="1">IF($C117-G$1&lt;År1,0,F116*(1-VLOOKUP($A117,[1]Hugst!$R$5:$W$9,MATCH(ROUNDUP((G$1)/10,0)*10,[1]Hugst!$R$4:$W$4,0))))</f>
        <v>645.97586458490014</v>
      </c>
      <c r="H117">
        <f ca="1">IF($C117-H$1&lt;År1,0,G116*(1-VLOOKUP($A117,[1]Hugst!$R$5:$W$9,MATCH(ROUNDUP((H$1)/10,0)*10,[1]Hugst!$R$4:$W$4,0))))</f>
        <v>646.1127844873804</v>
      </c>
      <c r="I117">
        <f ca="1">IF($C117-I$1&lt;År1,0,H116*(1-VLOOKUP($A117,[1]Hugst!$R$5:$W$9,MATCH(ROUNDUP((I$1)/10,0)*10,[1]Hugst!$R$4:$W$4,0))))</f>
        <v>645.79041396833281</v>
      </c>
      <c r="J117">
        <f ca="1">IF($C117-J$1&lt;År1,0,I116*(1-VLOOKUP($A117,[1]Hugst!$R$5:$W$9,MATCH(ROUNDUP((J$1)/10,0)*10,[1]Hugst!$R$4:$W$4,0))))</f>
        <v>645.67302847986821</v>
      </c>
      <c r="K117">
        <f ca="1">IF($C117-K$1&lt;År1,0,J116*(1-VLOOKUP($A117,[1]Hugst!$R$5:$W$9,MATCH(ROUNDUP((K$1)/10,0)*10,[1]Hugst!$R$4:$W$4,0))))</f>
        <v>645.55793915458844</v>
      </c>
      <c r="L117">
        <f ca="1">IF($C117-L$1&lt;År1,0,K116*(1-VLOOKUP($A117,[1]Hugst!$R$5:$W$9,MATCH(ROUNDUP((L$1)/10,0)*10,[1]Hugst!$R$4:$W$4,0))))</f>
        <v>645.44516194016023</v>
      </c>
      <c r="M117">
        <f ca="1">IF($C117-M$1&lt;År1,0,L116*(1-VLOOKUP($A117,[1]Hugst!$R$5:$W$9,MATCH(ROUNDUP((M$1)/10,0)*10,[1]Hugst!$R$4:$W$4,0))))</f>
        <v>645.33471287113616</v>
      </c>
      <c r="N117">
        <f ca="1">IF($C117-N$1&lt;År1,0,M116*(1-VLOOKUP($A117,[1]Hugst!$R$5:$W$9,MATCH(ROUNDUP((N$1)/10,0)*10,[1]Hugst!$R$4:$W$4,0))))</f>
        <v>645.22660806937347</v>
      </c>
      <c r="O117">
        <f ca="1">IF($C117-O$1&lt;År1,0,N116*(1-VLOOKUP($A117,[1]Hugst!$R$5:$W$9,MATCH(ROUNDUP((O$1)/10,0)*10,[1]Hugst!$R$4:$W$4,0))))</f>
        <v>645.12086374451246</v>
      </c>
      <c r="P117">
        <f ca="1">IF($C117-P$1&lt;År1,0,O116*(1-VLOOKUP($A117,[1]Hugst!$R$5:$W$9,MATCH(ROUNDUP((P$1)/10,0)*10,[1]Hugst!$R$4:$W$4,0))))</f>
        <v>644.03357120021906</v>
      </c>
      <c r="Q117">
        <f ca="1">IF($C117-Q$1&lt;År1,0,P116*(1-VLOOKUP($A117,[1]Hugst!$R$5:$W$9,MATCH(ROUNDUP((Q$1)/10,0)*10,[1]Hugst!$R$4:$W$4,0))))</f>
        <v>642.95048054224253</v>
      </c>
      <c r="R117">
        <f ca="1">IF($C117-R$1&lt;År1,0,Q116*(1-VLOOKUP($A117,[1]Hugst!$R$5:$W$9,MATCH(ROUNDUP((R$1)/10,0)*10,[1]Hugst!$R$4:$W$4,0))))</f>
        <v>943.89431981778421</v>
      </c>
      <c r="S117">
        <f ca="1">IF($C117-S$1&lt;År1,0,R116*(1-VLOOKUP($A117,[1]Hugst!$R$5:$W$9,MATCH(ROUNDUP((S$1)/10,0)*10,[1]Hugst!$R$4:$W$4,0))))</f>
        <v>942.35892774243791</v>
      </c>
      <c r="T117">
        <f ca="1">IF($C117-T$1&lt;År1,0,S116*(1-VLOOKUP($A117,[1]Hugst!$R$5:$W$9,MATCH(ROUNDUP((T$1)/10,0)*10,[1]Hugst!$R$4:$W$4,0))))</f>
        <v>942.28728970940426</v>
      </c>
      <c r="U117">
        <f ca="1">IF($C117-U$1&lt;År1,0,T116*(1-VLOOKUP($A117,[1]Hugst!$R$5:$W$9,MATCH(ROUNDUP((U$1)/10,0)*10,[1]Hugst!$R$4:$W$4,0))))</f>
        <v>942.22053058286667</v>
      </c>
      <c r="V117">
        <f ca="1">IF($C117-V$1&lt;År1,0,U116*(1-VLOOKUP($A117,[1]Hugst!$R$5:$W$9,MATCH(ROUNDUP((V$1)/10,0)*10,[1]Hugst!$R$4:$W$4,0))))</f>
        <v>942.15865957616847</v>
      </c>
      <c r="W117">
        <f ca="1">IF($C117-W$1&lt;År1,0,V116*(1-VLOOKUP($A117,[1]Hugst!$R$5:$W$9,MATCH(ROUNDUP((W$1)/10,0)*10,[1]Hugst!$R$4:$W$4,0))))</f>
        <v>942.10168594668812</v>
      </c>
      <c r="X117">
        <f ca="1">IF($C117-X$1&lt;År1,0,W116*(1-VLOOKUP($A117,[1]Hugst!$R$5:$W$9,MATCH(ROUNDUP((X$1)/10,0)*10,[1]Hugst!$R$4:$W$4,0))))</f>
        <v>942.04961899613591</v>
      </c>
      <c r="Y117">
        <f ca="1">IF($C117-Y$1&lt;År1,0,X116*(1-VLOOKUP($A117,[1]Hugst!$R$5:$W$9,MATCH(ROUNDUP((Y$1)/10,0)*10,[1]Hugst!$R$4:$W$4,0))))</f>
        <v>942.00246807053043</v>
      </c>
      <c r="Z117">
        <f ca="1">IF($C117-Z$1&lt;År1,0,Y116*(1-VLOOKUP($A117,[1]Hugst!$R$5:$W$9,MATCH(ROUNDUP((Z$1)/10,0)*10,[1]Hugst!$R$4:$W$4,0))))</f>
        <v>941.76036982184576</v>
      </c>
      <c r="AA117">
        <f ca="1">IF($C117-AA$1&lt;År1,0,Z116*(1-VLOOKUP($A117,[1]Hugst!$R$5:$W$9,MATCH(ROUNDUP((AA$1)/10,0)*10,[1]Hugst!$R$4:$W$4,0))))</f>
        <v>941.52326465809858</v>
      </c>
      <c r="AB117">
        <f ca="1">IF($C117-AB$1&lt;År1,0,AA116*(1-VLOOKUP($A117,[1]Hugst!$R$5:$W$9,MATCH(ROUNDUP((AB$1)/10,0)*10,[1]Hugst!$R$4:$W$4,0))))</f>
        <v>941.29115889855848</v>
      </c>
      <c r="AC117">
        <f>IF($C117-AC$1&lt;År1,0,AB116*(1-VLOOKUP($A117,[1]Hugst!$R$5:$W$9,MATCH(ROUNDUP((AC$1)/10,0)*10,[1]Hugst!$R$4:$W$4,0))))</f>
        <v>0</v>
      </c>
      <c r="AD117">
        <f>IF($C117-AD$1&lt;År1,0,AC116*(1-VLOOKUP($A117,[1]Hugst!$R$5:$W$9,MATCH(ROUNDUP((AD$1)/10,0)*10,[1]Hugst!$R$4:$W$4,0))))</f>
        <v>0</v>
      </c>
      <c r="AE117">
        <f>IF($C117-AE$1&lt;År1,0,AD116*(1-VLOOKUP($A117,[1]Hugst!$R$5:$W$9,MATCH(ROUNDUP((AE$1)/10,0)*10,[1]Hugst!$R$4:$W$4,0))))</f>
        <v>0</v>
      </c>
      <c r="AF117">
        <f>IF($C117-AF$1&lt;År1,0,AE116*(1-VLOOKUP($A117,[1]Hugst!$R$5:$W$9,MATCH(ROUNDUP((AF$1)/10,0)*10,[1]Hugst!$R$4:$W$4,0))))</f>
        <v>0</v>
      </c>
      <c r="AG117">
        <f>IF($C117-AG$1&lt;År1,0,AF116*(1-VLOOKUP($A117,[1]Hugst!$R$5:$W$9,MATCH(ROUNDUP((AG$1)/10,0)*10,[1]Hugst!$R$4:$W$4,0))))</f>
        <v>0</v>
      </c>
      <c r="AH117">
        <f>IF($C117-AH$1&lt;År1,0,AG116*(1-VLOOKUP($A117,[1]Hugst!$R$5:$W$9,MATCH(ROUNDUP((AH$1)/10,0)*10,[1]Hugst!$R$4:$W$4,0))))</f>
        <v>0</v>
      </c>
      <c r="AI117">
        <f>IF($C117-AI$1&lt;År1,0,AH116*(1-VLOOKUP($A117,[1]Hugst!$R$5:$W$9,MATCH(ROUNDUP((AI$1)/10,0)*10,[1]Hugst!$R$4:$W$4,0))))</f>
        <v>0</v>
      </c>
      <c r="AJ117">
        <f>IF($C117-AJ$1&lt;År1,0,AI116*(1-VLOOKUP($A117,[1]Hugst!$R$5:$W$9,MATCH(ROUNDUP((AJ$1)/10,0)*10,[1]Hugst!$R$4:$W$4,0))))</f>
        <v>0</v>
      </c>
    </row>
    <row r="118" spans="1:38" x14ac:dyDescent="0.25">
      <c r="A118" t="s">
        <v>177</v>
      </c>
      <c r="B118" t="s">
        <v>24</v>
      </c>
      <c r="C118">
        <v>2043</v>
      </c>
      <c r="D118" cm="1">
        <f t="array" ref="D118">(IF(B118="Vestdanmark",Skovbrug!$C$22-(Skovbrug!$C$22)*(1-Skovbrug!$C$9)^(C118-Skovbrug!$B$12),Skovbrug!$F$22-(Skovbrug!$F$22)*(1-Skovbrug!$C$9)^(C118-Skovbrug!$B$12)))*VLOOKUP(A118,Skovbrug!$A$13:$D$17,IF('Skovbrug-alder'!C118&lt;=År2,3,4),FALSE)
-IF(C118&gt;2020,SUM(INDEX($C$1:$D$311,MATCH(1,(2020=$C$1:$C$311)*(B118=$B$1:$B$311)*(A118=$A$1:$A$311),0),2):D117),0)</f>
        <v>255.32709523728954</v>
      </c>
      <c r="E118">
        <f t="shared" ca="1" si="2"/>
        <v>19.554237366199231</v>
      </c>
      <c r="F11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645.71466593682226</v>
      </c>
      <c r="G118">
        <f ca="1">IF($C118-G$1&lt;År1,0,F117*(1-VLOOKUP($A118,[1]Hugst!$R$5:$W$9,MATCH(ROUNDUP((G$1)/10,0)*10,[1]Hugst!$R$4:$W$4,0))))</f>
        <v>645.84316596689814</v>
      </c>
      <c r="H118">
        <f ca="1">IF($C118-H$1&lt;År1,0,G117*(1-VLOOKUP($A118,[1]Hugst!$R$5:$W$9,MATCH(ROUNDUP((H$1)/10,0)*10,[1]Hugst!$R$4:$W$4,0))))</f>
        <v>645.97586458490014</v>
      </c>
      <c r="I118">
        <f ca="1">IF($C118-I$1&lt;År1,0,H117*(1-VLOOKUP($A118,[1]Hugst!$R$5:$W$9,MATCH(ROUNDUP((I$1)/10,0)*10,[1]Hugst!$R$4:$W$4,0))))</f>
        <v>646.1127844873804</v>
      </c>
      <c r="J118">
        <f ca="1">IF($C118-J$1&lt;År1,0,I117*(1-VLOOKUP($A118,[1]Hugst!$R$5:$W$9,MATCH(ROUNDUP((J$1)/10,0)*10,[1]Hugst!$R$4:$W$4,0))))</f>
        <v>645.79041396833281</v>
      </c>
      <c r="K118">
        <f ca="1">IF($C118-K$1&lt;År1,0,J117*(1-VLOOKUP($A118,[1]Hugst!$R$5:$W$9,MATCH(ROUNDUP((K$1)/10,0)*10,[1]Hugst!$R$4:$W$4,0))))</f>
        <v>645.67302847986821</v>
      </c>
      <c r="L118">
        <f ca="1">IF($C118-L$1&lt;År1,0,K117*(1-VLOOKUP($A118,[1]Hugst!$R$5:$W$9,MATCH(ROUNDUP((L$1)/10,0)*10,[1]Hugst!$R$4:$W$4,0))))</f>
        <v>645.55793915458844</v>
      </c>
      <c r="M118">
        <f ca="1">IF($C118-M$1&lt;År1,0,L117*(1-VLOOKUP($A118,[1]Hugst!$R$5:$W$9,MATCH(ROUNDUP((M$1)/10,0)*10,[1]Hugst!$R$4:$W$4,0))))</f>
        <v>645.44516194016023</v>
      </c>
      <c r="N118">
        <f ca="1">IF($C118-N$1&lt;År1,0,M117*(1-VLOOKUP($A118,[1]Hugst!$R$5:$W$9,MATCH(ROUNDUP((N$1)/10,0)*10,[1]Hugst!$R$4:$W$4,0))))</f>
        <v>645.33471287113616</v>
      </c>
      <c r="O118">
        <f ca="1">IF($C118-O$1&lt;År1,0,N117*(1-VLOOKUP($A118,[1]Hugst!$R$5:$W$9,MATCH(ROUNDUP((O$1)/10,0)*10,[1]Hugst!$R$4:$W$4,0))))</f>
        <v>645.22660806937347</v>
      </c>
      <c r="P118">
        <f ca="1">IF($C118-P$1&lt;År1,0,O117*(1-VLOOKUP($A118,[1]Hugst!$R$5:$W$9,MATCH(ROUNDUP((P$1)/10,0)*10,[1]Hugst!$R$4:$W$4,0))))</f>
        <v>644.13678107100384</v>
      </c>
      <c r="Q118">
        <f ca="1">IF($C118-Q$1&lt;År1,0,P117*(1-VLOOKUP($A118,[1]Hugst!$R$5:$W$9,MATCH(ROUNDUP((Q$1)/10,0)*10,[1]Hugst!$R$4:$W$4,0))))</f>
        <v>643.05114710855764</v>
      </c>
      <c r="R118">
        <f ca="1">IF($C118-R$1&lt;År1,0,Q117*(1-VLOOKUP($A118,[1]Hugst!$R$5:$W$9,MATCH(ROUNDUP((R$1)/10,0)*10,[1]Hugst!$R$4:$W$4,0))))</f>
        <v>641.96970862277135</v>
      </c>
      <c r="S118">
        <f ca="1">IF($C118-S$1&lt;År1,0,R117*(1-VLOOKUP($A118,[1]Hugst!$R$5:$W$9,MATCH(ROUNDUP((S$1)/10,0)*10,[1]Hugst!$R$4:$W$4,0))))</f>
        <v>942.45448102484181</v>
      </c>
      <c r="T118">
        <f ca="1">IF($C118-T$1&lt;År1,0,S117*(1-VLOOKUP($A118,[1]Hugst!$R$5:$W$9,MATCH(ROUNDUP((T$1)/10,0)*10,[1]Hugst!$R$4:$W$4,0))))</f>
        <v>940.92143107300024</v>
      </c>
      <c r="U118">
        <f ca="1">IF($C118-U$1&lt;År1,0,T117*(1-VLOOKUP($A118,[1]Hugst!$R$5:$W$9,MATCH(ROUNDUP((U$1)/10,0)*10,[1]Hugst!$R$4:$W$4,0))))</f>
        <v>940.84990231832205</v>
      </c>
      <c r="V118">
        <f ca="1">IF($C118-V$1&lt;År1,0,U117*(1-VLOOKUP($A118,[1]Hugst!$R$5:$W$9,MATCH(ROUNDUP((V$1)/10,0)*10,[1]Hugst!$R$4:$W$4,0))))</f>
        <v>940.78324502774024</v>
      </c>
      <c r="W118">
        <f ca="1">IF($C118-W$1&lt;År1,0,V117*(1-VLOOKUP($A118,[1]Hugst!$R$5:$W$9,MATCH(ROUNDUP((W$1)/10,0)*10,[1]Hugst!$R$4:$W$4,0))))</f>
        <v>940.72146840054381</v>
      </c>
      <c r="X118">
        <f ca="1">IF($C118-X$1&lt;År1,0,W117*(1-VLOOKUP($A118,[1]Hugst!$R$5:$W$9,MATCH(ROUNDUP((X$1)/10,0)*10,[1]Hugst!$R$4:$W$4,0))))</f>
        <v>940.66458167998974</v>
      </c>
      <c r="Y118">
        <f ca="1">IF($C118-Y$1&lt;År1,0,X117*(1-VLOOKUP($A118,[1]Hugst!$R$5:$W$9,MATCH(ROUNDUP((Y$1)/10,0)*10,[1]Hugst!$R$4:$W$4,0))))</f>
        <v>940.61259415359939</v>
      </c>
      <c r="Z118">
        <f ca="1">IF($C118-Z$1&lt;År1,0,Y117*(1-VLOOKUP($A118,[1]Hugst!$R$5:$W$9,MATCH(ROUNDUP((Z$1)/10,0)*10,[1]Hugst!$R$4:$W$4,0))))</f>
        <v>940.36593835905194</v>
      </c>
      <c r="AA118">
        <f ca="1">IF($C118-AA$1&lt;År1,0,Z117*(1-VLOOKUP($A118,[1]Hugst!$R$5:$W$9,MATCH(ROUNDUP((AA$1)/10,0)*10,[1]Hugst!$R$4:$W$4,0))))</f>
        <v>940.12426070478239</v>
      </c>
      <c r="AB118">
        <f ca="1">IF($C118-AB$1&lt;År1,0,AA117*(1-VLOOKUP($A118,[1]Hugst!$R$5:$W$9,MATCH(ROUNDUP((AB$1)/10,0)*10,[1]Hugst!$R$4:$W$4,0))))</f>
        <v>939.88756746102308</v>
      </c>
      <c r="AC118">
        <f ca="1">IF($C118-AC$1&lt;År1,0,AB117*(1-VLOOKUP($A118,[1]Hugst!$R$5:$W$9,MATCH(ROUNDUP((AC$1)/10,0)*10,[1]Hugst!$R$4:$W$4,0))))</f>
        <v>939.6558649360652</v>
      </c>
      <c r="AD118">
        <f>IF($C118-AD$1&lt;År1,0,AC117*(1-VLOOKUP($A118,[1]Hugst!$R$5:$W$9,MATCH(ROUNDUP((AD$1)/10,0)*10,[1]Hugst!$R$4:$W$4,0))))</f>
        <v>0</v>
      </c>
      <c r="AE118">
        <f>IF($C118-AE$1&lt;År1,0,AD117*(1-VLOOKUP($A118,[1]Hugst!$R$5:$W$9,MATCH(ROUNDUP((AE$1)/10,0)*10,[1]Hugst!$R$4:$W$4,0))))</f>
        <v>0</v>
      </c>
      <c r="AF118">
        <f>IF($C118-AF$1&lt;År1,0,AE117*(1-VLOOKUP($A118,[1]Hugst!$R$5:$W$9,MATCH(ROUNDUP((AF$1)/10,0)*10,[1]Hugst!$R$4:$W$4,0))))</f>
        <v>0</v>
      </c>
      <c r="AG118">
        <f>IF($C118-AG$1&lt;År1,0,AF117*(1-VLOOKUP($A118,[1]Hugst!$R$5:$W$9,MATCH(ROUNDUP((AG$1)/10,0)*10,[1]Hugst!$R$4:$W$4,0))))</f>
        <v>0</v>
      </c>
      <c r="AH118">
        <f>IF($C118-AH$1&lt;År1,0,AG117*(1-VLOOKUP($A118,[1]Hugst!$R$5:$W$9,MATCH(ROUNDUP((AH$1)/10,0)*10,[1]Hugst!$R$4:$W$4,0))))</f>
        <v>0</v>
      </c>
      <c r="AI118">
        <f>IF($C118-AI$1&lt;År1,0,AH117*(1-VLOOKUP($A118,[1]Hugst!$R$5:$W$9,MATCH(ROUNDUP((AI$1)/10,0)*10,[1]Hugst!$R$4:$W$4,0))))</f>
        <v>0</v>
      </c>
      <c r="AJ118">
        <f>IF($C118-AJ$1&lt;År1,0,AI117*(1-VLOOKUP($A118,[1]Hugst!$R$5:$W$9,MATCH(ROUNDUP((AJ$1)/10,0)*10,[1]Hugst!$R$4:$W$4,0))))</f>
        <v>0</v>
      </c>
    </row>
    <row r="119" spans="1:38" x14ac:dyDescent="0.25">
      <c r="A119" t="s">
        <v>177</v>
      </c>
      <c r="B119" t="s">
        <v>24</v>
      </c>
      <c r="C119">
        <v>2044</v>
      </c>
      <c r="D119" cm="1">
        <f t="array" ref="D119">(IF(B119="Vestdanmark",Skovbrug!$C$22-(Skovbrug!$C$22)*(1-Skovbrug!$C$9)^(C119-Skovbrug!$B$12),Skovbrug!$F$22-(Skovbrug!$F$22)*(1-Skovbrug!$C$9)^(C119-Skovbrug!$B$12)))*VLOOKUP(A119,Skovbrug!$A$13:$D$17,IF('Skovbrug-alder'!C119&lt;=År2,3,4),FALSE)
-IF(C119&gt;2020,SUM(INDEX($C$1:$D$311,MATCH(1,(2020=$C$1:$C$311)*(B119=$B$1:$B$311)*(A119=$A$1:$A$311),0),2):D118),0)</f>
        <v>254.05045976109704</v>
      </c>
      <c r="E119">
        <f t="shared" ca="1" si="2"/>
        <v>20.706548813916015</v>
      </c>
      <c r="F119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645.59034190834655</v>
      </c>
      <c r="G119">
        <f ca="1">IF($C119-G$1&lt;År1,0,F118*(1-VLOOKUP($A119,[1]Hugst!$R$5:$W$9,MATCH(ROUNDUP((G$1)/10,0)*10,[1]Hugst!$R$4:$W$4,0))))</f>
        <v>645.71466593682226</v>
      </c>
      <c r="H119">
        <f ca="1">IF($C119-H$1&lt;År1,0,G118*(1-VLOOKUP($A119,[1]Hugst!$R$5:$W$9,MATCH(ROUNDUP((H$1)/10,0)*10,[1]Hugst!$R$4:$W$4,0))))</f>
        <v>645.84316596689814</v>
      </c>
      <c r="I119">
        <f ca="1">IF($C119-I$1&lt;År1,0,H118*(1-VLOOKUP($A119,[1]Hugst!$R$5:$W$9,MATCH(ROUNDUP((I$1)/10,0)*10,[1]Hugst!$R$4:$W$4,0))))</f>
        <v>645.97586458490014</v>
      </c>
      <c r="J119">
        <f ca="1">IF($C119-J$1&lt;År1,0,I118*(1-VLOOKUP($A119,[1]Hugst!$R$5:$W$9,MATCH(ROUNDUP((J$1)/10,0)*10,[1]Hugst!$R$4:$W$4,0))))</f>
        <v>646.1127844873804</v>
      </c>
      <c r="K119">
        <f ca="1">IF($C119-K$1&lt;År1,0,J118*(1-VLOOKUP($A119,[1]Hugst!$R$5:$W$9,MATCH(ROUNDUP((K$1)/10,0)*10,[1]Hugst!$R$4:$W$4,0))))</f>
        <v>645.79041396833281</v>
      </c>
      <c r="L119">
        <f ca="1">IF($C119-L$1&lt;År1,0,K118*(1-VLOOKUP($A119,[1]Hugst!$R$5:$W$9,MATCH(ROUNDUP((L$1)/10,0)*10,[1]Hugst!$R$4:$W$4,0))))</f>
        <v>645.67302847986821</v>
      </c>
      <c r="M119">
        <f ca="1">IF($C119-M$1&lt;År1,0,L118*(1-VLOOKUP($A119,[1]Hugst!$R$5:$W$9,MATCH(ROUNDUP((M$1)/10,0)*10,[1]Hugst!$R$4:$W$4,0))))</f>
        <v>645.55793915458844</v>
      </c>
      <c r="N119">
        <f ca="1">IF($C119-N$1&lt;År1,0,M118*(1-VLOOKUP($A119,[1]Hugst!$R$5:$W$9,MATCH(ROUNDUP((N$1)/10,0)*10,[1]Hugst!$R$4:$W$4,0))))</f>
        <v>645.44516194016023</v>
      </c>
      <c r="O119">
        <f ca="1">IF($C119-O$1&lt;År1,0,N118*(1-VLOOKUP($A119,[1]Hugst!$R$5:$W$9,MATCH(ROUNDUP((O$1)/10,0)*10,[1]Hugst!$R$4:$W$4,0))))</f>
        <v>645.33471287113616</v>
      </c>
      <c r="P119">
        <f ca="1">IF($C119-P$1&lt;År1,0,O118*(1-VLOOKUP($A119,[1]Hugst!$R$5:$W$9,MATCH(ROUNDUP((P$1)/10,0)*10,[1]Hugst!$R$4:$W$4,0))))</f>
        <v>644.2423640909625</v>
      </c>
      <c r="Q119">
        <f ca="1">IF($C119-Q$1&lt;År1,0,P118*(1-VLOOKUP($A119,[1]Hugst!$R$5:$W$9,MATCH(ROUNDUP((Q$1)/10,0)*10,[1]Hugst!$R$4:$W$4,0))))</f>
        <v>643.15419954055653</v>
      </c>
      <c r="R119">
        <f ca="1">IF($C119-R$1&lt;År1,0,Q118*(1-VLOOKUP($A119,[1]Hugst!$R$5:$W$9,MATCH(ROUNDUP((R$1)/10,0)*10,[1]Hugst!$R$4:$W$4,0))))</f>
        <v>642.07022162991746</v>
      </c>
      <c r="S119">
        <f ca="1">IF($C119-S$1&lt;År1,0,R118*(1-VLOOKUP($A119,[1]Hugst!$R$5:$W$9,MATCH(ROUNDUP((S$1)/10,0)*10,[1]Hugst!$R$4:$W$4,0))))</f>
        <v>640.9904327960586</v>
      </c>
      <c r="T119">
        <f ca="1">IF($C119-T$1&lt;År1,0,S118*(1-VLOOKUP($A119,[1]Hugst!$R$5:$W$9,MATCH(ROUNDUP((T$1)/10,0)*10,[1]Hugst!$R$4:$W$4,0))))</f>
        <v>941.0168385961598</v>
      </c>
      <c r="U119">
        <f ca="1">IF($C119-U$1&lt;År1,0,T118*(1-VLOOKUP($A119,[1]Hugst!$R$5:$W$9,MATCH(ROUNDUP((U$1)/10,0)*10,[1]Hugst!$R$4:$W$4,0))))</f>
        <v>939.48612719509219</v>
      </c>
      <c r="V119">
        <f ca="1">IF($C119-V$1&lt;År1,0,U118*(1-VLOOKUP($A119,[1]Hugst!$R$5:$W$9,MATCH(ROUNDUP((V$1)/10,0)*10,[1]Hugst!$R$4:$W$4,0))))</f>
        <v>939.41470755207376</v>
      </c>
      <c r="W119">
        <f ca="1">IF($C119-W$1&lt;År1,0,V118*(1-VLOOKUP($A119,[1]Hugst!$R$5:$W$9,MATCH(ROUNDUP((W$1)/10,0)*10,[1]Hugst!$R$4:$W$4,0))))</f>
        <v>939.34815194210466</v>
      </c>
      <c r="X119">
        <f ca="1">IF($C119-X$1&lt;År1,0,W118*(1-VLOOKUP($A119,[1]Hugst!$R$5:$W$9,MATCH(ROUNDUP((X$1)/10,0)*10,[1]Hugst!$R$4:$W$4,0))))</f>
        <v>939.28646955044121</v>
      </c>
      <c r="Y119">
        <f ca="1">IF($C119-Y$1&lt;År1,0,X118*(1-VLOOKUP($A119,[1]Hugst!$R$5:$W$9,MATCH(ROUNDUP((Y$1)/10,0)*10,[1]Hugst!$R$4:$W$4,0))))</f>
        <v>939.22966960624058</v>
      </c>
      <c r="Z119">
        <f ca="1">IF($C119-Z$1&lt;År1,0,Y118*(1-VLOOKUP($A119,[1]Hugst!$R$5:$W$9,MATCH(ROUNDUP((Z$1)/10,0)*10,[1]Hugst!$R$4:$W$4,0))))</f>
        <v>938.97847905358674</v>
      </c>
      <c r="AA119">
        <f ca="1">IF($C119-AA$1&lt;År1,0,Z118*(1-VLOOKUP($A119,[1]Hugst!$R$5:$W$9,MATCH(ROUNDUP((AA$1)/10,0)*10,[1]Hugst!$R$4:$W$4,0))))</f>
        <v>938.7322517712247</v>
      </c>
      <c r="AB119">
        <f ca="1">IF($C119-AB$1&lt;År1,0,AA118*(1-VLOOKUP($A119,[1]Hugst!$R$5:$W$9,MATCH(ROUNDUP((AB$1)/10,0)*10,[1]Hugst!$R$4:$W$4,0))))</f>
        <v>938.49099398067654</v>
      </c>
      <c r="AC119">
        <f ca="1">IF($C119-AC$1&lt;År1,0,AB118*(1-VLOOKUP($A119,[1]Hugst!$R$5:$W$9,MATCH(ROUNDUP((AC$1)/10,0)*10,[1]Hugst!$R$4:$W$4,0))))</f>
        <v>938.25471194128147</v>
      </c>
      <c r="AD119">
        <f ca="1">IF($C119-AD$1&lt;År1,0,AC118*(1-VLOOKUP($A119,[1]Hugst!$R$5:$W$9,MATCH(ROUNDUP((AD$1)/10,0)*10,[1]Hugst!$R$4:$W$4,0))))</f>
        <v>938.02341195037116</v>
      </c>
      <c r="AE119">
        <f>IF($C119-AE$1&lt;År1,0,AD118*(1-VLOOKUP($A119,[1]Hugst!$R$5:$W$9,MATCH(ROUNDUP((AE$1)/10,0)*10,[1]Hugst!$R$4:$W$4,0))))</f>
        <v>0</v>
      </c>
      <c r="AF119">
        <f>IF($C119-AF$1&lt;År1,0,AE118*(1-VLOOKUP($A119,[1]Hugst!$R$5:$W$9,MATCH(ROUNDUP((AF$1)/10,0)*10,[1]Hugst!$R$4:$W$4,0))))</f>
        <v>0</v>
      </c>
      <c r="AG119">
        <f>IF($C119-AG$1&lt;År1,0,AF118*(1-VLOOKUP($A119,[1]Hugst!$R$5:$W$9,MATCH(ROUNDUP((AG$1)/10,0)*10,[1]Hugst!$R$4:$W$4,0))))</f>
        <v>0</v>
      </c>
      <c r="AH119">
        <f>IF($C119-AH$1&lt;År1,0,AG118*(1-VLOOKUP($A119,[1]Hugst!$R$5:$W$9,MATCH(ROUNDUP((AH$1)/10,0)*10,[1]Hugst!$R$4:$W$4,0))))</f>
        <v>0</v>
      </c>
      <c r="AI119">
        <f>IF($C119-AI$1&lt;År1,0,AH118*(1-VLOOKUP($A119,[1]Hugst!$R$5:$W$9,MATCH(ROUNDUP((AI$1)/10,0)*10,[1]Hugst!$R$4:$W$4,0))))</f>
        <v>0</v>
      </c>
      <c r="AJ119">
        <f>IF($C119-AJ$1&lt;År1,0,AI118*(1-VLOOKUP($A119,[1]Hugst!$R$5:$W$9,MATCH(ROUNDUP((AJ$1)/10,0)*10,[1]Hugst!$R$4:$W$4,0))))</f>
        <v>0</v>
      </c>
    </row>
    <row r="120" spans="1:38" x14ac:dyDescent="0.25">
      <c r="A120" t="s">
        <v>177</v>
      </c>
      <c r="B120" t="s">
        <v>24</v>
      </c>
      <c r="C120">
        <v>2045</v>
      </c>
      <c r="D120" cm="1">
        <f t="array" ref="D120">(IF(B120="Vestdanmark",Skovbrug!$C$22-(Skovbrug!$C$22)*(1-Skovbrug!$C$9)^(C120-Skovbrug!$B$12),Skovbrug!$F$22-(Skovbrug!$F$22)*(1-Skovbrug!$C$9)^(C120-Skovbrug!$B$12)))*VLOOKUP(A120,Skovbrug!$A$13:$D$17,IF('Skovbrug-alder'!C120&lt;=År2,3,4),FALSE)
-IF(C120&gt;2020,SUM(INDEX($C$1:$D$311,MATCH(1,(2020=$C$1:$C$311)*(B120=$B$1:$B$311)*(A120=$A$1:$A$311),0),2):D119),0)</f>
        <v>252.78020746229504</v>
      </c>
      <c r="E120">
        <f t="shared" ca="1" si="2"/>
        <v>21.856630609232525</v>
      </c>
      <c r="F120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645.47017140486105</v>
      </c>
      <c r="G120">
        <f ca="1">IF($C120-G$1&lt;År1,0,F119*(1-VLOOKUP($A120,[1]Hugst!$R$5:$W$9,MATCH(ROUNDUP((G$1)/10,0)*10,[1]Hugst!$R$4:$W$4,0))))</f>
        <v>645.59034190834655</v>
      </c>
      <c r="H120">
        <f ca="1">IF($C120-H$1&lt;År1,0,G119*(1-VLOOKUP($A120,[1]Hugst!$R$5:$W$9,MATCH(ROUNDUP((H$1)/10,0)*10,[1]Hugst!$R$4:$W$4,0))))</f>
        <v>645.71466593682226</v>
      </c>
      <c r="I120">
        <f ca="1">IF($C120-I$1&lt;År1,0,H119*(1-VLOOKUP($A120,[1]Hugst!$R$5:$W$9,MATCH(ROUNDUP((I$1)/10,0)*10,[1]Hugst!$R$4:$W$4,0))))</f>
        <v>645.84316596689814</v>
      </c>
      <c r="J120">
        <f ca="1">IF($C120-J$1&lt;År1,0,I119*(1-VLOOKUP($A120,[1]Hugst!$R$5:$W$9,MATCH(ROUNDUP((J$1)/10,0)*10,[1]Hugst!$R$4:$W$4,0))))</f>
        <v>645.97586458490014</v>
      </c>
      <c r="K120">
        <f ca="1">IF($C120-K$1&lt;År1,0,J119*(1-VLOOKUP($A120,[1]Hugst!$R$5:$W$9,MATCH(ROUNDUP((K$1)/10,0)*10,[1]Hugst!$R$4:$W$4,0))))</f>
        <v>646.1127844873804</v>
      </c>
      <c r="L120">
        <f ca="1">IF($C120-L$1&lt;År1,0,K119*(1-VLOOKUP($A120,[1]Hugst!$R$5:$W$9,MATCH(ROUNDUP((L$1)/10,0)*10,[1]Hugst!$R$4:$W$4,0))))</f>
        <v>645.79041396833281</v>
      </c>
      <c r="M120">
        <f ca="1">IF($C120-M$1&lt;År1,0,L119*(1-VLOOKUP($A120,[1]Hugst!$R$5:$W$9,MATCH(ROUNDUP((M$1)/10,0)*10,[1]Hugst!$R$4:$W$4,0))))</f>
        <v>645.67302847986821</v>
      </c>
      <c r="N120">
        <f ca="1">IF($C120-N$1&lt;År1,0,M119*(1-VLOOKUP($A120,[1]Hugst!$R$5:$W$9,MATCH(ROUNDUP((N$1)/10,0)*10,[1]Hugst!$R$4:$W$4,0))))</f>
        <v>645.55793915458844</v>
      </c>
      <c r="O120">
        <f ca="1">IF($C120-O$1&lt;År1,0,N119*(1-VLOOKUP($A120,[1]Hugst!$R$5:$W$9,MATCH(ROUNDUP((O$1)/10,0)*10,[1]Hugst!$R$4:$W$4,0))))</f>
        <v>645.44516194016023</v>
      </c>
      <c r="P120">
        <f ca="1">IF($C120-P$1&lt;År1,0,O119*(1-VLOOKUP($A120,[1]Hugst!$R$5:$W$9,MATCH(ROUNDUP((P$1)/10,0)*10,[1]Hugst!$R$4:$W$4,0))))</f>
        <v>644.35030398709546</v>
      </c>
      <c r="Q120">
        <f ca="1">IF($C120-Q$1&lt;År1,0,P119*(1-VLOOKUP($A120,[1]Hugst!$R$5:$W$9,MATCH(ROUNDUP((Q$1)/10,0)*10,[1]Hugst!$R$4:$W$4,0))))</f>
        <v>643.25962150167118</v>
      </c>
      <c r="R120">
        <f ca="1">IF($C120-R$1&lt;År1,0,Q119*(1-VLOOKUP($A120,[1]Hugst!$R$5:$W$9,MATCH(ROUNDUP((R$1)/10,0)*10,[1]Hugst!$R$4:$W$4,0))))</f>
        <v>642.17311686329128</v>
      </c>
      <c r="S120">
        <f ca="1">IF($C120-S$1&lt;År1,0,R119*(1-VLOOKUP($A120,[1]Hugst!$R$5:$W$9,MATCH(ROUNDUP((S$1)/10,0)*10,[1]Hugst!$R$4:$W$4,0))))</f>
        <v>641.09079247827856</v>
      </c>
      <c r="T120">
        <f ca="1">IF($C120-T$1&lt;År1,0,S119*(1-VLOOKUP($A120,[1]Hugst!$R$5:$W$9,MATCH(ROUNDUP((T$1)/10,0)*10,[1]Hugst!$R$4:$W$4,0))))</f>
        <v>640.012650779929</v>
      </c>
      <c r="U120">
        <f ca="1">IF($C120-U$1&lt;År1,0,T119*(1-VLOOKUP($A120,[1]Hugst!$R$5:$W$9,MATCH(ROUNDUP((U$1)/10,0)*10,[1]Hugst!$R$4:$W$4,0))))</f>
        <v>939.58138918135205</v>
      </c>
      <c r="V120">
        <f ca="1">IF($C120-V$1&lt;År1,0,U119*(1-VLOOKUP($A120,[1]Hugst!$R$5:$W$9,MATCH(ROUNDUP((V$1)/10,0)*10,[1]Hugst!$R$4:$W$4,0))))</f>
        <v>938.05301276377759</v>
      </c>
      <c r="W120">
        <f ca="1">IF($C120-W$1&lt;År1,0,V119*(1-VLOOKUP($A120,[1]Hugst!$R$5:$W$9,MATCH(ROUNDUP((W$1)/10,0)*10,[1]Hugst!$R$4:$W$4,0))))</f>
        <v>937.9817020659774</v>
      </c>
      <c r="X120">
        <f ca="1">IF($C120-X$1&lt;År1,0,W119*(1-VLOOKUP($A120,[1]Hugst!$R$5:$W$9,MATCH(ROUNDUP((X$1)/10,0)*10,[1]Hugst!$R$4:$W$4,0))))</f>
        <v>937.91524798151499</v>
      </c>
      <c r="Y120">
        <f ca="1">IF($C120-Y$1&lt;År1,0,X119*(1-VLOOKUP($A120,[1]Hugst!$R$5:$W$9,MATCH(ROUNDUP((Y$1)/10,0)*10,[1]Hugst!$R$4:$W$4,0))))</f>
        <v>937.85365968163546</v>
      </c>
      <c r="Z120">
        <f ca="1">IF($C120-Z$1&lt;År1,0,Y119*(1-VLOOKUP($A120,[1]Hugst!$R$5:$W$9,MATCH(ROUNDUP((Z$1)/10,0)*10,[1]Hugst!$R$4:$W$4,0))))</f>
        <v>937.59795704463647</v>
      </c>
      <c r="AA120">
        <f ca="1">IF($C120-AA$1&lt;År1,0,Z119*(1-VLOOKUP($A120,[1]Hugst!$R$5:$W$9,MATCH(ROUNDUP((AA$1)/10,0)*10,[1]Hugst!$R$4:$W$4,0))))</f>
        <v>937.34720288234951</v>
      </c>
      <c r="AB120">
        <f ca="1">IF($C120-AB$1&lt;År1,0,AA119*(1-VLOOKUP($A120,[1]Hugst!$R$5:$W$9,MATCH(ROUNDUP((AB$1)/10,0)*10,[1]Hugst!$R$4:$W$4,0))))</f>
        <v>937.10140336772383</v>
      </c>
      <c r="AC120">
        <f ca="1">IF($C120-AC$1&lt;År1,0,AB119*(1-VLOOKUP($A120,[1]Hugst!$R$5:$W$9,MATCH(ROUNDUP((AC$1)/10,0)*10,[1]Hugst!$R$4:$W$4,0))))</f>
        <v>936.86056471147276</v>
      </c>
      <c r="AD120">
        <f ca="1">IF($C120-AD$1&lt;År1,0,AC119*(1-VLOOKUP($A120,[1]Hugst!$R$5:$W$9,MATCH(ROUNDUP((AD$1)/10,0)*10,[1]Hugst!$R$4:$W$4,0))))</f>
        <v>936.62469316206136</v>
      </c>
      <c r="AE120">
        <f ca="1">IF($C120-AE$1&lt;År1,0,AD119*(1-VLOOKUP($A120,[1]Hugst!$R$5:$W$9,MATCH(ROUNDUP((AE$1)/10,0)*10,[1]Hugst!$R$4:$W$4,0))))</f>
        <v>936.39379500588109</v>
      </c>
      <c r="AF120">
        <f>IF($C120-AF$1&lt;År1,0,AE119*(1-VLOOKUP($A120,[1]Hugst!$R$5:$W$9,MATCH(ROUNDUP((AF$1)/10,0)*10,[1]Hugst!$R$4:$W$4,0))))</f>
        <v>0</v>
      </c>
      <c r="AG120">
        <f>IF($C120-AG$1&lt;År1,0,AF119*(1-VLOOKUP($A120,[1]Hugst!$R$5:$W$9,MATCH(ROUNDUP((AG$1)/10,0)*10,[1]Hugst!$R$4:$W$4,0))))</f>
        <v>0</v>
      </c>
      <c r="AH120">
        <f>IF($C120-AH$1&lt;År1,0,AG119*(1-VLOOKUP($A120,[1]Hugst!$R$5:$W$9,MATCH(ROUNDUP((AH$1)/10,0)*10,[1]Hugst!$R$4:$W$4,0))))</f>
        <v>0</v>
      </c>
      <c r="AI120">
        <f>IF($C120-AI$1&lt;År1,0,AH119*(1-VLOOKUP($A120,[1]Hugst!$R$5:$W$9,MATCH(ROUNDUP((AI$1)/10,0)*10,[1]Hugst!$R$4:$W$4,0))))</f>
        <v>0</v>
      </c>
      <c r="AJ120">
        <f>IF($C120-AJ$1&lt;År1,0,AI119*(1-VLOOKUP($A120,[1]Hugst!$R$5:$W$9,MATCH(ROUNDUP((AJ$1)/10,0)*10,[1]Hugst!$R$4:$W$4,0))))</f>
        <v>0</v>
      </c>
    </row>
    <row r="121" spans="1:38" x14ac:dyDescent="0.25">
      <c r="A121" t="s">
        <v>177</v>
      </c>
      <c r="B121" t="s">
        <v>24</v>
      </c>
      <c r="C121">
        <v>2046</v>
      </c>
      <c r="D121" cm="1">
        <f t="array" ref="D121">(IF(B121="Vestdanmark",Skovbrug!$C$22-(Skovbrug!$C$22)*(1-Skovbrug!$C$9)^(C121-Skovbrug!$B$12),Skovbrug!$F$22-(Skovbrug!$F$22)*(1-Skovbrug!$C$9)^(C121-Skovbrug!$B$12)))*VLOOKUP(A121,Skovbrug!$A$13:$D$17,IF('Skovbrug-alder'!C121&lt;=År2,3,4),FALSE)
-IF(C121&gt;2020,SUM(INDEX($C$1:$D$311,MATCH(1,(2020=$C$1:$C$311)*(B121=$B$1:$B$311)*(A121=$A$1:$A$311),0),2):D120),0)</f>
        <v>251.51630642498912</v>
      </c>
      <c r="E121">
        <f t="shared" ca="1" si="2"/>
        <v>23.00449230058075</v>
      </c>
      <c r="F121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645.35413205890336</v>
      </c>
      <c r="G121">
        <f ca="1">IF($C121-G$1&lt;År1,0,F120*(1-VLOOKUP($A121,[1]Hugst!$R$5:$W$9,MATCH(ROUNDUP((G$1)/10,0)*10,[1]Hugst!$R$4:$W$4,0))))</f>
        <v>645.47017140486105</v>
      </c>
      <c r="H121">
        <f ca="1">IF($C121-H$1&lt;År1,0,G120*(1-VLOOKUP($A121,[1]Hugst!$R$5:$W$9,MATCH(ROUNDUP((H$1)/10,0)*10,[1]Hugst!$R$4:$W$4,0))))</f>
        <v>645.59034190834655</v>
      </c>
      <c r="I121">
        <f ca="1">IF($C121-I$1&lt;År1,0,H120*(1-VLOOKUP($A121,[1]Hugst!$R$5:$W$9,MATCH(ROUNDUP((I$1)/10,0)*10,[1]Hugst!$R$4:$W$4,0))))</f>
        <v>645.71466593682226</v>
      </c>
      <c r="J121">
        <f ca="1">IF($C121-J$1&lt;År1,0,I120*(1-VLOOKUP($A121,[1]Hugst!$R$5:$W$9,MATCH(ROUNDUP((J$1)/10,0)*10,[1]Hugst!$R$4:$W$4,0))))</f>
        <v>645.84316596689814</v>
      </c>
      <c r="K121">
        <f ca="1">IF($C121-K$1&lt;År1,0,J120*(1-VLOOKUP($A121,[1]Hugst!$R$5:$W$9,MATCH(ROUNDUP((K$1)/10,0)*10,[1]Hugst!$R$4:$W$4,0))))</f>
        <v>645.97586458490014</v>
      </c>
      <c r="L121">
        <f ca="1">IF($C121-L$1&lt;År1,0,K120*(1-VLOOKUP($A121,[1]Hugst!$R$5:$W$9,MATCH(ROUNDUP((L$1)/10,0)*10,[1]Hugst!$R$4:$W$4,0))))</f>
        <v>646.1127844873804</v>
      </c>
      <c r="M121">
        <f ca="1">IF($C121-M$1&lt;År1,0,L120*(1-VLOOKUP($A121,[1]Hugst!$R$5:$W$9,MATCH(ROUNDUP((M$1)/10,0)*10,[1]Hugst!$R$4:$W$4,0))))</f>
        <v>645.79041396833281</v>
      </c>
      <c r="N121">
        <f ca="1">IF($C121-N$1&lt;År1,0,M120*(1-VLOOKUP($A121,[1]Hugst!$R$5:$W$9,MATCH(ROUNDUP((N$1)/10,0)*10,[1]Hugst!$R$4:$W$4,0))))</f>
        <v>645.67302847986821</v>
      </c>
      <c r="O121">
        <f ca="1">IF($C121-O$1&lt;År1,0,N120*(1-VLOOKUP($A121,[1]Hugst!$R$5:$W$9,MATCH(ROUNDUP((O$1)/10,0)*10,[1]Hugst!$R$4:$W$4,0))))</f>
        <v>645.55793915458844</v>
      </c>
      <c r="P121">
        <f ca="1">IF($C121-P$1&lt;År1,0,O120*(1-VLOOKUP($A121,[1]Hugst!$R$5:$W$9,MATCH(ROUNDUP((P$1)/10,0)*10,[1]Hugst!$R$4:$W$4,0))))</f>
        <v>644.46058457448873</v>
      </c>
      <c r="Q121">
        <f ca="1">IF($C121-Q$1&lt;År1,0,P120*(1-VLOOKUP($A121,[1]Hugst!$R$5:$W$9,MATCH(ROUNDUP((Q$1)/10,0)*10,[1]Hugst!$R$4:$W$4,0))))</f>
        <v>643.36739674372529</v>
      </c>
      <c r="R121">
        <f ca="1">IF($C121-R$1&lt;År1,0,Q120*(1-VLOOKUP($A121,[1]Hugst!$R$5:$W$9,MATCH(ROUNDUP((R$1)/10,0)*10,[1]Hugst!$R$4:$W$4,0))))</f>
        <v>642.27837801124485</v>
      </c>
      <c r="S121">
        <f ca="1">IF($C121-S$1&lt;År1,0,R120*(1-VLOOKUP($A121,[1]Hugst!$R$5:$W$9,MATCH(ROUNDUP((S$1)/10,0)*10,[1]Hugst!$R$4:$W$4,0))))</f>
        <v>641.19353075282186</v>
      </c>
      <c r="T121">
        <f ca="1">IF($C121-T$1&lt;År1,0,S120*(1-VLOOKUP($A121,[1]Hugst!$R$5:$W$9,MATCH(ROUNDUP((T$1)/10,0)*10,[1]Hugst!$R$4:$W$4,0))))</f>
        <v>640.11285737110825</v>
      </c>
      <c r="U121">
        <f ca="1">IF($C121-U$1&lt;År1,0,T120*(1-VLOOKUP($A121,[1]Hugst!$R$5:$W$9,MATCH(ROUNDUP((U$1)/10,0)*10,[1]Hugst!$R$4:$W$4,0))))</f>
        <v>639.03636029568838</v>
      </c>
      <c r="V121">
        <f ca="1">IF($C121-V$1&lt;År1,0,U120*(1-VLOOKUP($A121,[1]Hugst!$R$5:$W$9,MATCH(ROUNDUP((V$1)/10,0)*10,[1]Hugst!$R$4:$W$4,0))))</f>
        <v>938.14812943514323</v>
      </c>
      <c r="W121">
        <f ca="1">IF($C121-W$1&lt;År1,0,V120*(1-VLOOKUP($A121,[1]Hugst!$R$5:$W$9,MATCH(ROUNDUP((W$1)/10,0)*10,[1]Hugst!$R$4:$W$4,0))))</f>
        <v>936.62208443922259</v>
      </c>
      <c r="X121">
        <f ca="1">IF($C121-X$1&lt;År1,0,W120*(1-VLOOKUP($A121,[1]Hugst!$R$5:$W$9,MATCH(ROUNDUP((X$1)/10,0)*10,[1]Hugst!$R$4:$W$4,0))))</f>
        <v>936.550882520453</v>
      </c>
      <c r="Y121">
        <f ca="1">IF($C121-Y$1&lt;År1,0,X120*(1-VLOOKUP($A121,[1]Hugst!$R$5:$W$9,MATCH(ROUNDUP((Y$1)/10,0)*10,[1]Hugst!$R$4:$W$4,0))))</f>
        <v>936.48452980662796</v>
      </c>
      <c r="Z121">
        <f ca="1">IF($C121-Z$1&lt;År1,0,Y120*(1-VLOOKUP($A121,[1]Hugst!$R$5:$W$9,MATCH(ROUNDUP((Z$1)/10,0)*10,[1]Hugst!$R$4:$W$4,0))))</f>
        <v>936.22433764574782</v>
      </c>
      <c r="AA121">
        <f ca="1">IF($C121-AA$1&lt;År1,0,Z120*(1-VLOOKUP($A121,[1]Hugst!$R$5:$W$9,MATCH(ROUNDUP((AA$1)/10,0)*10,[1]Hugst!$R$4:$W$4,0))))</f>
        <v>935.96907923790639</v>
      </c>
      <c r="AB121">
        <f ca="1">IF($C121-AB$1&lt;År1,0,AA120*(1-VLOOKUP($A121,[1]Hugst!$R$5:$W$9,MATCH(ROUNDUP((AB$1)/10,0)*10,[1]Hugst!$R$4:$W$4,0))))</f>
        <v>935.71876070785049</v>
      </c>
      <c r="AC121">
        <f ca="1">IF($C121-AC$1&lt;År1,0,AB120*(1-VLOOKUP($A121,[1]Hugst!$R$5:$W$9,MATCH(ROUNDUP((AC$1)/10,0)*10,[1]Hugst!$R$4:$W$4,0))))</f>
        <v>935.47338821780534</v>
      </c>
      <c r="AD121">
        <f ca="1">IF($C121-AD$1&lt;År1,0,AC120*(1-VLOOKUP($A121,[1]Hugst!$R$5:$W$9,MATCH(ROUNDUP((AD$1)/10,0)*10,[1]Hugst!$R$4:$W$4,0))))</f>
        <v>935.23296796769432</v>
      </c>
      <c r="AE121">
        <f ca="1">IF($C121-AE$1&lt;År1,0,AD120*(1-VLOOKUP($A121,[1]Hugst!$R$5:$W$9,MATCH(ROUNDUP((AE$1)/10,0)*10,[1]Hugst!$R$4:$W$4,0))))</f>
        <v>934.99750619512724</v>
      </c>
      <c r="AF121">
        <f ca="1">IF($C121-AF$1&lt;År1,0,AE120*(1-VLOOKUP($A121,[1]Hugst!$R$5:$W$9,MATCH(ROUNDUP((AF$1)/10,0)*10,[1]Hugst!$R$4:$W$4,0))))</f>
        <v>934.76700917557423</v>
      </c>
      <c r="AG121">
        <f>IF($C121-AG$1&lt;År1,0,AF120*(1-VLOOKUP($A121,[1]Hugst!$R$5:$W$9,MATCH(ROUNDUP((AG$1)/10,0)*10,[1]Hugst!$R$4:$W$4,0))))</f>
        <v>0</v>
      </c>
      <c r="AH121">
        <f>IF($C121-AH$1&lt;År1,0,AG120*(1-VLOOKUP($A121,[1]Hugst!$R$5:$W$9,MATCH(ROUNDUP((AH$1)/10,0)*10,[1]Hugst!$R$4:$W$4,0))))</f>
        <v>0</v>
      </c>
      <c r="AI121">
        <f>IF($C121-AI$1&lt;År1,0,AH120*(1-VLOOKUP($A121,[1]Hugst!$R$5:$W$9,MATCH(ROUNDUP((AI$1)/10,0)*10,[1]Hugst!$R$4:$W$4,0))))</f>
        <v>0</v>
      </c>
      <c r="AJ121">
        <f>IF($C121-AJ$1&lt;År1,0,AI120*(1-VLOOKUP($A121,[1]Hugst!$R$5:$W$9,MATCH(ROUNDUP((AJ$1)/10,0)*10,[1]Hugst!$R$4:$W$4,0))))</f>
        <v>0</v>
      </c>
    </row>
    <row r="122" spans="1:38" x14ac:dyDescent="0.25">
      <c r="A122" t="s">
        <v>177</v>
      </c>
      <c r="B122" t="s">
        <v>24</v>
      </c>
      <c r="C122">
        <v>2047</v>
      </c>
      <c r="D122" cm="1">
        <f t="array" ref="D122">(IF(B122="Vestdanmark",Skovbrug!$C$22-(Skovbrug!$C$22)*(1-Skovbrug!$C$9)^(C122-Skovbrug!$B$12),Skovbrug!$F$22-(Skovbrug!$F$22)*(1-Skovbrug!$C$9)^(C122-Skovbrug!$B$12)))*VLOOKUP(A122,Skovbrug!$A$13:$D$17,IF('Skovbrug-alder'!C122&lt;=År2,3,4),FALSE)
-IF(C122&gt;2020,SUM(INDEX($C$1:$D$311,MATCH(1,(2020=$C$1:$C$311)*(B122=$B$1:$B$311)*(A122=$A$1:$A$311),0),2):D121),0)</f>
        <v>250.25872489284848</v>
      </c>
      <c r="E122">
        <f t="shared" ca="1" si="2"/>
        <v>24.150143385420961</v>
      </c>
      <c r="F122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645.24220161160292</v>
      </c>
      <c r="G122">
        <f ca="1">IF($C122-G$1&lt;År1,0,F121*(1-VLOOKUP($A122,[1]Hugst!$R$5:$W$9,MATCH(ROUNDUP((G$1)/10,0)*10,[1]Hugst!$R$4:$W$4,0))))</f>
        <v>645.35413205890336</v>
      </c>
      <c r="H122">
        <f ca="1">IF($C122-H$1&lt;År1,0,G121*(1-VLOOKUP($A122,[1]Hugst!$R$5:$W$9,MATCH(ROUNDUP((H$1)/10,0)*10,[1]Hugst!$R$4:$W$4,0))))</f>
        <v>645.47017140486105</v>
      </c>
      <c r="I122">
        <f ca="1">IF($C122-I$1&lt;År1,0,H121*(1-VLOOKUP($A122,[1]Hugst!$R$5:$W$9,MATCH(ROUNDUP((I$1)/10,0)*10,[1]Hugst!$R$4:$W$4,0))))</f>
        <v>645.59034190834655</v>
      </c>
      <c r="J122">
        <f ca="1">IF($C122-J$1&lt;År1,0,I121*(1-VLOOKUP($A122,[1]Hugst!$R$5:$W$9,MATCH(ROUNDUP((J$1)/10,0)*10,[1]Hugst!$R$4:$W$4,0))))</f>
        <v>645.71466593682226</v>
      </c>
      <c r="K122">
        <f ca="1">IF($C122-K$1&lt;År1,0,J121*(1-VLOOKUP($A122,[1]Hugst!$R$5:$W$9,MATCH(ROUNDUP((K$1)/10,0)*10,[1]Hugst!$R$4:$W$4,0))))</f>
        <v>645.84316596689814</v>
      </c>
      <c r="L122">
        <f ca="1">IF($C122-L$1&lt;År1,0,K121*(1-VLOOKUP($A122,[1]Hugst!$R$5:$W$9,MATCH(ROUNDUP((L$1)/10,0)*10,[1]Hugst!$R$4:$W$4,0))))</f>
        <v>645.97586458490014</v>
      </c>
      <c r="M122">
        <f ca="1">IF($C122-M$1&lt;År1,0,L121*(1-VLOOKUP($A122,[1]Hugst!$R$5:$W$9,MATCH(ROUNDUP((M$1)/10,0)*10,[1]Hugst!$R$4:$W$4,0))))</f>
        <v>646.1127844873804</v>
      </c>
      <c r="N122">
        <f ca="1">IF($C122-N$1&lt;År1,0,M121*(1-VLOOKUP($A122,[1]Hugst!$R$5:$W$9,MATCH(ROUNDUP((N$1)/10,0)*10,[1]Hugst!$R$4:$W$4,0))))</f>
        <v>645.79041396833281</v>
      </c>
      <c r="O122">
        <f ca="1">IF($C122-O$1&lt;År1,0,N121*(1-VLOOKUP($A122,[1]Hugst!$R$5:$W$9,MATCH(ROUNDUP((O$1)/10,0)*10,[1]Hugst!$R$4:$W$4,0))))</f>
        <v>645.67302847986821</v>
      </c>
      <c r="P122">
        <f ca="1">IF($C122-P$1&lt;År1,0,O121*(1-VLOOKUP($A122,[1]Hugst!$R$5:$W$9,MATCH(ROUNDUP((P$1)/10,0)*10,[1]Hugst!$R$4:$W$4,0))))</f>
        <v>644.57318975587805</v>
      </c>
      <c r="Q122">
        <f ca="1">IF($C122-Q$1&lt;År1,0,P121*(1-VLOOKUP($A122,[1]Hugst!$R$5:$W$9,MATCH(ROUNDUP((Q$1)/10,0)*10,[1]Hugst!$R$4:$W$4,0))))</f>
        <v>643.4775091064937</v>
      </c>
      <c r="R122">
        <f ca="1">IF($C122-R$1&lt;År1,0,Q121*(1-VLOOKUP($A122,[1]Hugst!$R$5:$W$9,MATCH(ROUNDUP((R$1)/10,0)*10,[1]Hugst!$R$4:$W$4,0))))</f>
        <v>642.38598885038743</v>
      </c>
      <c r="S122">
        <f ca="1">IF($C122-S$1&lt;År1,0,R121*(1-VLOOKUP($A122,[1]Hugst!$R$5:$W$9,MATCH(ROUNDUP((S$1)/10,0)*10,[1]Hugst!$R$4:$W$4,0))))</f>
        <v>641.29863133292258</v>
      </c>
      <c r="T122">
        <f ca="1">IF($C122-T$1&lt;År1,0,S121*(1-VLOOKUP($A122,[1]Hugst!$R$5:$W$9,MATCH(ROUNDUP((T$1)/10,0)*10,[1]Hugst!$R$4:$W$4,0))))</f>
        <v>640.2154389262497</v>
      </c>
      <c r="U122">
        <f ca="1">IF($C122-U$1&lt;År1,0,T121*(1-VLOOKUP($A122,[1]Hugst!$R$5:$W$9,MATCH(ROUNDUP((U$1)/10,0)*10,[1]Hugst!$R$4:$W$4,0))))</f>
        <v>639.13641402935571</v>
      </c>
      <c r="V122">
        <f ca="1">IF($C122-V$1&lt;År1,0,U121*(1-VLOOKUP($A122,[1]Hugst!$R$5:$W$9,MATCH(ROUNDUP((V$1)/10,0)*10,[1]Hugst!$R$4:$W$4,0))))</f>
        <v>638.06155906811864</v>
      </c>
      <c r="W122">
        <f ca="1">IF($C122-W$1&lt;År1,0,V121*(1-VLOOKUP($A122,[1]Hugst!$R$5:$W$9,MATCH(ROUNDUP((W$1)/10,0)*10,[1]Hugst!$R$4:$W$4,0))))</f>
        <v>936.71705601736073</v>
      </c>
      <c r="X122">
        <f ca="1">IF($C122-X$1&lt;År1,0,W121*(1-VLOOKUP($A122,[1]Hugst!$R$5:$W$9,MATCH(ROUNDUP((X$1)/10,0)*10,[1]Hugst!$R$4:$W$4,0))))</f>
        <v>935.19333888668814</v>
      </c>
      <c r="Y122">
        <f ca="1">IF($C122-Y$1&lt;År1,0,X121*(1-VLOOKUP($A122,[1]Hugst!$R$5:$W$9,MATCH(ROUNDUP((Y$1)/10,0)*10,[1]Hugst!$R$4:$W$4,0))))</f>
        <v>935.12224558101502</v>
      </c>
      <c r="Z122">
        <f ca="1">IF($C122-Z$1&lt;År1,0,Y121*(1-VLOOKUP($A122,[1]Hugst!$R$5:$W$9,MATCH(ROUNDUP((Z$1)/10,0)*10,[1]Hugst!$R$4:$W$4,0))))</f>
        <v>934.8575863438283</v>
      </c>
      <c r="AA122">
        <f ca="1">IF($C122-AA$1&lt;År1,0,Z121*(1-VLOOKUP($A122,[1]Hugst!$R$5:$W$9,MATCH(ROUNDUP((AA$1)/10,0)*10,[1]Hugst!$R$4:$W$4,0))))</f>
        <v>934.59784621170218</v>
      </c>
      <c r="AB122">
        <f ca="1">IF($C122-AB$1&lt;År1,0,AA121*(1-VLOOKUP($A122,[1]Hugst!$R$5:$W$9,MATCH(ROUNDUP((AB$1)/10,0)*10,[1]Hugst!$R$4:$W$4,0))))</f>
        <v>934.34303126126417</v>
      </c>
      <c r="AC122">
        <f ca="1">IF($C122-AC$1&lt;År1,0,AB121*(1-VLOOKUP($A122,[1]Hugst!$R$5:$W$9,MATCH(ROUNDUP((AC$1)/10,0)*10,[1]Hugst!$R$4:$W$4,0))))</f>
        <v>934.09314760662073</v>
      </c>
      <c r="AD122">
        <f ca="1">IF($C122-AD$1&lt;År1,0,AC121*(1-VLOOKUP($A122,[1]Hugst!$R$5:$W$9,MATCH(ROUNDUP((AD$1)/10,0)*10,[1]Hugst!$R$4:$W$4,0))))</f>
        <v>933.84820139929127</v>
      </c>
      <c r="AE122">
        <f ca="1">IF($C122-AE$1&lt;År1,0,AD121*(1-VLOOKUP($A122,[1]Hugst!$R$5:$W$9,MATCH(ROUNDUP((AE$1)/10,0)*10,[1]Hugst!$R$4:$W$4,0))))</f>
        <v>933.60819882842839</v>
      </c>
      <c r="AF122">
        <f ca="1">IF($C122-AF$1&lt;År1,0,AE121*(1-VLOOKUP($A122,[1]Hugst!$R$5:$W$9,MATCH(ROUNDUP((AF$1)/10,0)*10,[1]Hugst!$R$4:$W$4,0))))</f>
        <v>933.37314612080513</v>
      </c>
      <c r="AG122">
        <f ca="1">IF($C122-AG$1&lt;År1,0,AF121*(1-VLOOKUP($A122,[1]Hugst!$R$5:$W$9,MATCH(ROUNDUP((AG$1)/10,0)*10,[1]Hugst!$R$4:$W$4,0))))</f>
        <v>933.14304954098952</v>
      </c>
      <c r="AH122">
        <f>IF($C122-AH$1&lt;År1,0,AG121*(1-VLOOKUP($A122,[1]Hugst!$R$5:$W$9,MATCH(ROUNDUP((AH$1)/10,0)*10,[1]Hugst!$R$4:$W$4,0))))</f>
        <v>0</v>
      </c>
      <c r="AI122">
        <f>IF($C122-AI$1&lt;År1,0,AH121*(1-VLOOKUP($A122,[1]Hugst!$R$5:$W$9,MATCH(ROUNDUP((AI$1)/10,0)*10,[1]Hugst!$R$4:$W$4,0))))</f>
        <v>0</v>
      </c>
      <c r="AJ122">
        <f>IF($C122-AJ$1&lt;År1,0,AI121*(1-VLOOKUP($A122,[1]Hugst!$R$5:$W$9,MATCH(ROUNDUP((AJ$1)/10,0)*10,[1]Hugst!$R$4:$W$4,0))))</f>
        <v>0</v>
      </c>
    </row>
    <row r="123" spans="1:38" x14ac:dyDescent="0.25">
      <c r="A123" t="s">
        <v>177</v>
      </c>
      <c r="B123" t="s">
        <v>24</v>
      </c>
      <c r="C123">
        <v>2048</v>
      </c>
      <c r="D123" cm="1">
        <f t="array" ref="D123">(IF(B123="Vestdanmark",Skovbrug!$C$22-(Skovbrug!$C$22)*(1-Skovbrug!$C$9)^(C123-Skovbrug!$B$12),Skovbrug!$F$22-(Skovbrug!$F$22)*(1-Skovbrug!$C$9)^(C123-Skovbrug!$B$12)))*VLOOKUP(A123,Skovbrug!$A$13:$D$17,IF('Skovbrug-alder'!C123&lt;=År2,3,4),FALSE)
-IF(C123&gt;2020,SUM(INDEX($C$1:$D$311,MATCH(1,(2020=$C$1:$C$311)*(B123=$B$1:$B$311)*(A123=$A$1:$A$311),0),2):D122),0)</f>
        <v>249.00743126839006</v>
      </c>
      <c r="E123">
        <f t="shared" ca="1" si="2"/>
        <v>25.29359331055457</v>
      </c>
      <c r="F123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645.13435791227812</v>
      </c>
      <c r="G123">
        <f ca="1">IF($C123-G$1&lt;År1,0,F122*(1-VLOOKUP($A123,[1]Hugst!$R$5:$W$9,MATCH(ROUNDUP((G$1)/10,0)*10,[1]Hugst!$R$4:$W$4,0))))</f>
        <v>645.24220161160292</v>
      </c>
      <c r="H123">
        <f ca="1">IF($C123-H$1&lt;År1,0,G122*(1-VLOOKUP($A123,[1]Hugst!$R$5:$W$9,MATCH(ROUNDUP((H$1)/10,0)*10,[1]Hugst!$R$4:$W$4,0))))</f>
        <v>645.35413205890336</v>
      </c>
      <c r="I123">
        <f ca="1">IF($C123-I$1&lt;År1,0,H122*(1-VLOOKUP($A123,[1]Hugst!$R$5:$W$9,MATCH(ROUNDUP((I$1)/10,0)*10,[1]Hugst!$R$4:$W$4,0))))</f>
        <v>645.47017140486105</v>
      </c>
      <c r="J123">
        <f ca="1">IF($C123-J$1&lt;År1,0,I122*(1-VLOOKUP($A123,[1]Hugst!$R$5:$W$9,MATCH(ROUNDUP((J$1)/10,0)*10,[1]Hugst!$R$4:$W$4,0))))</f>
        <v>645.59034190834655</v>
      </c>
      <c r="K123">
        <f ca="1">IF($C123-K$1&lt;År1,0,J122*(1-VLOOKUP($A123,[1]Hugst!$R$5:$W$9,MATCH(ROUNDUP((K$1)/10,0)*10,[1]Hugst!$R$4:$W$4,0))))</f>
        <v>645.71466593682226</v>
      </c>
      <c r="L123">
        <f ca="1">IF($C123-L$1&lt;År1,0,K122*(1-VLOOKUP($A123,[1]Hugst!$R$5:$W$9,MATCH(ROUNDUP((L$1)/10,0)*10,[1]Hugst!$R$4:$W$4,0))))</f>
        <v>645.84316596689814</v>
      </c>
      <c r="M123">
        <f ca="1">IF($C123-M$1&lt;År1,0,L122*(1-VLOOKUP($A123,[1]Hugst!$R$5:$W$9,MATCH(ROUNDUP((M$1)/10,0)*10,[1]Hugst!$R$4:$W$4,0))))</f>
        <v>645.97586458490014</v>
      </c>
      <c r="N123">
        <f ca="1">IF($C123-N$1&lt;År1,0,M122*(1-VLOOKUP($A123,[1]Hugst!$R$5:$W$9,MATCH(ROUNDUP((N$1)/10,0)*10,[1]Hugst!$R$4:$W$4,0))))</f>
        <v>646.1127844873804</v>
      </c>
      <c r="O123">
        <f ca="1">IF($C123-O$1&lt;År1,0,N122*(1-VLOOKUP($A123,[1]Hugst!$R$5:$W$9,MATCH(ROUNDUP((O$1)/10,0)*10,[1]Hugst!$R$4:$W$4,0))))</f>
        <v>645.79041396833281</v>
      </c>
      <c r="P123">
        <f ca="1">IF($C123-P$1&lt;År1,0,O122*(1-VLOOKUP($A123,[1]Hugst!$R$5:$W$9,MATCH(ROUNDUP((P$1)/10,0)*10,[1]Hugst!$R$4:$W$4,0))))</f>
        <v>644.68810352117009</v>
      </c>
      <c r="Q123">
        <f ca="1">IF($C123-Q$1&lt;År1,0,P122*(1-VLOOKUP($A123,[1]Hugst!$R$5:$W$9,MATCH(ROUNDUP((Q$1)/10,0)*10,[1]Hugst!$R$4:$W$4,0))))</f>
        <v>643.58994251726733</v>
      </c>
      <c r="R123">
        <f ca="1">IF($C123-R$1&lt;År1,0,Q122*(1-VLOOKUP($A123,[1]Hugst!$R$5:$W$9,MATCH(ROUNDUP((R$1)/10,0)*10,[1]Hugst!$R$4:$W$4,0))))</f>
        <v>642.49593324514478</v>
      </c>
      <c r="S123">
        <f ca="1">IF($C123-S$1&lt;År1,0,R122*(1-VLOOKUP($A123,[1]Hugst!$R$5:$W$9,MATCH(ROUNDUP((S$1)/10,0)*10,[1]Hugst!$R$4:$W$4,0))))</f>
        <v>641.40607801993769</v>
      </c>
      <c r="T123">
        <f ca="1">IF($C123-T$1&lt;År1,0,S122*(1-VLOOKUP($A123,[1]Hugst!$R$5:$W$9,MATCH(ROUNDUP((T$1)/10,0)*10,[1]Hugst!$R$4:$W$4,0))))</f>
        <v>640.32037918343167</v>
      </c>
      <c r="U123">
        <f ca="1">IF($C123-U$1&lt;År1,0,T122*(1-VLOOKUP($A123,[1]Hugst!$R$5:$W$9,MATCH(ROUNDUP((U$1)/10,0)*10,[1]Hugst!$R$4:$W$4,0))))</f>
        <v>639.23883910415884</v>
      </c>
      <c r="V123">
        <f ca="1">IF($C123-V$1&lt;År1,0,U122*(1-VLOOKUP($A123,[1]Hugst!$R$5:$W$9,MATCH(ROUNDUP((V$1)/10,0)*10,[1]Hugst!$R$4:$W$4,0))))</f>
        <v>638.16146017744654</v>
      </c>
      <c r="W123">
        <f ca="1">IF($C123-W$1&lt;År1,0,V122*(1-VLOOKUP($A123,[1]Hugst!$R$5:$W$9,MATCH(ROUNDUP((W$1)/10,0)*10,[1]Hugst!$R$4:$W$4,0))))</f>
        <v>637.08824482547232</v>
      </c>
      <c r="X123">
        <f ca="1">IF($C123-X$1&lt;År1,0,W122*(1-VLOOKUP($A123,[1]Hugst!$R$5:$W$9,MATCH(ROUNDUP((X$1)/10,0)*10,[1]Hugst!$R$4:$W$4,0))))</f>
        <v>935.28816559292738</v>
      </c>
      <c r="Y123">
        <f ca="1">IF($C123-Y$1&lt;År1,0,X122*(1-VLOOKUP($A123,[1]Hugst!$R$5:$W$9,MATCH(ROUNDUP((Y$1)/10,0)*10,[1]Hugst!$R$4:$W$4,0))))</f>
        <v>933.76677277652198</v>
      </c>
      <c r="Z123">
        <f ca="1">IF($C123-Z$1&lt;År1,0,Y122*(1-VLOOKUP($A123,[1]Hugst!$R$5:$W$9,MATCH(ROUNDUP((Z$1)/10,0)*10,[1]Hugst!$R$4:$W$4,0))))</f>
        <v>933.49766879843776</v>
      </c>
      <c r="AA123">
        <f ca="1">IF($C123-AA$1&lt;År1,0,Z122*(1-VLOOKUP($A123,[1]Hugst!$R$5:$W$9,MATCH(ROUNDUP((AA$1)/10,0)*10,[1]Hugst!$R$4:$W$4,0))))</f>
        <v>933.23346935060385</v>
      </c>
      <c r="AB123">
        <f ca="1">IF($C123-AB$1&lt;År1,0,AA122*(1-VLOOKUP($A123,[1]Hugst!$R$5:$W$9,MATCH(ROUNDUP((AB$1)/10,0)*10,[1]Hugst!$R$4:$W$4,0))))</f>
        <v>932.97418046192752</v>
      </c>
      <c r="AC123">
        <f ca="1">IF($C123-AC$1&lt;År1,0,AB122*(1-VLOOKUP($A123,[1]Hugst!$R$5:$W$9,MATCH(ROUNDUP((AC$1)/10,0)*10,[1]Hugst!$R$4:$W$4,0))))</f>
        <v>932.71980819847977</v>
      </c>
      <c r="AD123">
        <f ca="1">IF($C123-AD$1&lt;År1,0,AC122*(1-VLOOKUP($A123,[1]Hugst!$R$5:$W$9,MATCH(ROUNDUP((AD$1)/10,0)*10,[1]Hugst!$R$4:$W$4,0))))</f>
        <v>932.47035866374483</v>
      </c>
      <c r="AE123">
        <f ca="1">IF($C123-AE$1&lt;År1,0,AD122*(1-VLOOKUP($A123,[1]Hugst!$R$5:$W$9,MATCH(ROUNDUP((AE$1)/10,0)*10,[1]Hugst!$R$4:$W$4,0))))</f>
        <v>932.22583799855522</v>
      </c>
      <c r="AF123">
        <f ca="1">IF($C123-AF$1&lt;År1,0,AE122*(1-VLOOKUP($A123,[1]Hugst!$R$5:$W$9,MATCH(ROUNDUP((AF$1)/10,0)*10,[1]Hugst!$R$4:$W$4,0))))</f>
        <v>931.98625238131115</v>
      </c>
      <c r="AG123">
        <f ca="1">IF($C123-AG$1&lt;År1,0,AF122*(1-VLOOKUP($A123,[1]Hugst!$R$5:$W$9,MATCH(ROUNDUP((AG$1)/10,0)*10,[1]Hugst!$R$4:$W$4,0))))</f>
        <v>931.75160802796813</v>
      </c>
      <c r="AH123">
        <f ca="1">IF($C123-AH$1&lt;År1,0,AG122*(1-VLOOKUP($A123,[1]Hugst!$R$5:$W$9,MATCH(ROUNDUP((AH$1)/10,0)*10,[1]Hugst!$R$4:$W$4,0))))</f>
        <v>931.52191119221061</v>
      </c>
      <c r="AI123">
        <f>IF($C123-AI$1&lt;År1,0,AH122*(1-VLOOKUP($A123,[1]Hugst!$R$5:$W$9,MATCH(ROUNDUP((AI$1)/10,0)*10,[1]Hugst!$R$4:$W$4,0))))</f>
        <v>0</v>
      </c>
      <c r="AJ123">
        <f>IF($C123-AJ$1&lt;År1,0,AI122*(1-VLOOKUP($A123,[1]Hugst!$R$5:$W$9,MATCH(ROUNDUP((AJ$1)/10,0)*10,[1]Hugst!$R$4:$W$4,0))))</f>
        <v>0</v>
      </c>
    </row>
    <row r="124" spans="1:38" x14ac:dyDescent="0.25">
      <c r="A124" t="s">
        <v>177</v>
      </c>
      <c r="B124" t="s">
        <v>24</v>
      </c>
      <c r="C124">
        <v>2049</v>
      </c>
      <c r="D124" cm="1">
        <f t="array" ref="D124">(IF(B124="Vestdanmark",Skovbrug!$C$22-(Skovbrug!$C$22)*(1-Skovbrug!$C$9)^(C124-Skovbrug!$B$12),Skovbrug!$F$22-(Skovbrug!$F$22)*(1-Skovbrug!$C$9)^(C124-Skovbrug!$B$12)))*VLOOKUP(A124,Skovbrug!$A$13:$D$17,IF('Skovbrug-alder'!C124&lt;=År2,3,4),FALSE)
-IF(C124&gt;2020,SUM(INDEX($C$1:$D$311,MATCH(1,(2020=$C$1:$C$311)*(B124=$B$1:$B$311)*(A124=$A$1:$A$311),0),2):D123),0)</f>
        <v>247.76239411205734</v>
      </c>
      <c r="E124">
        <f t="shared" ca="1" si="2"/>
        <v>26.434851472342416</v>
      </c>
      <c r="F124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645.03057891773324</v>
      </c>
      <c r="G124">
        <f ca="1">IF($C124-G$1&lt;År1,0,F123*(1-VLOOKUP($A124,[1]Hugst!$R$5:$W$9,MATCH(ROUNDUP((G$1)/10,0)*10,[1]Hugst!$R$4:$W$4,0))))</f>
        <v>645.13435791227812</v>
      </c>
      <c r="H124">
        <f ca="1">IF($C124-H$1&lt;År1,0,G123*(1-VLOOKUP($A124,[1]Hugst!$R$5:$W$9,MATCH(ROUNDUP((H$1)/10,0)*10,[1]Hugst!$R$4:$W$4,0))))</f>
        <v>645.24220161160292</v>
      </c>
      <c r="I124">
        <f ca="1">IF($C124-I$1&lt;År1,0,H123*(1-VLOOKUP($A124,[1]Hugst!$R$5:$W$9,MATCH(ROUNDUP((I$1)/10,0)*10,[1]Hugst!$R$4:$W$4,0))))</f>
        <v>645.35413205890336</v>
      </c>
      <c r="J124">
        <f ca="1">IF($C124-J$1&lt;År1,0,I123*(1-VLOOKUP($A124,[1]Hugst!$R$5:$W$9,MATCH(ROUNDUP((J$1)/10,0)*10,[1]Hugst!$R$4:$W$4,0))))</f>
        <v>645.47017140486105</v>
      </c>
      <c r="K124">
        <f ca="1">IF($C124-K$1&lt;År1,0,J123*(1-VLOOKUP($A124,[1]Hugst!$R$5:$W$9,MATCH(ROUNDUP((K$1)/10,0)*10,[1]Hugst!$R$4:$W$4,0))))</f>
        <v>645.59034190834655</v>
      </c>
      <c r="L124">
        <f ca="1">IF($C124-L$1&lt;År1,0,K123*(1-VLOOKUP($A124,[1]Hugst!$R$5:$W$9,MATCH(ROUNDUP((L$1)/10,0)*10,[1]Hugst!$R$4:$W$4,0))))</f>
        <v>645.71466593682226</v>
      </c>
      <c r="M124">
        <f ca="1">IF($C124-M$1&lt;År1,0,L123*(1-VLOOKUP($A124,[1]Hugst!$R$5:$W$9,MATCH(ROUNDUP((M$1)/10,0)*10,[1]Hugst!$R$4:$W$4,0))))</f>
        <v>645.84316596689814</v>
      </c>
      <c r="N124">
        <f ca="1">IF($C124-N$1&lt;År1,0,M123*(1-VLOOKUP($A124,[1]Hugst!$R$5:$W$9,MATCH(ROUNDUP((N$1)/10,0)*10,[1]Hugst!$R$4:$W$4,0))))</f>
        <v>645.97586458490014</v>
      </c>
      <c r="O124">
        <f ca="1">IF($C124-O$1&lt;År1,0,N123*(1-VLOOKUP($A124,[1]Hugst!$R$5:$W$9,MATCH(ROUNDUP((O$1)/10,0)*10,[1]Hugst!$R$4:$W$4,0))))</f>
        <v>646.1127844873804</v>
      </c>
      <c r="P124">
        <f ca="1">IF($C124-P$1&lt;År1,0,O123*(1-VLOOKUP($A124,[1]Hugst!$R$5:$W$9,MATCH(ROUNDUP((P$1)/10,0)*10,[1]Hugst!$R$4:$W$4,0))))</f>
        <v>644.80530994702519</v>
      </c>
      <c r="Q124">
        <f ca="1">IF($C124-Q$1&lt;År1,0,P123*(1-VLOOKUP($A124,[1]Hugst!$R$5:$W$9,MATCH(ROUNDUP((Q$1)/10,0)*10,[1]Hugst!$R$4:$W$4,0))))</f>
        <v>643.7046809903751</v>
      </c>
      <c r="R124">
        <f ca="1">IF($C124-R$1&lt;År1,0,Q123*(1-VLOOKUP($A124,[1]Hugst!$R$5:$W$9,MATCH(ROUNDUP((R$1)/10,0)*10,[1]Hugst!$R$4:$W$4,0))))</f>
        <v>642.60819514732577</v>
      </c>
      <c r="S124">
        <f ca="1">IF($C124-S$1&lt;År1,0,R123*(1-VLOOKUP($A124,[1]Hugst!$R$5:$W$9,MATCH(ROUNDUP((S$1)/10,0)*10,[1]Hugst!$R$4:$W$4,0))))</f>
        <v>641.51585470290638</v>
      </c>
      <c r="T124">
        <f ca="1">IF($C124-T$1&lt;År1,0,S123*(1-VLOOKUP($A124,[1]Hugst!$R$5:$W$9,MATCH(ROUNDUP((T$1)/10,0)*10,[1]Hugst!$R$4:$W$4,0))))</f>
        <v>640.42766196872083</v>
      </c>
      <c r="U124">
        <f ca="1">IF($C124-U$1&lt;År1,0,T123*(1-VLOOKUP($A124,[1]Hugst!$R$5:$W$9,MATCH(ROUNDUP((U$1)/10,0)*10,[1]Hugst!$R$4:$W$4,0))))</f>
        <v>639.34361928298233</v>
      </c>
      <c r="V124">
        <f ca="1">IF($C124-V$1&lt;År1,0,U123*(1-VLOOKUP($A124,[1]Hugst!$R$5:$W$9,MATCH(ROUNDUP((V$1)/10,0)*10,[1]Hugst!$R$4:$W$4,0))))</f>
        <v>638.26372901061006</v>
      </c>
      <c r="W124">
        <f ca="1">IF($C124-W$1&lt;År1,0,V123*(1-VLOOKUP($A124,[1]Hugst!$R$5:$W$9,MATCH(ROUNDUP((W$1)/10,0)*10,[1]Hugst!$R$4:$W$4,0))))</f>
        <v>637.18799354327757</v>
      </c>
      <c r="X124">
        <f ca="1">IF($C124-X$1&lt;År1,0,W123*(1-VLOOKUP($A124,[1]Hugst!$R$5:$W$9,MATCH(ROUNDUP((X$1)/10,0)*10,[1]Hugst!$R$4:$W$4,0))))</f>
        <v>636.11641529946735</v>
      </c>
      <c r="Y124">
        <f ca="1">IF($C124-Y$1&lt;År1,0,X123*(1-VLOOKUP($A124,[1]Hugst!$R$5:$W$9,MATCH(ROUNDUP((Y$1)/10,0)*10,[1]Hugst!$R$4:$W$4,0))))</f>
        <v>933.86145483185339</v>
      </c>
      <c r="Z124">
        <f ca="1">IF($C124-Z$1&lt;År1,0,Y123*(1-VLOOKUP($A124,[1]Hugst!$R$5:$W$9,MATCH(ROUNDUP((Z$1)/10,0)*10,[1]Hugst!$R$4:$W$4,0))))</f>
        <v>932.1445508407661</v>
      </c>
      <c r="AA124">
        <f ca="1">IF($C124-AA$1&lt;År1,0,Z123*(1-VLOOKUP($A124,[1]Hugst!$R$5:$W$9,MATCH(ROUNDUP((AA$1)/10,0)*10,[1]Hugst!$R$4:$W$4,0))))</f>
        <v>931.87591437383026</v>
      </c>
      <c r="AB124">
        <f ca="1">IF($C124-AB$1&lt;År1,0,AA123*(1-VLOOKUP($A124,[1]Hugst!$R$5:$W$9,MATCH(ROUNDUP((AB$1)/10,0)*10,[1]Hugst!$R$4:$W$4,0))))</f>
        <v>931.61217391656248</v>
      </c>
      <c r="AC124">
        <f ca="1">IF($C124-AC$1&lt;År1,0,AB123*(1-VLOOKUP($A124,[1]Hugst!$R$5:$W$9,MATCH(ROUNDUP((AC$1)/10,0)*10,[1]Hugst!$R$4:$W$4,0))))</f>
        <v>931.35333548739618</v>
      </c>
      <c r="AD124">
        <f ca="1">IF($C124-AD$1&lt;År1,0,AC123*(1-VLOOKUP($A124,[1]Hugst!$R$5:$W$9,MATCH(ROUNDUP((AD$1)/10,0)*10,[1]Hugst!$R$4:$W$4,0))))</f>
        <v>931.09940514186371</v>
      </c>
      <c r="AE124">
        <f ca="1">IF($C124-AE$1&lt;År1,0,AD123*(1-VLOOKUP($A124,[1]Hugst!$R$5:$W$9,MATCH(ROUNDUP((AE$1)/10,0)*10,[1]Hugst!$R$4:$W$4,0))))</f>
        <v>930.85038897284596</v>
      </c>
      <c r="AF124">
        <f ca="1">IF($C124-AF$1&lt;År1,0,AE123*(1-VLOOKUP($A124,[1]Hugst!$R$5:$W$9,MATCH(ROUNDUP((AF$1)/10,0)*10,[1]Hugst!$R$4:$W$4,0))))</f>
        <v>930.60629311050684</v>
      </c>
      <c r="AG124">
        <f ca="1">IF($C124-AG$1&lt;År1,0,AF123*(1-VLOOKUP($A124,[1]Hugst!$R$5:$W$9,MATCH(ROUNDUP((AG$1)/10,0)*10,[1]Hugst!$R$4:$W$4,0))))</f>
        <v>930.36712372251304</v>
      </c>
      <c r="AH124">
        <f ca="1">IF($C124-AH$1&lt;År1,0,AG123*(1-VLOOKUP($A124,[1]Hugst!$R$5:$W$9,MATCH(ROUNDUP((AH$1)/10,0)*10,[1]Hugst!$R$4:$W$4,0))))</f>
        <v>930.13288701402121</v>
      </c>
      <c r="AI124">
        <f ca="1">IF($C124-AI$1&lt;År1,0,AH123*(1-VLOOKUP($A124,[1]Hugst!$R$5:$W$9,MATCH(ROUNDUP((AI$1)/10,0)*10,[1]Hugst!$R$4:$W$4,0))))</f>
        <v>929.90358922785117</v>
      </c>
      <c r="AJ124">
        <f>IF($C124-AJ$1&lt;År1,0,AI123*(1-VLOOKUP($A124,[1]Hugst!$R$5:$W$9,MATCH(ROUNDUP((AJ$1)/10,0)*10,[1]Hugst!$R$4:$W$4,0))))</f>
        <v>0</v>
      </c>
    </row>
    <row r="125" spans="1:38" x14ac:dyDescent="0.25">
      <c r="A125" t="s">
        <v>177</v>
      </c>
      <c r="B125" t="s">
        <v>24</v>
      </c>
      <c r="C125">
        <v>2050</v>
      </c>
      <c r="D125" cm="1">
        <f t="array" ref="D125">(IF(B125="Vestdanmark",Skovbrug!$C$22-(Skovbrug!$C$22)*(1-Skovbrug!$C$9)^(C125-Skovbrug!$B$12),Skovbrug!$F$22-(Skovbrug!$F$22)*(1-Skovbrug!$C$9)^(C125-Skovbrug!$B$12)))*VLOOKUP(A125,Skovbrug!$A$13:$D$17,IF('Skovbrug-alder'!C125&lt;=År2,3,4),FALSE)
-IF(C125&gt;2020,SUM(INDEX($C$1:$D$311,MATCH(1,(2020=$C$1:$C$311)*(B125=$B$1:$B$311)*(A125=$A$1:$A$311),0),2):D124),0)</f>
        <v>246.52358214149262</v>
      </c>
      <c r="E125">
        <f ca="1">IF(C125=2020,SUM(G125:AJ125),SUM(F124:AJ124)-SUM(G125:AJ125))</f>
        <v>26.786488338795607</v>
      </c>
      <c r="F125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644.14340381362172</v>
      </c>
      <c r="G125">
        <f ca="1">IF($C125-G$1&lt;År1,0,F124*(1-VLOOKUP($A125,[1]Hugst!$R$5:$W$9,MATCH(ROUNDUP((G$1)/10,0)*10,[1]Hugst!$R$4:$W$4,0))))</f>
        <v>645.03057891773324</v>
      </c>
      <c r="H125">
        <f ca="1">IF($C125-H$1&lt;År1,0,G124*(1-VLOOKUP($A125,[1]Hugst!$R$5:$W$9,MATCH(ROUNDUP((H$1)/10,0)*10,[1]Hugst!$R$4:$W$4,0))))</f>
        <v>645.13435791227812</v>
      </c>
      <c r="I125">
        <f ca="1">IF($C125-I$1&lt;År1,0,H124*(1-VLOOKUP($A125,[1]Hugst!$R$5:$W$9,MATCH(ROUNDUP((I$1)/10,0)*10,[1]Hugst!$R$4:$W$4,0))))</f>
        <v>645.24220161160292</v>
      </c>
      <c r="J125">
        <f ca="1">IF($C125-J$1&lt;År1,0,I124*(1-VLOOKUP($A125,[1]Hugst!$R$5:$W$9,MATCH(ROUNDUP((J$1)/10,0)*10,[1]Hugst!$R$4:$W$4,0))))</f>
        <v>645.35413205890336</v>
      </c>
      <c r="K125">
        <f ca="1">IF($C125-K$1&lt;År1,0,J124*(1-VLOOKUP($A125,[1]Hugst!$R$5:$W$9,MATCH(ROUNDUP((K$1)/10,0)*10,[1]Hugst!$R$4:$W$4,0))))</f>
        <v>645.47017140486105</v>
      </c>
      <c r="L125">
        <f ca="1">IF($C125-L$1&lt;År1,0,K124*(1-VLOOKUP($A125,[1]Hugst!$R$5:$W$9,MATCH(ROUNDUP((L$1)/10,0)*10,[1]Hugst!$R$4:$W$4,0))))</f>
        <v>645.59034190834655</v>
      </c>
      <c r="M125">
        <f ca="1">IF($C125-M$1&lt;År1,0,L124*(1-VLOOKUP($A125,[1]Hugst!$R$5:$W$9,MATCH(ROUNDUP((M$1)/10,0)*10,[1]Hugst!$R$4:$W$4,0))))</f>
        <v>645.71466593682226</v>
      </c>
      <c r="N125">
        <f ca="1">IF($C125-N$1&lt;År1,0,M124*(1-VLOOKUP($A125,[1]Hugst!$R$5:$W$9,MATCH(ROUNDUP((N$1)/10,0)*10,[1]Hugst!$R$4:$W$4,0))))</f>
        <v>645.84316596689814</v>
      </c>
      <c r="O125">
        <f ca="1">IF($C125-O$1&lt;År1,0,N124*(1-VLOOKUP($A125,[1]Hugst!$R$5:$W$9,MATCH(ROUNDUP((O$1)/10,0)*10,[1]Hugst!$R$4:$W$4,0))))</f>
        <v>645.97586458490014</v>
      </c>
      <c r="P125">
        <f ca="1">IF($C125-P$1&lt;År1,0,O124*(1-VLOOKUP($A125,[1]Hugst!$R$5:$W$9,MATCH(ROUNDUP((P$1)/10,0)*10,[1]Hugst!$R$4:$W$4,0))))</f>
        <v>645.12718871443349</v>
      </c>
      <c r="Q125">
        <f ca="1">IF($C125-Q$1&lt;År1,0,P124*(1-VLOOKUP($A125,[1]Hugst!$R$5:$W$9,MATCH(ROUNDUP((Q$1)/10,0)*10,[1]Hugst!$R$4:$W$4,0))))</f>
        <v>643.82170862676696</v>
      </c>
      <c r="R125">
        <f ca="1">IF($C125-R$1&lt;År1,0,Q124*(1-VLOOKUP($A125,[1]Hugst!$R$5:$W$9,MATCH(ROUNDUP((R$1)/10,0)*10,[1]Hugst!$R$4:$W$4,0))))</f>
        <v>642.722758595644</v>
      </c>
      <c r="S125">
        <f ca="1">IF($C125-S$1&lt;År1,0,R124*(1-VLOOKUP($A125,[1]Hugst!$R$5:$W$9,MATCH(ROUNDUP((S$1)/10,0)*10,[1]Hugst!$R$4:$W$4,0))))</f>
        <v>641.62794535811793</v>
      </c>
      <c r="T125">
        <f ca="1">IF($C125-T$1&lt;År1,0,S124*(1-VLOOKUP($A125,[1]Hugst!$R$5:$W$9,MATCH(ROUNDUP((T$1)/10,0)*10,[1]Hugst!$R$4:$W$4,0))))</f>
        <v>640.53727119573239</v>
      </c>
      <c r="U125">
        <f ca="1">IF($C125-U$1&lt;År1,0,T124*(1-VLOOKUP($A125,[1]Hugst!$R$5:$W$9,MATCH(ROUNDUP((U$1)/10,0)*10,[1]Hugst!$R$4:$W$4,0))))</f>
        <v>639.45073841656517</v>
      </c>
      <c r="V125">
        <f ca="1">IF($C125-V$1&lt;År1,0,U124*(1-VLOOKUP($A125,[1]Hugst!$R$5:$W$9,MATCH(ROUNDUP((V$1)/10,0)*10,[1]Hugst!$R$4:$W$4,0))))</f>
        <v>638.36834935526247</v>
      </c>
      <c r="W125">
        <f ca="1">IF($C125-W$1&lt;År1,0,V124*(1-VLOOKUP($A125,[1]Hugst!$R$5:$W$9,MATCH(ROUNDUP((W$1)/10,0)*10,[1]Hugst!$R$4:$W$4,0))))</f>
        <v>637.29010637313627</v>
      </c>
      <c r="X125">
        <f ca="1">IF($C125-X$1&lt;År1,0,W124*(1-VLOOKUP($A125,[1]Hugst!$R$5:$W$9,MATCH(ROUNDUP((X$1)/10,0)*10,[1]Hugst!$R$4:$W$4,0))))</f>
        <v>636.21601185821157</v>
      </c>
      <c r="Y125">
        <f ca="1">IF($C125-Y$1&lt;År1,0,X124*(1-VLOOKUP($A125,[1]Hugst!$R$5:$W$9,MATCH(ROUNDUP((Y$1)/10,0)*10,[1]Hugst!$R$4:$W$4,0))))</f>
        <v>635.14606822528174</v>
      </c>
      <c r="Z125">
        <f ca="1">IF($C125-Z$1&lt;År1,0,Y124*(1-VLOOKUP($A125,[1]Hugst!$R$5:$W$9,MATCH(ROUNDUP((Z$1)/10,0)*10,[1]Hugst!$R$4:$W$4,0))))</f>
        <v>932.23906840608618</v>
      </c>
      <c r="AA125">
        <f ca="1">IF($C125-AA$1&lt;År1,0,Z124*(1-VLOOKUP($A125,[1]Hugst!$R$5:$W$9,MATCH(ROUNDUP((AA$1)/10,0)*10,[1]Hugst!$R$4:$W$4,0))))</f>
        <v>930.52514717193253</v>
      </c>
      <c r="AB125">
        <f ca="1">IF($C125-AB$1&lt;År1,0,AA124*(1-VLOOKUP($A125,[1]Hugst!$R$5:$W$9,MATCH(ROUNDUP((AB$1)/10,0)*10,[1]Hugst!$R$4:$W$4,0))))</f>
        <v>930.25697740394344</v>
      </c>
      <c r="AC125">
        <f ca="1">IF($C125-AC$1&lt;År1,0,AB124*(1-VLOOKUP($A125,[1]Hugst!$R$5:$W$9,MATCH(ROUNDUP((AC$1)/10,0)*10,[1]Hugst!$R$4:$W$4,0))))</f>
        <v>929.993695139843</v>
      </c>
      <c r="AD125">
        <f ca="1">IF($C125-AD$1&lt;År1,0,AC124*(1-VLOOKUP($A125,[1]Hugst!$R$5:$W$9,MATCH(ROUNDUP((AD$1)/10,0)*10,[1]Hugst!$R$4:$W$4,0))))</f>
        <v>929.73530638760872</v>
      </c>
      <c r="AE125">
        <f ca="1">IF($C125-AE$1&lt;År1,0,AD124*(1-VLOOKUP($A125,[1]Hugst!$R$5:$W$9,MATCH(ROUNDUP((AE$1)/10,0)*10,[1]Hugst!$R$4:$W$4,0))))</f>
        <v>929.48181719225283</v>
      </c>
      <c r="AF125">
        <f ca="1">IF($C125-AF$1&lt;År1,0,AE124*(1-VLOOKUP($A125,[1]Hugst!$R$5:$W$9,MATCH(ROUNDUP((AF$1)/10,0)*10,[1]Hugst!$R$4:$W$4,0))))</f>
        <v>929.23323363607108</v>
      </c>
      <c r="AG125">
        <f ca="1">IF($C125-AG$1&lt;År1,0,AF124*(1-VLOOKUP($A125,[1]Hugst!$R$5:$W$9,MATCH(ROUNDUP((AG$1)/10,0)*10,[1]Hugst!$R$4:$W$4,0))))</f>
        <v>928.98956183857752</v>
      </c>
      <c r="AH125">
        <f ca="1">IF($C125-AH$1&lt;År1,0,AG124*(1-VLOOKUP($A125,[1]Hugst!$R$5:$W$9,MATCH(ROUNDUP((AH$1)/10,0)*10,[1]Hugst!$R$4:$W$4,0))))</f>
        <v>928.75080795672386</v>
      </c>
      <c r="AI125">
        <f ca="1">IF($C125-AI$1&lt;År1,0,AH124*(1-VLOOKUP($A125,[1]Hugst!$R$5:$W$9,MATCH(ROUNDUP((AI$1)/10,0)*10,[1]Hugst!$R$4:$W$4,0))))</f>
        <v>928.51697818488663</v>
      </c>
      <c r="AJ125">
        <f ca="1">IF($C125-AJ$1&lt;År1,0,AI124*(1-VLOOKUP($A125,[1]Hugst!$R$5:$W$9,MATCH(ROUNDUP((AJ$1)/10,0)*10,[1]Hugst!$R$4:$W$4,0))))</f>
        <v>929.07613264421627</v>
      </c>
      <c r="AL125">
        <f ca="1">SUM(F125:AJ125)</f>
        <v>23080.605756797257</v>
      </c>
    </row>
    <row r="126" spans="1:38" x14ac:dyDescent="0.25">
      <c r="A126" t="s">
        <v>178</v>
      </c>
      <c r="B126" t="s">
        <v>23</v>
      </c>
      <c r="C126">
        <v>2020</v>
      </c>
      <c r="D126" cm="1">
        <f t="array" ref="D126">(IF(B126="Vestdanmark",Skovbrug!$C$22-(Skovbrug!$C$22)*(1-Skovbrug!$C$9)^(C126-Skovbrug!$B$12),Skovbrug!$F$22-(Skovbrug!$F$22)*(1-Skovbrug!$C$9)^(C126-Skovbrug!$B$12)))*VLOOKUP(A126,Skovbrug!$A$13:$D$17,IF('Skovbrug-alder'!C126&lt;=År2,3,4),FALSE)
-IF(C126&gt;2020,SUM(INDEX($C$1:$D$311,MATCH(1,(2020=$C$1:$C$311)*(B126=$B$1:$B$311)*(A126=$A$1:$A$311),0),2):D125),0)</f>
        <v>108.76613040576632</v>
      </c>
      <c r="E126">
        <f t="shared" ref="E126:E187" si="3">IF(C126=2020,SUM(G126:AJ126),SUM(F125:AJ125)-SUM(G126:AJ126))</f>
        <v>0</v>
      </c>
      <c r="F126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602.03212367175934</v>
      </c>
      <c r="G126">
        <f>IF($C126-G$1&lt;År1,0,F125*(1-VLOOKUP($A126,[1]Hugst!$R$5:$W$9,MATCH(ROUNDUP((G$1)/10,0)*10,[1]Hugst!$R$4:$W$4,0))))</f>
        <v>0</v>
      </c>
      <c r="H126">
        <f>IF($C126-H$1&lt;År1,0,G125*(1-VLOOKUP($A126,[1]Hugst!$R$5:$W$9,MATCH(ROUNDUP((H$1)/10,0)*10,[1]Hugst!$R$4:$W$4,0))))</f>
        <v>0</v>
      </c>
      <c r="I126">
        <f>IF($C126-I$1&lt;År1,0,H125*(1-VLOOKUP($A126,[1]Hugst!$R$5:$W$9,MATCH(ROUNDUP((I$1)/10,0)*10,[1]Hugst!$R$4:$W$4,0))))</f>
        <v>0</v>
      </c>
      <c r="J126">
        <f>IF($C126-J$1&lt;År1,0,I125*(1-VLOOKUP($A126,[1]Hugst!$R$5:$W$9,MATCH(ROUNDUP((J$1)/10,0)*10,[1]Hugst!$R$4:$W$4,0))))</f>
        <v>0</v>
      </c>
      <c r="K126">
        <f>IF($C126-K$1&lt;År1,0,J125*(1-VLOOKUP($A126,[1]Hugst!$R$5:$W$9,MATCH(ROUNDUP((K$1)/10,0)*10,[1]Hugst!$R$4:$W$4,0))))</f>
        <v>0</v>
      </c>
      <c r="L126">
        <f>IF($C126-L$1&lt;År1,0,K125*(1-VLOOKUP($A126,[1]Hugst!$R$5:$W$9,MATCH(ROUNDUP((L$1)/10,0)*10,[1]Hugst!$R$4:$W$4,0))))</f>
        <v>0</v>
      </c>
      <c r="M126">
        <f>IF($C126-M$1&lt;År1,0,L125*(1-VLOOKUP($A126,[1]Hugst!$R$5:$W$9,MATCH(ROUNDUP((M$1)/10,0)*10,[1]Hugst!$R$4:$W$4,0))))</f>
        <v>0</v>
      </c>
      <c r="N126">
        <f>IF($C126-N$1&lt;År1,0,M125*(1-VLOOKUP($A126,[1]Hugst!$R$5:$W$9,MATCH(ROUNDUP((N$1)/10,0)*10,[1]Hugst!$R$4:$W$4,0))))</f>
        <v>0</v>
      </c>
      <c r="O126">
        <f>IF($C126-O$1&lt;År1,0,N125*(1-VLOOKUP($A126,[1]Hugst!$R$5:$W$9,MATCH(ROUNDUP((O$1)/10,0)*10,[1]Hugst!$R$4:$W$4,0))))</f>
        <v>0</v>
      </c>
      <c r="P126">
        <f>IF($C126-P$1&lt;År1,0,O125*(1-VLOOKUP($A126,[1]Hugst!$R$5:$W$9,MATCH(ROUNDUP((P$1)/10,0)*10,[1]Hugst!$R$4:$W$4,0))))</f>
        <v>0</v>
      </c>
      <c r="Q126">
        <f>IF($C126-Q$1&lt;År1,0,P125*(1-VLOOKUP($A126,[1]Hugst!$R$5:$W$9,MATCH(ROUNDUP((Q$1)/10,0)*10,[1]Hugst!$R$4:$W$4,0))))</f>
        <v>0</v>
      </c>
      <c r="R126">
        <f>IF($C126-R$1&lt;År1,0,Q125*(1-VLOOKUP($A126,[1]Hugst!$R$5:$W$9,MATCH(ROUNDUP((R$1)/10,0)*10,[1]Hugst!$R$4:$W$4,0))))</f>
        <v>0</v>
      </c>
      <c r="S126">
        <f>IF($C126-S$1&lt;År1,0,R125*(1-VLOOKUP($A126,[1]Hugst!$R$5:$W$9,MATCH(ROUNDUP((S$1)/10,0)*10,[1]Hugst!$R$4:$W$4,0))))</f>
        <v>0</v>
      </c>
      <c r="T126">
        <f>IF($C126-T$1&lt;År1,0,S125*(1-VLOOKUP($A126,[1]Hugst!$R$5:$W$9,MATCH(ROUNDUP((T$1)/10,0)*10,[1]Hugst!$R$4:$W$4,0))))</f>
        <v>0</v>
      </c>
      <c r="U126">
        <f>IF($C126-U$1&lt;År1,0,T125*(1-VLOOKUP($A126,[1]Hugst!$R$5:$W$9,MATCH(ROUNDUP((U$1)/10,0)*10,[1]Hugst!$R$4:$W$4,0))))</f>
        <v>0</v>
      </c>
      <c r="V126">
        <f>IF($C126-V$1&lt;År1,0,U125*(1-VLOOKUP($A126,[1]Hugst!$R$5:$W$9,MATCH(ROUNDUP((V$1)/10,0)*10,[1]Hugst!$R$4:$W$4,0))))</f>
        <v>0</v>
      </c>
      <c r="W126">
        <f>IF($C126-W$1&lt;År1,0,V125*(1-VLOOKUP($A126,[1]Hugst!$R$5:$W$9,MATCH(ROUNDUP((W$1)/10,0)*10,[1]Hugst!$R$4:$W$4,0))))</f>
        <v>0</v>
      </c>
      <c r="X126">
        <f>IF($C126-X$1&lt;År1,0,W125*(1-VLOOKUP($A126,[1]Hugst!$R$5:$W$9,MATCH(ROUNDUP((X$1)/10,0)*10,[1]Hugst!$R$4:$W$4,0))))</f>
        <v>0</v>
      </c>
      <c r="Y126">
        <f>IF($C126-Y$1&lt;År1,0,X125*(1-VLOOKUP($A126,[1]Hugst!$R$5:$W$9,MATCH(ROUNDUP((Y$1)/10,0)*10,[1]Hugst!$R$4:$W$4,0))))</f>
        <v>0</v>
      </c>
      <c r="Z126">
        <f>IF($C126-Z$1&lt;År1,0,Y125*(1-VLOOKUP($A126,[1]Hugst!$R$5:$W$9,MATCH(ROUNDUP((Z$1)/10,0)*10,[1]Hugst!$R$4:$W$4,0))))</f>
        <v>0</v>
      </c>
      <c r="AA126">
        <f>IF($C126-AA$1&lt;År1,0,Z125*(1-VLOOKUP($A126,[1]Hugst!$R$5:$W$9,MATCH(ROUNDUP((AA$1)/10,0)*10,[1]Hugst!$R$4:$W$4,0))))</f>
        <v>0</v>
      </c>
      <c r="AB126">
        <f>IF($C126-AB$1&lt;År1,0,AA125*(1-VLOOKUP($A126,[1]Hugst!$R$5:$W$9,MATCH(ROUNDUP((AB$1)/10,0)*10,[1]Hugst!$R$4:$W$4,0))))</f>
        <v>0</v>
      </c>
      <c r="AC126">
        <f>IF($C126-AC$1&lt;År1,0,AB125*(1-VLOOKUP($A126,[1]Hugst!$R$5:$W$9,MATCH(ROUNDUP((AC$1)/10,0)*10,[1]Hugst!$R$4:$W$4,0))))</f>
        <v>0</v>
      </c>
      <c r="AD126">
        <f>IF($C126-AD$1&lt;År1,0,AC125*(1-VLOOKUP($A126,[1]Hugst!$R$5:$W$9,MATCH(ROUNDUP((AD$1)/10,0)*10,[1]Hugst!$R$4:$W$4,0))))</f>
        <v>0</v>
      </c>
      <c r="AE126">
        <f>IF($C126-AE$1&lt;År1,0,AD125*(1-VLOOKUP($A126,[1]Hugst!$R$5:$W$9,MATCH(ROUNDUP((AE$1)/10,0)*10,[1]Hugst!$R$4:$W$4,0))))</f>
        <v>0</v>
      </c>
      <c r="AF126">
        <f>IF($C126-AF$1&lt;År1,0,AE125*(1-VLOOKUP($A126,[1]Hugst!$R$5:$W$9,MATCH(ROUNDUP((AF$1)/10,0)*10,[1]Hugst!$R$4:$W$4,0))))</f>
        <v>0</v>
      </c>
      <c r="AG126">
        <f>IF($C126-AG$1&lt;År1,0,AF125*(1-VLOOKUP($A126,[1]Hugst!$R$5:$W$9,MATCH(ROUNDUP((AG$1)/10,0)*10,[1]Hugst!$R$4:$W$4,0))))</f>
        <v>0</v>
      </c>
      <c r="AH126">
        <f>IF($C126-AH$1&lt;År1,0,AG125*(1-VLOOKUP($A126,[1]Hugst!$R$5:$W$9,MATCH(ROUNDUP((AH$1)/10,0)*10,[1]Hugst!$R$4:$W$4,0))))</f>
        <v>0</v>
      </c>
      <c r="AI126">
        <f>IF($C126-AI$1&lt;År1,0,AH125*(1-VLOOKUP($A126,[1]Hugst!$R$5:$W$9,MATCH(ROUNDUP((AI$1)/10,0)*10,[1]Hugst!$R$4:$W$4,0))))</f>
        <v>0</v>
      </c>
      <c r="AJ126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t="s">
        <v>178</v>
      </c>
      <c r="B127" t="s">
        <v>23</v>
      </c>
      <c r="C127">
        <v>2021</v>
      </c>
      <c r="D127" cm="1">
        <f t="array" ref="D127">(IF(B127="Vestdanmark",Skovbrug!$C$22-(Skovbrug!$C$22)*(1-Skovbrug!$C$9)^(C127-Skovbrug!$B$12),Skovbrug!$F$22-(Skovbrug!$F$22)*(1-Skovbrug!$C$9)^(C127-Skovbrug!$B$12)))*VLOOKUP(A127,Skovbrug!$A$13:$D$17,IF('Skovbrug-alder'!C127&lt;=År2,3,4),FALSE)
-IF(C127&gt;2020,SUM(INDEX($C$1:$D$311,MATCH(1,(2020=$C$1:$C$311)*(B127=$B$1:$B$311)*(A127=$A$1:$A$311),0),2):D126),0)</f>
        <v>108.22229975373483</v>
      </c>
      <c r="E127">
        <f t="shared" ca="1" si="3"/>
        <v>0</v>
      </c>
      <c r="F127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601.48829301972796</v>
      </c>
      <c r="G127">
        <f ca="1">IF($C127-G$1&lt;År1,0,F126*(1-VLOOKUP($A127,[1]Hugst!$R$5:$W$9,MATCH(ROUNDUP((G$1)/10,0)*10,[1]Hugst!$R$4:$W$4,0))))</f>
        <v>602.03212367175934</v>
      </c>
      <c r="H127">
        <f>IF($C127-H$1&lt;År1,0,G126*(1-VLOOKUP($A127,[1]Hugst!$R$5:$W$9,MATCH(ROUNDUP((H$1)/10,0)*10,[1]Hugst!$R$4:$W$4,0))))</f>
        <v>0</v>
      </c>
      <c r="I127">
        <f>IF($C127-I$1&lt;År1,0,H126*(1-VLOOKUP($A127,[1]Hugst!$R$5:$W$9,MATCH(ROUNDUP((I$1)/10,0)*10,[1]Hugst!$R$4:$W$4,0))))</f>
        <v>0</v>
      </c>
      <c r="J127">
        <f>IF($C127-J$1&lt;År1,0,I126*(1-VLOOKUP($A127,[1]Hugst!$R$5:$W$9,MATCH(ROUNDUP((J$1)/10,0)*10,[1]Hugst!$R$4:$W$4,0))))</f>
        <v>0</v>
      </c>
      <c r="K127">
        <f>IF($C127-K$1&lt;År1,0,J126*(1-VLOOKUP($A127,[1]Hugst!$R$5:$W$9,MATCH(ROUNDUP((K$1)/10,0)*10,[1]Hugst!$R$4:$W$4,0))))</f>
        <v>0</v>
      </c>
      <c r="L127">
        <f>IF($C127-L$1&lt;År1,0,K126*(1-VLOOKUP($A127,[1]Hugst!$R$5:$W$9,MATCH(ROUNDUP((L$1)/10,0)*10,[1]Hugst!$R$4:$W$4,0))))</f>
        <v>0</v>
      </c>
      <c r="M127">
        <f>IF($C127-M$1&lt;År1,0,L126*(1-VLOOKUP($A127,[1]Hugst!$R$5:$W$9,MATCH(ROUNDUP((M$1)/10,0)*10,[1]Hugst!$R$4:$W$4,0))))</f>
        <v>0</v>
      </c>
      <c r="N127">
        <f>IF($C127-N$1&lt;År1,0,M126*(1-VLOOKUP($A127,[1]Hugst!$R$5:$W$9,MATCH(ROUNDUP((N$1)/10,0)*10,[1]Hugst!$R$4:$W$4,0))))</f>
        <v>0</v>
      </c>
      <c r="O127">
        <f>IF($C127-O$1&lt;År1,0,N126*(1-VLOOKUP($A127,[1]Hugst!$R$5:$W$9,MATCH(ROUNDUP((O$1)/10,0)*10,[1]Hugst!$R$4:$W$4,0))))</f>
        <v>0</v>
      </c>
      <c r="P127">
        <f>IF($C127-P$1&lt;År1,0,O126*(1-VLOOKUP($A127,[1]Hugst!$R$5:$W$9,MATCH(ROUNDUP((P$1)/10,0)*10,[1]Hugst!$R$4:$W$4,0))))</f>
        <v>0</v>
      </c>
      <c r="Q127">
        <f>IF($C127-Q$1&lt;År1,0,P126*(1-VLOOKUP($A127,[1]Hugst!$R$5:$W$9,MATCH(ROUNDUP((Q$1)/10,0)*10,[1]Hugst!$R$4:$W$4,0))))</f>
        <v>0</v>
      </c>
      <c r="R127">
        <f>IF($C127-R$1&lt;År1,0,Q126*(1-VLOOKUP($A127,[1]Hugst!$R$5:$W$9,MATCH(ROUNDUP((R$1)/10,0)*10,[1]Hugst!$R$4:$W$4,0))))</f>
        <v>0</v>
      </c>
      <c r="S127">
        <f>IF($C127-S$1&lt;År1,0,R126*(1-VLOOKUP($A127,[1]Hugst!$R$5:$W$9,MATCH(ROUNDUP((S$1)/10,0)*10,[1]Hugst!$R$4:$W$4,0))))</f>
        <v>0</v>
      </c>
      <c r="T127">
        <f>IF($C127-T$1&lt;År1,0,S126*(1-VLOOKUP($A127,[1]Hugst!$R$5:$W$9,MATCH(ROUNDUP((T$1)/10,0)*10,[1]Hugst!$R$4:$W$4,0))))</f>
        <v>0</v>
      </c>
      <c r="U127">
        <f>IF($C127-U$1&lt;År1,0,T126*(1-VLOOKUP($A127,[1]Hugst!$R$5:$W$9,MATCH(ROUNDUP((U$1)/10,0)*10,[1]Hugst!$R$4:$W$4,0))))</f>
        <v>0</v>
      </c>
      <c r="V127">
        <f>IF($C127-V$1&lt;År1,0,U126*(1-VLOOKUP($A127,[1]Hugst!$R$5:$W$9,MATCH(ROUNDUP((V$1)/10,0)*10,[1]Hugst!$R$4:$W$4,0))))</f>
        <v>0</v>
      </c>
      <c r="W127">
        <f>IF($C127-W$1&lt;År1,0,V126*(1-VLOOKUP($A127,[1]Hugst!$R$5:$W$9,MATCH(ROUNDUP((W$1)/10,0)*10,[1]Hugst!$R$4:$W$4,0))))</f>
        <v>0</v>
      </c>
      <c r="X127">
        <f>IF($C127-X$1&lt;År1,0,W126*(1-VLOOKUP($A127,[1]Hugst!$R$5:$W$9,MATCH(ROUNDUP((X$1)/10,0)*10,[1]Hugst!$R$4:$W$4,0))))</f>
        <v>0</v>
      </c>
      <c r="Y127">
        <f>IF($C127-Y$1&lt;År1,0,X126*(1-VLOOKUP($A127,[1]Hugst!$R$5:$W$9,MATCH(ROUNDUP((Y$1)/10,0)*10,[1]Hugst!$R$4:$W$4,0))))</f>
        <v>0</v>
      </c>
      <c r="Z127">
        <f>IF($C127-Z$1&lt;År1,0,Y126*(1-VLOOKUP($A127,[1]Hugst!$R$5:$W$9,MATCH(ROUNDUP((Z$1)/10,0)*10,[1]Hugst!$R$4:$W$4,0))))</f>
        <v>0</v>
      </c>
      <c r="AA127">
        <f>IF($C127-AA$1&lt;År1,0,Z126*(1-VLOOKUP($A127,[1]Hugst!$R$5:$W$9,MATCH(ROUNDUP((AA$1)/10,0)*10,[1]Hugst!$R$4:$W$4,0))))</f>
        <v>0</v>
      </c>
      <c r="AB127">
        <f>IF($C127-AB$1&lt;År1,0,AA126*(1-VLOOKUP($A127,[1]Hugst!$R$5:$W$9,MATCH(ROUNDUP((AB$1)/10,0)*10,[1]Hugst!$R$4:$W$4,0))))</f>
        <v>0</v>
      </c>
      <c r="AC127">
        <f>IF($C127-AC$1&lt;År1,0,AB126*(1-VLOOKUP($A127,[1]Hugst!$R$5:$W$9,MATCH(ROUNDUP((AC$1)/10,0)*10,[1]Hugst!$R$4:$W$4,0))))</f>
        <v>0</v>
      </c>
      <c r="AD127">
        <f>IF($C127-AD$1&lt;År1,0,AC126*(1-VLOOKUP($A127,[1]Hugst!$R$5:$W$9,MATCH(ROUNDUP((AD$1)/10,0)*10,[1]Hugst!$R$4:$W$4,0))))</f>
        <v>0</v>
      </c>
      <c r="AE127">
        <f>IF($C127-AE$1&lt;År1,0,AD126*(1-VLOOKUP($A127,[1]Hugst!$R$5:$W$9,MATCH(ROUNDUP((AE$1)/10,0)*10,[1]Hugst!$R$4:$W$4,0))))</f>
        <v>0</v>
      </c>
      <c r="AF127">
        <f>IF($C127-AF$1&lt;År1,0,AE126*(1-VLOOKUP($A127,[1]Hugst!$R$5:$W$9,MATCH(ROUNDUP((AF$1)/10,0)*10,[1]Hugst!$R$4:$W$4,0))))</f>
        <v>0</v>
      </c>
      <c r="AG127">
        <f>IF($C127-AG$1&lt;År1,0,AF126*(1-VLOOKUP($A127,[1]Hugst!$R$5:$W$9,MATCH(ROUNDUP((AG$1)/10,0)*10,[1]Hugst!$R$4:$W$4,0))))</f>
        <v>0</v>
      </c>
      <c r="AH127">
        <f>IF($C127-AH$1&lt;År1,0,AG126*(1-VLOOKUP($A127,[1]Hugst!$R$5:$W$9,MATCH(ROUNDUP((AH$1)/10,0)*10,[1]Hugst!$R$4:$W$4,0))))</f>
        <v>0</v>
      </c>
      <c r="AI127">
        <f>IF($C127-AI$1&lt;År1,0,AH126*(1-VLOOKUP($A127,[1]Hugst!$R$5:$W$9,MATCH(ROUNDUP((AI$1)/10,0)*10,[1]Hugst!$R$4:$W$4,0))))</f>
        <v>0</v>
      </c>
      <c r="AJ127">
        <f>IF($C127-AJ$1&lt;År1,0,AI126*(1-VLOOKUP($A127,[1]Hugst!$R$5:$W$9,MATCH(ROUNDUP((AJ$1)/10,0)*10,[1]Hugst!$R$4:$W$4,0))))</f>
        <v>0</v>
      </c>
      <c r="AL127">
        <f ca="1">SUM(AL64:AL126)</f>
        <v>630392.57650432875</v>
      </c>
    </row>
    <row r="128" spans="1:38" x14ac:dyDescent="0.25">
      <c r="A128" t="s">
        <v>178</v>
      </c>
      <c r="B128" t="s">
        <v>23</v>
      </c>
      <c r="C128">
        <v>2022</v>
      </c>
      <c r="D128" cm="1">
        <f t="array" ref="D128">(IF(B128="Vestdanmark",Skovbrug!$C$22-(Skovbrug!$C$22)*(1-Skovbrug!$C$9)^(C128-Skovbrug!$B$12),Skovbrug!$F$22-(Skovbrug!$F$22)*(1-Skovbrug!$C$9)^(C128-Skovbrug!$B$12)))*VLOOKUP(A128,Skovbrug!$A$13:$D$17,IF('Skovbrug-alder'!C128&lt;=År2,3,4),FALSE)
-IF(C128&gt;2020,SUM(INDEX($C$1:$D$311,MATCH(1,(2020=$C$1:$C$311)*(B128=$B$1:$B$311)*(A128=$A$1:$A$311),0),2):D127),0)</f>
        <v>107.68118825496936</v>
      </c>
      <c r="E128">
        <f t="shared" ca="1" si="3"/>
        <v>0</v>
      </c>
      <c r="F12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600.94718152096243</v>
      </c>
      <c r="G128">
        <f ca="1">IF($C128-G$1&lt;År1,0,F127*(1-VLOOKUP($A128,[1]Hugst!$R$5:$W$9,MATCH(ROUNDUP((G$1)/10,0)*10,[1]Hugst!$R$4:$W$4,0))))</f>
        <v>601.48829301972796</v>
      </c>
      <c r="H128">
        <f ca="1">IF($C128-H$1&lt;År1,0,G127*(1-VLOOKUP($A128,[1]Hugst!$R$5:$W$9,MATCH(ROUNDUP((H$1)/10,0)*10,[1]Hugst!$R$4:$W$4,0))))</f>
        <v>602.03212367175934</v>
      </c>
      <c r="I128">
        <f>IF($C128-I$1&lt;År1,0,H127*(1-VLOOKUP($A128,[1]Hugst!$R$5:$W$9,MATCH(ROUNDUP((I$1)/10,0)*10,[1]Hugst!$R$4:$W$4,0))))</f>
        <v>0</v>
      </c>
      <c r="J128">
        <f>IF($C128-J$1&lt;År1,0,I127*(1-VLOOKUP($A128,[1]Hugst!$R$5:$W$9,MATCH(ROUNDUP((J$1)/10,0)*10,[1]Hugst!$R$4:$W$4,0))))</f>
        <v>0</v>
      </c>
      <c r="K128">
        <f>IF($C128-K$1&lt;År1,0,J127*(1-VLOOKUP($A128,[1]Hugst!$R$5:$W$9,MATCH(ROUNDUP((K$1)/10,0)*10,[1]Hugst!$R$4:$W$4,0))))</f>
        <v>0</v>
      </c>
      <c r="L128">
        <f>IF($C128-L$1&lt;År1,0,K127*(1-VLOOKUP($A128,[1]Hugst!$R$5:$W$9,MATCH(ROUNDUP((L$1)/10,0)*10,[1]Hugst!$R$4:$W$4,0))))</f>
        <v>0</v>
      </c>
      <c r="M128">
        <f>IF($C128-M$1&lt;År1,0,L127*(1-VLOOKUP($A128,[1]Hugst!$R$5:$W$9,MATCH(ROUNDUP((M$1)/10,0)*10,[1]Hugst!$R$4:$W$4,0))))</f>
        <v>0</v>
      </c>
      <c r="N128">
        <f>IF($C128-N$1&lt;År1,0,M127*(1-VLOOKUP($A128,[1]Hugst!$R$5:$W$9,MATCH(ROUNDUP((N$1)/10,0)*10,[1]Hugst!$R$4:$W$4,0))))</f>
        <v>0</v>
      </c>
      <c r="O128">
        <f>IF($C128-O$1&lt;År1,0,N127*(1-VLOOKUP($A128,[1]Hugst!$R$5:$W$9,MATCH(ROUNDUP((O$1)/10,0)*10,[1]Hugst!$R$4:$W$4,0))))</f>
        <v>0</v>
      </c>
      <c r="P128">
        <f>IF($C128-P$1&lt;År1,0,O127*(1-VLOOKUP($A128,[1]Hugst!$R$5:$W$9,MATCH(ROUNDUP((P$1)/10,0)*10,[1]Hugst!$R$4:$W$4,0))))</f>
        <v>0</v>
      </c>
      <c r="Q128">
        <f>IF($C128-Q$1&lt;År1,0,P127*(1-VLOOKUP($A128,[1]Hugst!$R$5:$W$9,MATCH(ROUNDUP((Q$1)/10,0)*10,[1]Hugst!$R$4:$W$4,0))))</f>
        <v>0</v>
      </c>
      <c r="R128">
        <f>IF($C128-R$1&lt;År1,0,Q127*(1-VLOOKUP($A128,[1]Hugst!$R$5:$W$9,MATCH(ROUNDUP((R$1)/10,0)*10,[1]Hugst!$R$4:$W$4,0))))</f>
        <v>0</v>
      </c>
      <c r="S128">
        <f>IF($C128-S$1&lt;År1,0,R127*(1-VLOOKUP($A128,[1]Hugst!$R$5:$W$9,MATCH(ROUNDUP((S$1)/10,0)*10,[1]Hugst!$R$4:$W$4,0))))</f>
        <v>0</v>
      </c>
      <c r="T128">
        <f>IF($C128-T$1&lt;År1,0,S127*(1-VLOOKUP($A128,[1]Hugst!$R$5:$W$9,MATCH(ROUNDUP((T$1)/10,0)*10,[1]Hugst!$R$4:$W$4,0))))</f>
        <v>0</v>
      </c>
      <c r="U128">
        <f>IF($C128-U$1&lt;År1,0,T127*(1-VLOOKUP($A128,[1]Hugst!$R$5:$W$9,MATCH(ROUNDUP((U$1)/10,0)*10,[1]Hugst!$R$4:$W$4,0))))</f>
        <v>0</v>
      </c>
      <c r="V128">
        <f>IF($C128-V$1&lt;År1,0,U127*(1-VLOOKUP($A128,[1]Hugst!$R$5:$W$9,MATCH(ROUNDUP((V$1)/10,0)*10,[1]Hugst!$R$4:$W$4,0))))</f>
        <v>0</v>
      </c>
      <c r="W128">
        <f>IF($C128-W$1&lt;År1,0,V127*(1-VLOOKUP($A128,[1]Hugst!$R$5:$W$9,MATCH(ROUNDUP((W$1)/10,0)*10,[1]Hugst!$R$4:$W$4,0))))</f>
        <v>0</v>
      </c>
      <c r="X128">
        <f>IF($C128-X$1&lt;År1,0,W127*(1-VLOOKUP($A128,[1]Hugst!$R$5:$W$9,MATCH(ROUNDUP((X$1)/10,0)*10,[1]Hugst!$R$4:$W$4,0))))</f>
        <v>0</v>
      </c>
      <c r="Y128">
        <f>IF($C128-Y$1&lt;År1,0,X127*(1-VLOOKUP($A128,[1]Hugst!$R$5:$W$9,MATCH(ROUNDUP((Y$1)/10,0)*10,[1]Hugst!$R$4:$W$4,0))))</f>
        <v>0</v>
      </c>
      <c r="Z128">
        <f>IF($C128-Z$1&lt;År1,0,Y127*(1-VLOOKUP($A128,[1]Hugst!$R$5:$W$9,MATCH(ROUNDUP((Z$1)/10,0)*10,[1]Hugst!$R$4:$W$4,0))))</f>
        <v>0</v>
      </c>
      <c r="AA128">
        <f>IF($C128-AA$1&lt;År1,0,Z127*(1-VLOOKUP($A128,[1]Hugst!$R$5:$W$9,MATCH(ROUNDUP((AA$1)/10,0)*10,[1]Hugst!$R$4:$W$4,0))))</f>
        <v>0</v>
      </c>
      <c r="AB128">
        <f>IF($C128-AB$1&lt;År1,0,AA127*(1-VLOOKUP($A128,[1]Hugst!$R$5:$W$9,MATCH(ROUNDUP((AB$1)/10,0)*10,[1]Hugst!$R$4:$W$4,0))))</f>
        <v>0</v>
      </c>
      <c r="AC128">
        <f>IF($C128-AC$1&lt;År1,0,AB127*(1-VLOOKUP($A128,[1]Hugst!$R$5:$W$9,MATCH(ROUNDUP((AC$1)/10,0)*10,[1]Hugst!$R$4:$W$4,0))))</f>
        <v>0</v>
      </c>
      <c r="AD128">
        <f>IF($C128-AD$1&lt;År1,0,AC127*(1-VLOOKUP($A128,[1]Hugst!$R$5:$W$9,MATCH(ROUNDUP((AD$1)/10,0)*10,[1]Hugst!$R$4:$W$4,0))))</f>
        <v>0</v>
      </c>
      <c r="AE128">
        <f>IF($C128-AE$1&lt;År1,0,AD127*(1-VLOOKUP($A128,[1]Hugst!$R$5:$W$9,MATCH(ROUNDUP((AE$1)/10,0)*10,[1]Hugst!$R$4:$W$4,0))))</f>
        <v>0</v>
      </c>
      <c r="AF128">
        <f>IF($C128-AF$1&lt;År1,0,AE127*(1-VLOOKUP($A128,[1]Hugst!$R$5:$W$9,MATCH(ROUNDUP((AF$1)/10,0)*10,[1]Hugst!$R$4:$W$4,0))))</f>
        <v>0</v>
      </c>
      <c r="AG128">
        <f>IF($C128-AG$1&lt;År1,0,AF127*(1-VLOOKUP($A128,[1]Hugst!$R$5:$W$9,MATCH(ROUNDUP((AG$1)/10,0)*10,[1]Hugst!$R$4:$W$4,0))))</f>
        <v>0</v>
      </c>
      <c r="AH128">
        <f>IF($C128-AH$1&lt;År1,0,AG127*(1-VLOOKUP($A128,[1]Hugst!$R$5:$W$9,MATCH(ROUNDUP((AH$1)/10,0)*10,[1]Hugst!$R$4:$W$4,0))))</f>
        <v>0</v>
      </c>
      <c r="AI128">
        <f>IF($C128-AI$1&lt;År1,0,AH127*(1-VLOOKUP($A128,[1]Hugst!$R$5:$W$9,MATCH(ROUNDUP((AI$1)/10,0)*10,[1]Hugst!$R$4:$W$4,0))))</f>
        <v>0</v>
      </c>
      <c r="AJ128">
        <f>IF($C128-AJ$1&lt;År1,0,AI127*(1-VLOOKUP($A128,[1]Hugst!$R$5:$W$9,MATCH(ROUNDUP((AJ$1)/10,0)*10,[1]Hugst!$R$4:$W$4,0))))</f>
        <v>0</v>
      </c>
    </row>
    <row r="129" spans="1:36" x14ac:dyDescent="0.25">
      <c r="A129" t="s">
        <v>178</v>
      </c>
      <c r="B129" t="s">
        <v>23</v>
      </c>
      <c r="C129">
        <v>2023</v>
      </c>
      <c r="D129" cm="1">
        <f t="array" ref="D129">(IF(B129="Vestdanmark",Skovbrug!$C$22-(Skovbrug!$C$22)*(1-Skovbrug!$C$9)^(C129-Skovbrug!$B$12),Skovbrug!$F$22-(Skovbrug!$F$22)*(1-Skovbrug!$C$9)^(C129-Skovbrug!$B$12)))*VLOOKUP(A129,Skovbrug!$A$13:$D$17,IF('Skovbrug-alder'!C129&lt;=År2,3,4),FALSE)
-IF(C129&gt;2020,SUM(INDEX($C$1:$D$311,MATCH(1,(2020=$C$1:$C$311)*(B129=$B$1:$B$311)*(A129=$A$1:$A$311),0),2):D128),0)</f>
        <v>107.14278231369389</v>
      </c>
      <c r="E129">
        <f t="shared" ca="1" si="3"/>
        <v>0</v>
      </c>
      <c r="F129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600.40877557968702</v>
      </c>
      <c r="G129">
        <f ca="1">IF($C129-G$1&lt;År1,0,F128*(1-VLOOKUP($A129,[1]Hugst!$R$5:$W$9,MATCH(ROUNDUP((G$1)/10,0)*10,[1]Hugst!$R$4:$W$4,0))))</f>
        <v>600.94718152096243</v>
      </c>
      <c r="H129">
        <f ca="1">IF($C129-H$1&lt;År1,0,G128*(1-VLOOKUP($A129,[1]Hugst!$R$5:$W$9,MATCH(ROUNDUP((H$1)/10,0)*10,[1]Hugst!$R$4:$W$4,0))))</f>
        <v>601.48829301972796</v>
      </c>
      <c r="I129">
        <f ca="1">IF($C129-I$1&lt;År1,0,H128*(1-VLOOKUP($A129,[1]Hugst!$R$5:$W$9,MATCH(ROUNDUP((I$1)/10,0)*10,[1]Hugst!$R$4:$W$4,0))))</f>
        <v>602.03212367175934</v>
      </c>
      <c r="J129">
        <f>IF($C129-J$1&lt;År1,0,I128*(1-VLOOKUP($A129,[1]Hugst!$R$5:$W$9,MATCH(ROUNDUP((J$1)/10,0)*10,[1]Hugst!$R$4:$W$4,0))))</f>
        <v>0</v>
      </c>
      <c r="K129">
        <f>IF($C129-K$1&lt;År1,0,J128*(1-VLOOKUP($A129,[1]Hugst!$R$5:$W$9,MATCH(ROUNDUP((K$1)/10,0)*10,[1]Hugst!$R$4:$W$4,0))))</f>
        <v>0</v>
      </c>
      <c r="L129">
        <f>IF($C129-L$1&lt;År1,0,K128*(1-VLOOKUP($A129,[1]Hugst!$R$5:$W$9,MATCH(ROUNDUP((L$1)/10,0)*10,[1]Hugst!$R$4:$W$4,0))))</f>
        <v>0</v>
      </c>
      <c r="M129">
        <f>IF($C129-M$1&lt;År1,0,L128*(1-VLOOKUP($A129,[1]Hugst!$R$5:$W$9,MATCH(ROUNDUP((M$1)/10,0)*10,[1]Hugst!$R$4:$W$4,0))))</f>
        <v>0</v>
      </c>
      <c r="N129">
        <f>IF($C129-N$1&lt;År1,0,M128*(1-VLOOKUP($A129,[1]Hugst!$R$5:$W$9,MATCH(ROUNDUP((N$1)/10,0)*10,[1]Hugst!$R$4:$W$4,0))))</f>
        <v>0</v>
      </c>
      <c r="O129">
        <f>IF($C129-O$1&lt;År1,0,N128*(1-VLOOKUP($A129,[1]Hugst!$R$5:$W$9,MATCH(ROUNDUP((O$1)/10,0)*10,[1]Hugst!$R$4:$W$4,0))))</f>
        <v>0</v>
      </c>
      <c r="P129">
        <f>IF($C129-P$1&lt;År1,0,O128*(1-VLOOKUP($A129,[1]Hugst!$R$5:$W$9,MATCH(ROUNDUP((P$1)/10,0)*10,[1]Hugst!$R$4:$W$4,0))))</f>
        <v>0</v>
      </c>
      <c r="Q129">
        <f>IF($C129-Q$1&lt;År1,0,P128*(1-VLOOKUP($A129,[1]Hugst!$R$5:$W$9,MATCH(ROUNDUP((Q$1)/10,0)*10,[1]Hugst!$R$4:$W$4,0))))</f>
        <v>0</v>
      </c>
      <c r="R129">
        <f>IF($C129-R$1&lt;År1,0,Q128*(1-VLOOKUP($A129,[1]Hugst!$R$5:$W$9,MATCH(ROUNDUP((R$1)/10,0)*10,[1]Hugst!$R$4:$W$4,0))))</f>
        <v>0</v>
      </c>
      <c r="S129">
        <f>IF($C129-S$1&lt;År1,0,R128*(1-VLOOKUP($A129,[1]Hugst!$R$5:$W$9,MATCH(ROUNDUP((S$1)/10,0)*10,[1]Hugst!$R$4:$W$4,0))))</f>
        <v>0</v>
      </c>
      <c r="T129">
        <f>IF($C129-T$1&lt;År1,0,S128*(1-VLOOKUP($A129,[1]Hugst!$R$5:$W$9,MATCH(ROUNDUP((T$1)/10,0)*10,[1]Hugst!$R$4:$W$4,0))))</f>
        <v>0</v>
      </c>
      <c r="U129">
        <f>IF($C129-U$1&lt;År1,0,T128*(1-VLOOKUP($A129,[1]Hugst!$R$5:$W$9,MATCH(ROUNDUP((U$1)/10,0)*10,[1]Hugst!$R$4:$W$4,0))))</f>
        <v>0</v>
      </c>
      <c r="V129">
        <f>IF($C129-V$1&lt;År1,0,U128*(1-VLOOKUP($A129,[1]Hugst!$R$5:$W$9,MATCH(ROUNDUP((V$1)/10,0)*10,[1]Hugst!$R$4:$W$4,0))))</f>
        <v>0</v>
      </c>
      <c r="W129">
        <f>IF($C129-W$1&lt;År1,0,V128*(1-VLOOKUP($A129,[1]Hugst!$R$5:$W$9,MATCH(ROUNDUP((W$1)/10,0)*10,[1]Hugst!$R$4:$W$4,0))))</f>
        <v>0</v>
      </c>
      <c r="X129">
        <f>IF($C129-X$1&lt;År1,0,W128*(1-VLOOKUP($A129,[1]Hugst!$R$5:$W$9,MATCH(ROUNDUP((X$1)/10,0)*10,[1]Hugst!$R$4:$W$4,0))))</f>
        <v>0</v>
      </c>
      <c r="Y129">
        <f>IF($C129-Y$1&lt;År1,0,X128*(1-VLOOKUP($A129,[1]Hugst!$R$5:$W$9,MATCH(ROUNDUP((Y$1)/10,0)*10,[1]Hugst!$R$4:$W$4,0))))</f>
        <v>0</v>
      </c>
      <c r="Z129">
        <f>IF($C129-Z$1&lt;År1,0,Y128*(1-VLOOKUP($A129,[1]Hugst!$R$5:$W$9,MATCH(ROUNDUP((Z$1)/10,0)*10,[1]Hugst!$R$4:$W$4,0))))</f>
        <v>0</v>
      </c>
      <c r="AA129">
        <f>IF($C129-AA$1&lt;År1,0,Z128*(1-VLOOKUP($A129,[1]Hugst!$R$5:$W$9,MATCH(ROUNDUP((AA$1)/10,0)*10,[1]Hugst!$R$4:$W$4,0))))</f>
        <v>0</v>
      </c>
      <c r="AB129">
        <f>IF($C129-AB$1&lt;År1,0,AA128*(1-VLOOKUP($A129,[1]Hugst!$R$5:$W$9,MATCH(ROUNDUP((AB$1)/10,0)*10,[1]Hugst!$R$4:$W$4,0))))</f>
        <v>0</v>
      </c>
      <c r="AC129">
        <f>IF($C129-AC$1&lt;År1,0,AB128*(1-VLOOKUP($A129,[1]Hugst!$R$5:$W$9,MATCH(ROUNDUP((AC$1)/10,0)*10,[1]Hugst!$R$4:$W$4,0))))</f>
        <v>0</v>
      </c>
      <c r="AD129">
        <f>IF($C129-AD$1&lt;År1,0,AC128*(1-VLOOKUP($A129,[1]Hugst!$R$5:$W$9,MATCH(ROUNDUP((AD$1)/10,0)*10,[1]Hugst!$R$4:$W$4,0))))</f>
        <v>0</v>
      </c>
      <c r="AE129">
        <f>IF($C129-AE$1&lt;År1,0,AD128*(1-VLOOKUP($A129,[1]Hugst!$R$5:$W$9,MATCH(ROUNDUP((AE$1)/10,0)*10,[1]Hugst!$R$4:$W$4,0))))</f>
        <v>0</v>
      </c>
      <c r="AF129">
        <f>IF($C129-AF$1&lt;År1,0,AE128*(1-VLOOKUP($A129,[1]Hugst!$R$5:$W$9,MATCH(ROUNDUP((AF$1)/10,0)*10,[1]Hugst!$R$4:$W$4,0))))</f>
        <v>0</v>
      </c>
      <c r="AG129">
        <f>IF($C129-AG$1&lt;År1,0,AF128*(1-VLOOKUP($A129,[1]Hugst!$R$5:$W$9,MATCH(ROUNDUP((AG$1)/10,0)*10,[1]Hugst!$R$4:$W$4,0))))</f>
        <v>0</v>
      </c>
      <c r="AH129">
        <f>IF($C129-AH$1&lt;År1,0,AG128*(1-VLOOKUP($A129,[1]Hugst!$R$5:$W$9,MATCH(ROUNDUP((AH$1)/10,0)*10,[1]Hugst!$R$4:$W$4,0))))</f>
        <v>0</v>
      </c>
      <c r="AI129">
        <f>IF($C129-AI$1&lt;År1,0,AH128*(1-VLOOKUP($A129,[1]Hugst!$R$5:$W$9,MATCH(ROUNDUP((AI$1)/10,0)*10,[1]Hugst!$R$4:$W$4,0))))</f>
        <v>0</v>
      </c>
      <c r="AJ129">
        <f>IF($C129-AJ$1&lt;År1,0,AI128*(1-VLOOKUP($A129,[1]Hugst!$R$5:$W$9,MATCH(ROUNDUP((AJ$1)/10,0)*10,[1]Hugst!$R$4:$W$4,0))))</f>
        <v>0</v>
      </c>
    </row>
    <row r="130" spans="1:36" x14ac:dyDescent="0.25">
      <c r="A130" t="s">
        <v>178</v>
      </c>
      <c r="B130" t="s">
        <v>23</v>
      </c>
      <c r="C130">
        <v>2024</v>
      </c>
      <c r="D130" cm="1">
        <f t="array" ref="D130">(IF(B130="Vestdanmark",Skovbrug!$C$22-(Skovbrug!$C$22)*(1-Skovbrug!$C$9)^(C130-Skovbrug!$B$12),Skovbrug!$F$22-(Skovbrug!$F$22)*(1-Skovbrug!$C$9)^(C130-Skovbrug!$B$12)))*VLOOKUP(A130,Skovbrug!$A$13:$D$17,IF('Skovbrug-alder'!C130&lt;=År2,3,4),FALSE)
-IF(C130&gt;2020,SUM(INDEX($C$1:$D$311,MATCH(1,(2020=$C$1:$C$311)*(B130=$B$1:$B$311)*(A130=$A$1:$A$311),0),2):D129),0)</f>
        <v>106.60706840212509</v>
      </c>
      <c r="E130">
        <f t="shared" ca="1" si="3"/>
        <v>0</v>
      </c>
      <c r="F130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599.87306166811823</v>
      </c>
      <c r="G130">
        <f ca="1">IF($C130-G$1&lt;År1,0,F129*(1-VLOOKUP($A130,[1]Hugst!$R$5:$W$9,MATCH(ROUNDUP((G$1)/10,0)*10,[1]Hugst!$R$4:$W$4,0))))</f>
        <v>600.40877557968702</v>
      </c>
      <c r="H130">
        <f ca="1">IF($C130-H$1&lt;År1,0,G129*(1-VLOOKUP($A130,[1]Hugst!$R$5:$W$9,MATCH(ROUNDUP((H$1)/10,0)*10,[1]Hugst!$R$4:$W$4,0))))</f>
        <v>600.94718152096243</v>
      </c>
      <c r="I130">
        <f ca="1">IF($C130-I$1&lt;År1,0,H129*(1-VLOOKUP($A130,[1]Hugst!$R$5:$W$9,MATCH(ROUNDUP((I$1)/10,0)*10,[1]Hugst!$R$4:$W$4,0))))</f>
        <v>601.48829301972796</v>
      </c>
      <c r="J130">
        <f ca="1">IF($C130-J$1&lt;År1,0,I129*(1-VLOOKUP($A130,[1]Hugst!$R$5:$W$9,MATCH(ROUNDUP((J$1)/10,0)*10,[1]Hugst!$R$4:$W$4,0))))</f>
        <v>602.03212367175934</v>
      </c>
      <c r="K130">
        <f>IF($C130-K$1&lt;År1,0,J129*(1-VLOOKUP($A130,[1]Hugst!$R$5:$W$9,MATCH(ROUNDUP((K$1)/10,0)*10,[1]Hugst!$R$4:$W$4,0))))</f>
        <v>0</v>
      </c>
      <c r="L130">
        <f>IF($C130-L$1&lt;År1,0,K129*(1-VLOOKUP($A130,[1]Hugst!$R$5:$W$9,MATCH(ROUNDUP((L$1)/10,0)*10,[1]Hugst!$R$4:$W$4,0))))</f>
        <v>0</v>
      </c>
      <c r="M130">
        <f>IF($C130-M$1&lt;År1,0,L129*(1-VLOOKUP($A130,[1]Hugst!$R$5:$W$9,MATCH(ROUNDUP((M$1)/10,0)*10,[1]Hugst!$R$4:$W$4,0))))</f>
        <v>0</v>
      </c>
      <c r="N130">
        <f>IF($C130-N$1&lt;År1,0,M129*(1-VLOOKUP($A130,[1]Hugst!$R$5:$W$9,MATCH(ROUNDUP((N$1)/10,0)*10,[1]Hugst!$R$4:$W$4,0))))</f>
        <v>0</v>
      </c>
      <c r="O130">
        <f>IF($C130-O$1&lt;År1,0,N129*(1-VLOOKUP($A130,[1]Hugst!$R$5:$W$9,MATCH(ROUNDUP((O$1)/10,0)*10,[1]Hugst!$R$4:$W$4,0))))</f>
        <v>0</v>
      </c>
      <c r="P130">
        <f>IF($C130-P$1&lt;År1,0,O129*(1-VLOOKUP($A130,[1]Hugst!$R$5:$W$9,MATCH(ROUNDUP((P$1)/10,0)*10,[1]Hugst!$R$4:$W$4,0))))</f>
        <v>0</v>
      </c>
      <c r="Q130">
        <f>IF($C130-Q$1&lt;År1,0,P129*(1-VLOOKUP($A130,[1]Hugst!$R$5:$W$9,MATCH(ROUNDUP((Q$1)/10,0)*10,[1]Hugst!$R$4:$W$4,0))))</f>
        <v>0</v>
      </c>
      <c r="R130">
        <f>IF($C130-R$1&lt;År1,0,Q129*(1-VLOOKUP($A130,[1]Hugst!$R$5:$W$9,MATCH(ROUNDUP((R$1)/10,0)*10,[1]Hugst!$R$4:$W$4,0))))</f>
        <v>0</v>
      </c>
      <c r="S130">
        <f>IF($C130-S$1&lt;År1,0,R129*(1-VLOOKUP($A130,[1]Hugst!$R$5:$W$9,MATCH(ROUNDUP((S$1)/10,0)*10,[1]Hugst!$R$4:$W$4,0))))</f>
        <v>0</v>
      </c>
      <c r="T130">
        <f>IF($C130-T$1&lt;År1,0,S129*(1-VLOOKUP($A130,[1]Hugst!$R$5:$W$9,MATCH(ROUNDUP((T$1)/10,0)*10,[1]Hugst!$R$4:$W$4,0))))</f>
        <v>0</v>
      </c>
      <c r="U130">
        <f>IF($C130-U$1&lt;År1,0,T129*(1-VLOOKUP($A130,[1]Hugst!$R$5:$W$9,MATCH(ROUNDUP((U$1)/10,0)*10,[1]Hugst!$R$4:$W$4,0))))</f>
        <v>0</v>
      </c>
      <c r="V130">
        <f>IF($C130-V$1&lt;År1,0,U129*(1-VLOOKUP($A130,[1]Hugst!$R$5:$W$9,MATCH(ROUNDUP((V$1)/10,0)*10,[1]Hugst!$R$4:$W$4,0))))</f>
        <v>0</v>
      </c>
      <c r="W130">
        <f>IF($C130-W$1&lt;År1,0,V129*(1-VLOOKUP($A130,[1]Hugst!$R$5:$W$9,MATCH(ROUNDUP((W$1)/10,0)*10,[1]Hugst!$R$4:$W$4,0))))</f>
        <v>0</v>
      </c>
      <c r="X130">
        <f>IF($C130-X$1&lt;År1,0,W129*(1-VLOOKUP($A130,[1]Hugst!$R$5:$W$9,MATCH(ROUNDUP((X$1)/10,0)*10,[1]Hugst!$R$4:$W$4,0))))</f>
        <v>0</v>
      </c>
      <c r="Y130">
        <f>IF($C130-Y$1&lt;År1,0,X129*(1-VLOOKUP($A130,[1]Hugst!$R$5:$W$9,MATCH(ROUNDUP((Y$1)/10,0)*10,[1]Hugst!$R$4:$W$4,0))))</f>
        <v>0</v>
      </c>
      <c r="Z130">
        <f>IF($C130-Z$1&lt;År1,0,Y129*(1-VLOOKUP($A130,[1]Hugst!$R$5:$W$9,MATCH(ROUNDUP((Z$1)/10,0)*10,[1]Hugst!$R$4:$W$4,0))))</f>
        <v>0</v>
      </c>
      <c r="AA130">
        <f>IF($C130-AA$1&lt;År1,0,Z129*(1-VLOOKUP($A130,[1]Hugst!$R$5:$W$9,MATCH(ROUNDUP((AA$1)/10,0)*10,[1]Hugst!$R$4:$W$4,0))))</f>
        <v>0</v>
      </c>
      <c r="AB130">
        <f>IF($C130-AB$1&lt;År1,0,AA129*(1-VLOOKUP($A130,[1]Hugst!$R$5:$W$9,MATCH(ROUNDUP((AB$1)/10,0)*10,[1]Hugst!$R$4:$W$4,0))))</f>
        <v>0</v>
      </c>
      <c r="AC130">
        <f>IF($C130-AC$1&lt;År1,0,AB129*(1-VLOOKUP($A130,[1]Hugst!$R$5:$W$9,MATCH(ROUNDUP((AC$1)/10,0)*10,[1]Hugst!$R$4:$W$4,0))))</f>
        <v>0</v>
      </c>
      <c r="AD130">
        <f>IF($C130-AD$1&lt;År1,0,AC129*(1-VLOOKUP($A130,[1]Hugst!$R$5:$W$9,MATCH(ROUNDUP((AD$1)/10,0)*10,[1]Hugst!$R$4:$W$4,0))))</f>
        <v>0</v>
      </c>
      <c r="AE130">
        <f>IF($C130-AE$1&lt;År1,0,AD129*(1-VLOOKUP($A130,[1]Hugst!$R$5:$W$9,MATCH(ROUNDUP((AE$1)/10,0)*10,[1]Hugst!$R$4:$W$4,0))))</f>
        <v>0</v>
      </c>
      <c r="AF130">
        <f>IF($C130-AF$1&lt;År1,0,AE129*(1-VLOOKUP($A130,[1]Hugst!$R$5:$W$9,MATCH(ROUNDUP((AF$1)/10,0)*10,[1]Hugst!$R$4:$W$4,0))))</f>
        <v>0</v>
      </c>
      <c r="AG130">
        <f>IF($C130-AG$1&lt;År1,0,AF129*(1-VLOOKUP($A130,[1]Hugst!$R$5:$W$9,MATCH(ROUNDUP((AG$1)/10,0)*10,[1]Hugst!$R$4:$W$4,0))))</f>
        <v>0</v>
      </c>
      <c r="AH130">
        <f>IF($C130-AH$1&lt;År1,0,AG129*(1-VLOOKUP($A130,[1]Hugst!$R$5:$W$9,MATCH(ROUNDUP((AH$1)/10,0)*10,[1]Hugst!$R$4:$W$4,0))))</f>
        <v>0</v>
      </c>
      <c r="AI130">
        <f>IF($C130-AI$1&lt;År1,0,AH129*(1-VLOOKUP($A130,[1]Hugst!$R$5:$W$9,MATCH(ROUNDUP((AI$1)/10,0)*10,[1]Hugst!$R$4:$W$4,0))))</f>
        <v>0</v>
      </c>
      <c r="AJ130">
        <f>IF($C130-AJ$1&lt;År1,0,AI129*(1-VLOOKUP($A130,[1]Hugst!$R$5:$W$9,MATCH(ROUNDUP((AJ$1)/10,0)*10,[1]Hugst!$R$4:$W$4,0))))</f>
        <v>0</v>
      </c>
    </row>
    <row r="131" spans="1:36" x14ac:dyDescent="0.25">
      <c r="A131" t="s">
        <v>178</v>
      </c>
      <c r="B131" t="s">
        <v>23</v>
      </c>
      <c r="C131">
        <v>2025</v>
      </c>
      <c r="D131" cm="1">
        <f t="array" ref="D131">(IF(B131="Vestdanmark",Skovbrug!$C$22-(Skovbrug!$C$22)*(1-Skovbrug!$C$9)^(C131-Skovbrug!$B$12),Skovbrug!$F$22-(Skovbrug!$F$22)*(1-Skovbrug!$C$9)^(C131-Skovbrug!$B$12)))*VLOOKUP(A131,Skovbrug!$A$13:$D$17,IF('Skovbrug-alder'!C131&lt;=År2,3,4),FALSE)
-IF(C131&gt;2020,SUM(INDEX($C$1:$D$311,MATCH(1,(2020=$C$1:$C$311)*(B131=$B$1:$B$311)*(A131=$A$1:$A$311),0),2):D130),0)</f>
        <v>106.07403306011406</v>
      </c>
      <c r="E131">
        <f t="shared" ca="1" si="3"/>
        <v>0</v>
      </c>
      <c r="F131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599.34002632610714</v>
      </c>
      <c r="G131">
        <f ca="1">IF($C131-G$1&lt;År1,0,F130*(1-VLOOKUP($A131,[1]Hugst!$R$5:$W$9,MATCH(ROUNDUP((G$1)/10,0)*10,[1]Hugst!$R$4:$W$4,0))))</f>
        <v>599.87306166811823</v>
      </c>
      <c r="H131">
        <f ca="1">IF($C131-H$1&lt;År1,0,G130*(1-VLOOKUP($A131,[1]Hugst!$R$5:$W$9,MATCH(ROUNDUP((H$1)/10,0)*10,[1]Hugst!$R$4:$W$4,0))))</f>
        <v>600.40877557968702</v>
      </c>
      <c r="I131">
        <f ca="1">IF($C131-I$1&lt;År1,0,H130*(1-VLOOKUP($A131,[1]Hugst!$R$5:$W$9,MATCH(ROUNDUP((I$1)/10,0)*10,[1]Hugst!$R$4:$W$4,0))))</f>
        <v>600.94718152096243</v>
      </c>
      <c r="J131">
        <f ca="1">IF($C131-J$1&lt;År1,0,I130*(1-VLOOKUP($A131,[1]Hugst!$R$5:$W$9,MATCH(ROUNDUP((J$1)/10,0)*10,[1]Hugst!$R$4:$W$4,0))))</f>
        <v>601.48829301972796</v>
      </c>
      <c r="K131">
        <f ca="1">IF($C131-K$1&lt;År1,0,J130*(1-VLOOKUP($A131,[1]Hugst!$R$5:$W$9,MATCH(ROUNDUP((K$1)/10,0)*10,[1]Hugst!$R$4:$W$4,0))))</f>
        <v>602.03212367175934</v>
      </c>
      <c r="L131">
        <f>IF($C131-L$1&lt;År1,0,K130*(1-VLOOKUP($A131,[1]Hugst!$R$5:$W$9,MATCH(ROUNDUP((L$1)/10,0)*10,[1]Hugst!$R$4:$W$4,0))))</f>
        <v>0</v>
      </c>
      <c r="M131">
        <f>IF($C131-M$1&lt;År1,0,L130*(1-VLOOKUP($A131,[1]Hugst!$R$5:$W$9,MATCH(ROUNDUP((M$1)/10,0)*10,[1]Hugst!$R$4:$W$4,0))))</f>
        <v>0</v>
      </c>
      <c r="N131">
        <f>IF($C131-N$1&lt;År1,0,M130*(1-VLOOKUP($A131,[1]Hugst!$R$5:$W$9,MATCH(ROUNDUP((N$1)/10,0)*10,[1]Hugst!$R$4:$W$4,0))))</f>
        <v>0</v>
      </c>
      <c r="O131">
        <f>IF($C131-O$1&lt;År1,0,N130*(1-VLOOKUP($A131,[1]Hugst!$R$5:$W$9,MATCH(ROUNDUP((O$1)/10,0)*10,[1]Hugst!$R$4:$W$4,0))))</f>
        <v>0</v>
      </c>
      <c r="P131">
        <f>IF($C131-P$1&lt;År1,0,O130*(1-VLOOKUP($A131,[1]Hugst!$R$5:$W$9,MATCH(ROUNDUP((P$1)/10,0)*10,[1]Hugst!$R$4:$W$4,0))))</f>
        <v>0</v>
      </c>
      <c r="Q131">
        <f>IF($C131-Q$1&lt;År1,0,P130*(1-VLOOKUP($A131,[1]Hugst!$R$5:$W$9,MATCH(ROUNDUP((Q$1)/10,0)*10,[1]Hugst!$R$4:$W$4,0))))</f>
        <v>0</v>
      </c>
      <c r="R131">
        <f>IF($C131-R$1&lt;År1,0,Q130*(1-VLOOKUP($A131,[1]Hugst!$R$5:$W$9,MATCH(ROUNDUP((R$1)/10,0)*10,[1]Hugst!$R$4:$W$4,0))))</f>
        <v>0</v>
      </c>
      <c r="S131">
        <f>IF($C131-S$1&lt;År1,0,R130*(1-VLOOKUP($A131,[1]Hugst!$R$5:$W$9,MATCH(ROUNDUP((S$1)/10,0)*10,[1]Hugst!$R$4:$W$4,0))))</f>
        <v>0</v>
      </c>
      <c r="T131">
        <f>IF($C131-T$1&lt;År1,0,S130*(1-VLOOKUP($A131,[1]Hugst!$R$5:$W$9,MATCH(ROUNDUP((T$1)/10,0)*10,[1]Hugst!$R$4:$W$4,0))))</f>
        <v>0</v>
      </c>
      <c r="U131">
        <f>IF($C131-U$1&lt;År1,0,T130*(1-VLOOKUP($A131,[1]Hugst!$R$5:$W$9,MATCH(ROUNDUP((U$1)/10,0)*10,[1]Hugst!$R$4:$W$4,0))))</f>
        <v>0</v>
      </c>
      <c r="V131">
        <f>IF($C131-V$1&lt;År1,0,U130*(1-VLOOKUP($A131,[1]Hugst!$R$5:$W$9,MATCH(ROUNDUP((V$1)/10,0)*10,[1]Hugst!$R$4:$W$4,0))))</f>
        <v>0</v>
      </c>
      <c r="W131">
        <f>IF($C131-W$1&lt;År1,0,V130*(1-VLOOKUP($A131,[1]Hugst!$R$5:$W$9,MATCH(ROUNDUP((W$1)/10,0)*10,[1]Hugst!$R$4:$W$4,0))))</f>
        <v>0</v>
      </c>
      <c r="X131">
        <f>IF($C131-X$1&lt;År1,0,W130*(1-VLOOKUP($A131,[1]Hugst!$R$5:$W$9,MATCH(ROUNDUP((X$1)/10,0)*10,[1]Hugst!$R$4:$W$4,0))))</f>
        <v>0</v>
      </c>
      <c r="Y131">
        <f>IF($C131-Y$1&lt;År1,0,X130*(1-VLOOKUP($A131,[1]Hugst!$R$5:$W$9,MATCH(ROUNDUP((Y$1)/10,0)*10,[1]Hugst!$R$4:$W$4,0))))</f>
        <v>0</v>
      </c>
      <c r="Z131">
        <f>IF($C131-Z$1&lt;År1,0,Y130*(1-VLOOKUP($A131,[1]Hugst!$R$5:$W$9,MATCH(ROUNDUP((Z$1)/10,0)*10,[1]Hugst!$R$4:$W$4,0))))</f>
        <v>0</v>
      </c>
      <c r="AA131">
        <f>IF($C131-AA$1&lt;År1,0,Z130*(1-VLOOKUP($A131,[1]Hugst!$R$5:$W$9,MATCH(ROUNDUP((AA$1)/10,0)*10,[1]Hugst!$R$4:$W$4,0))))</f>
        <v>0</v>
      </c>
      <c r="AB131">
        <f>IF($C131-AB$1&lt;År1,0,AA130*(1-VLOOKUP($A131,[1]Hugst!$R$5:$W$9,MATCH(ROUNDUP((AB$1)/10,0)*10,[1]Hugst!$R$4:$W$4,0))))</f>
        <v>0</v>
      </c>
      <c r="AC131">
        <f>IF($C131-AC$1&lt;År1,0,AB130*(1-VLOOKUP($A131,[1]Hugst!$R$5:$W$9,MATCH(ROUNDUP((AC$1)/10,0)*10,[1]Hugst!$R$4:$W$4,0))))</f>
        <v>0</v>
      </c>
      <c r="AD131">
        <f>IF($C131-AD$1&lt;År1,0,AC130*(1-VLOOKUP($A131,[1]Hugst!$R$5:$W$9,MATCH(ROUNDUP((AD$1)/10,0)*10,[1]Hugst!$R$4:$W$4,0))))</f>
        <v>0</v>
      </c>
      <c r="AE131">
        <f>IF($C131-AE$1&lt;År1,0,AD130*(1-VLOOKUP($A131,[1]Hugst!$R$5:$W$9,MATCH(ROUNDUP((AE$1)/10,0)*10,[1]Hugst!$R$4:$W$4,0))))</f>
        <v>0</v>
      </c>
      <c r="AF131">
        <f>IF($C131-AF$1&lt;År1,0,AE130*(1-VLOOKUP($A131,[1]Hugst!$R$5:$W$9,MATCH(ROUNDUP((AF$1)/10,0)*10,[1]Hugst!$R$4:$W$4,0))))</f>
        <v>0</v>
      </c>
      <c r="AG131">
        <f>IF($C131-AG$1&lt;År1,0,AF130*(1-VLOOKUP($A131,[1]Hugst!$R$5:$W$9,MATCH(ROUNDUP((AG$1)/10,0)*10,[1]Hugst!$R$4:$W$4,0))))</f>
        <v>0</v>
      </c>
      <c r="AH131">
        <f>IF($C131-AH$1&lt;År1,0,AG130*(1-VLOOKUP($A131,[1]Hugst!$R$5:$W$9,MATCH(ROUNDUP((AH$1)/10,0)*10,[1]Hugst!$R$4:$W$4,0))))</f>
        <v>0</v>
      </c>
      <c r="AI131">
        <f>IF($C131-AI$1&lt;År1,0,AH130*(1-VLOOKUP($A131,[1]Hugst!$R$5:$W$9,MATCH(ROUNDUP((AI$1)/10,0)*10,[1]Hugst!$R$4:$W$4,0))))</f>
        <v>0</v>
      </c>
      <c r="AJ131">
        <f>IF($C131-AJ$1&lt;År1,0,AI130*(1-VLOOKUP($A131,[1]Hugst!$R$5:$W$9,MATCH(ROUNDUP((AJ$1)/10,0)*10,[1]Hugst!$R$4:$W$4,0))))</f>
        <v>0</v>
      </c>
    </row>
    <row r="132" spans="1:36" x14ac:dyDescent="0.25">
      <c r="A132" t="s">
        <v>178</v>
      </c>
      <c r="B132" t="s">
        <v>23</v>
      </c>
      <c r="C132">
        <v>2026</v>
      </c>
      <c r="D132" cm="1">
        <f t="array" ref="D132">(IF(B132="Vestdanmark",Skovbrug!$C$22-(Skovbrug!$C$22)*(1-Skovbrug!$C$9)^(C132-Skovbrug!$B$12),Skovbrug!$F$22-(Skovbrug!$F$22)*(1-Skovbrug!$C$9)^(C132-Skovbrug!$B$12)))*VLOOKUP(A132,Skovbrug!$A$13:$D$17,IF('Skovbrug-alder'!C132&lt;=År2,3,4),FALSE)
-IF(C132&gt;2020,SUM(INDEX($C$1:$D$311,MATCH(1,(2020=$C$1:$C$311)*(B132=$B$1:$B$311)*(A132=$A$1:$A$311),0),2):D131),0)</f>
        <v>105.54366289481402</v>
      </c>
      <c r="E132">
        <f t="shared" ca="1" si="3"/>
        <v>0</v>
      </c>
      <c r="F132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598.80965616080709</v>
      </c>
      <c r="G132">
        <f ca="1">IF($C132-G$1&lt;År1,0,F131*(1-VLOOKUP($A132,[1]Hugst!$R$5:$W$9,MATCH(ROUNDUP((G$1)/10,0)*10,[1]Hugst!$R$4:$W$4,0))))</f>
        <v>599.34002632610714</v>
      </c>
      <c r="H132">
        <f ca="1">IF($C132-H$1&lt;År1,0,G131*(1-VLOOKUP($A132,[1]Hugst!$R$5:$W$9,MATCH(ROUNDUP((H$1)/10,0)*10,[1]Hugst!$R$4:$W$4,0))))</f>
        <v>599.87306166811823</v>
      </c>
      <c r="I132">
        <f ca="1">IF($C132-I$1&lt;År1,0,H131*(1-VLOOKUP($A132,[1]Hugst!$R$5:$W$9,MATCH(ROUNDUP((I$1)/10,0)*10,[1]Hugst!$R$4:$W$4,0))))</f>
        <v>600.40877557968702</v>
      </c>
      <c r="J132">
        <f ca="1">IF($C132-J$1&lt;År1,0,I131*(1-VLOOKUP($A132,[1]Hugst!$R$5:$W$9,MATCH(ROUNDUP((J$1)/10,0)*10,[1]Hugst!$R$4:$W$4,0))))</f>
        <v>600.94718152096243</v>
      </c>
      <c r="K132">
        <f ca="1">IF($C132-K$1&lt;År1,0,J131*(1-VLOOKUP($A132,[1]Hugst!$R$5:$W$9,MATCH(ROUNDUP((K$1)/10,0)*10,[1]Hugst!$R$4:$W$4,0))))</f>
        <v>601.48829301972796</v>
      </c>
      <c r="L132">
        <f ca="1">IF($C132-L$1&lt;År1,0,K131*(1-VLOOKUP($A132,[1]Hugst!$R$5:$W$9,MATCH(ROUNDUP((L$1)/10,0)*10,[1]Hugst!$R$4:$W$4,0))))</f>
        <v>602.03212367175934</v>
      </c>
      <c r="M132">
        <f>IF($C132-M$1&lt;År1,0,L131*(1-VLOOKUP($A132,[1]Hugst!$R$5:$W$9,MATCH(ROUNDUP((M$1)/10,0)*10,[1]Hugst!$R$4:$W$4,0))))</f>
        <v>0</v>
      </c>
      <c r="N132">
        <f>IF($C132-N$1&lt;År1,0,M131*(1-VLOOKUP($A132,[1]Hugst!$R$5:$W$9,MATCH(ROUNDUP((N$1)/10,0)*10,[1]Hugst!$R$4:$W$4,0))))</f>
        <v>0</v>
      </c>
      <c r="O132">
        <f>IF($C132-O$1&lt;År1,0,N131*(1-VLOOKUP($A132,[1]Hugst!$R$5:$W$9,MATCH(ROUNDUP((O$1)/10,0)*10,[1]Hugst!$R$4:$W$4,0))))</f>
        <v>0</v>
      </c>
      <c r="P132">
        <f>IF($C132-P$1&lt;År1,0,O131*(1-VLOOKUP($A132,[1]Hugst!$R$5:$W$9,MATCH(ROUNDUP((P$1)/10,0)*10,[1]Hugst!$R$4:$W$4,0))))</f>
        <v>0</v>
      </c>
      <c r="Q132">
        <f>IF($C132-Q$1&lt;År1,0,P131*(1-VLOOKUP($A132,[1]Hugst!$R$5:$W$9,MATCH(ROUNDUP((Q$1)/10,0)*10,[1]Hugst!$R$4:$W$4,0))))</f>
        <v>0</v>
      </c>
      <c r="R132">
        <f>IF($C132-R$1&lt;År1,0,Q131*(1-VLOOKUP($A132,[1]Hugst!$R$5:$W$9,MATCH(ROUNDUP((R$1)/10,0)*10,[1]Hugst!$R$4:$W$4,0))))</f>
        <v>0</v>
      </c>
      <c r="S132">
        <f>IF($C132-S$1&lt;År1,0,R131*(1-VLOOKUP($A132,[1]Hugst!$R$5:$W$9,MATCH(ROUNDUP((S$1)/10,0)*10,[1]Hugst!$R$4:$W$4,0))))</f>
        <v>0</v>
      </c>
      <c r="T132">
        <f>IF($C132-T$1&lt;År1,0,S131*(1-VLOOKUP($A132,[1]Hugst!$R$5:$W$9,MATCH(ROUNDUP((T$1)/10,0)*10,[1]Hugst!$R$4:$W$4,0))))</f>
        <v>0</v>
      </c>
      <c r="U132">
        <f>IF($C132-U$1&lt;År1,0,T131*(1-VLOOKUP($A132,[1]Hugst!$R$5:$W$9,MATCH(ROUNDUP((U$1)/10,0)*10,[1]Hugst!$R$4:$W$4,0))))</f>
        <v>0</v>
      </c>
      <c r="V132">
        <f>IF($C132-V$1&lt;År1,0,U131*(1-VLOOKUP($A132,[1]Hugst!$R$5:$W$9,MATCH(ROUNDUP((V$1)/10,0)*10,[1]Hugst!$R$4:$W$4,0))))</f>
        <v>0</v>
      </c>
      <c r="W132">
        <f>IF($C132-W$1&lt;År1,0,V131*(1-VLOOKUP($A132,[1]Hugst!$R$5:$W$9,MATCH(ROUNDUP((W$1)/10,0)*10,[1]Hugst!$R$4:$W$4,0))))</f>
        <v>0</v>
      </c>
      <c r="X132">
        <f>IF($C132-X$1&lt;År1,0,W131*(1-VLOOKUP($A132,[1]Hugst!$R$5:$W$9,MATCH(ROUNDUP((X$1)/10,0)*10,[1]Hugst!$R$4:$W$4,0))))</f>
        <v>0</v>
      </c>
      <c r="Y132">
        <f>IF($C132-Y$1&lt;År1,0,X131*(1-VLOOKUP($A132,[1]Hugst!$R$5:$W$9,MATCH(ROUNDUP((Y$1)/10,0)*10,[1]Hugst!$R$4:$W$4,0))))</f>
        <v>0</v>
      </c>
      <c r="Z132">
        <f>IF($C132-Z$1&lt;År1,0,Y131*(1-VLOOKUP($A132,[1]Hugst!$R$5:$W$9,MATCH(ROUNDUP((Z$1)/10,0)*10,[1]Hugst!$R$4:$W$4,0))))</f>
        <v>0</v>
      </c>
      <c r="AA132">
        <f>IF($C132-AA$1&lt;År1,0,Z131*(1-VLOOKUP($A132,[1]Hugst!$R$5:$W$9,MATCH(ROUNDUP((AA$1)/10,0)*10,[1]Hugst!$R$4:$W$4,0))))</f>
        <v>0</v>
      </c>
      <c r="AB132">
        <f>IF($C132-AB$1&lt;År1,0,AA131*(1-VLOOKUP($A132,[1]Hugst!$R$5:$W$9,MATCH(ROUNDUP((AB$1)/10,0)*10,[1]Hugst!$R$4:$W$4,0))))</f>
        <v>0</v>
      </c>
      <c r="AC132">
        <f>IF($C132-AC$1&lt;År1,0,AB131*(1-VLOOKUP($A132,[1]Hugst!$R$5:$W$9,MATCH(ROUNDUP((AC$1)/10,0)*10,[1]Hugst!$R$4:$W$4,0))))</f>
        <v>0</v>
      </c>
      <c r="AD132">
        <f>IF($C132-AD$1&lt;År1,0,AC131*(1-VLOOKUP($A132,[1]Hugst!$R$5:$W$9,MATCH(ROUNDUP((AD$1)/10,0)*10,[1]Hugst!$R$4:$W$4,0))))</f>
        <v>0</v>
      </c>
      <c r="AE132">
        <f>IF($C132-AE$1&lt;År1,0,AD131*(1-VLOOKUP($A132,[1]Hugst!$R$5:$W$9,MATCH(ROUNDUP((AE$1)/10,0)*10,[1]Hugst!$R$4:$W$4,0))))</f>
        <v>0</v>
      </c>
      <c r="AF132">
        <f>IF($C132-AF$1&lt;År1,0,AE131*(1-VLOOKUP($A132,[1]Hugst!$R$5:$W$9,MATCH(ROUNDUP((AF$1)/10,0)*10,[1]Hugst!$R$4:$W$4,0))))</f>
        <v>0</v>
      </c>
      <c r="AG132">
        <f>IF($C132-AG$1&lt;År1,0,AF131*(1-VLOOKUP($A132,[1]Hugst!$R$5:$W$9,MATCH(ROUNDUP((AG$1)/10,0)*10,[1]Hugst!$R$4:$W$4,0))))</f>
        <v>0</v>
      </c>
      <c r="AH132">
        <f>IF($C132-AH$1&lt;År1,0,AG131*(1-VLOOKUP($A132,[1]Hugst!$R$5:$W$9,MATCH(ROUNDUP((AH$1)/10,0)*10,[1]Hugst!$R$4:$W$4,0))))</f>
        <v>0</v>
      </c>
      <c r="AI132">
        <f>IF($C132-AI$1&lt;År1,0,AH131*(1-VLOOKUP($A132,[1]Hugst!$R$5:$W$9,MATCH(ROUNDUP((AI$1)/10,0)*10,[1]Hugst!$R$4:$W$4,0))))</f>
        <v>0</v>
      </c>
      <c r="AJ132">
        <f>IF($C132-AJ$1&lt;År1,0,AI131*(1-VLOOKUP($A132,[1]Hugst!$R$5:$W$9,MATCH(ROUNDUP((AJ$1)/10,0)*10,[1]Hugst!$R$4:$W$4,0))))</f>
        <v>0</v>
      </c>
    </row>
    <row r="133" spans="1:36" x14ac:dyDescent="0.25">
      <c r="A133" t="s">
        <v>178</v>
      </c>
      <c r="B133" t="s">
        <v>23</v>
      </c>
      <c r="C133">
        <v>2027</v>
      </c>
      <c r="D133" cm="1">
        <f t="array" ref="D133">(IF(B133="Vestdanmark",Skovbrug!$C$22-(Skovbrug!$C$22)*(1-Skovbrug!$C$9)^(C133-Skovbrug!$B$12),Skovbrug!$F$22-(Skovbrug!$F$22)*(1-Skovbrug!$C$9)^(C133-Skovbrug!$B$12)))*VLOOKUP(A133,Skovbrug!$A$13:$D$17,IF('Skovbrug-alder'!C133&lt;=År2,3,4),FALSE)
-IF(C133&gt;2020,SUM(INDEX($C$1:$D$311,MATCH(1,(2020=$C$1:$C$311)*(B133=$B$1:$B$311)*(A133=$A$1:$A$311),0),2):D132),0)</f>
        <v>105.01594458034094</v>
      </c>
      <c r="E133">
        <f t="shared" ca="1" si="3"/>
        <v>0</v>
      </c>
      <c r="F133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598.28193784633402</v>
      </c>
      <c r="G133">
        <f ca="1">IF($C133-G$1&lt;År1,0,F132*(1-VLOOKUP($A133,[1]Hugst!$R$5:$W$9,MATCH(ROUNDUP((G$1)/10,0)*10,[1]Hugst!$R$4:$W$4,0))))</f>
        <v>598.80965616080709</v>
      </c>
      <c r="H133">
        <f ca="1">IF($C133-H$1&lt;År1,0,G132*(1-VLOOKUP($A133,[1]Hugst!$R$5:$W$9,MATCH(ROUNDUP((H$1)/10,0)*10,[1]Hugst!$R$4:$W$4,0))))</f>
        <v>599.34002632610714</v>
      </c>
      <c r="I133">
        <f ca="1">IF($C133-I$1&lt;År1,0,H132*(1-VLOOKUP($A133,[1]Hugst!$R$5:$W$9,MATCH(ROUNDUP((I$1)/10,0)*10,[1]Hugst!$R$4:$W$4,0))))</f>
        <v>599.87306166811823</v>
      </c>
      <c r="J133">
        <f ca="1">IF($C133-J$1&lt;År1,0,I132*(1-VLOOKUP($A133,[1]Hugst!$R$5:$W$9,MATCH(ROUNDUP((J$1)/10,0)*10,[1]Hugst!$R$4:$W$4,0))))</f>
        <v>600.40877557968702</v>
      </c>
      <c r="K133">
        <f ca="1">IF($C133-K$1&lt;År1,0,J132*(1-VLOOKUP($A133,[1]Hugst!$R$5:$W$9,MATCH(ROUNDUP((K$1)/10,0)*10,[1]Hugst!$R$4:$W$4,0))))</f>
        <v>600.94718152096243</v>
      </c>
      <c r="L133">
        <f ca="1">IF($C133-L$1&lt;År1,0,K132*(1-VLOOKUP($A133,[1]Hugst!$R$5:$W$9,MATCH(ROUNDUP((L$1)/10,0)*10,[1]Hugst!$R$4:$W$4,0))))</f>
        <v>601.48829301972796</v>
      </c>
      <c r="M133">
        <f ca="1">IF($C133-M$1&lt;År1,0,L132*(1-VLOOKUP($A133,[1]Hugst!$R$5:$W$9,MATCH(ROUNDUP((M$1)/10,0)*10,[1]Hugst!$R$4:$W$4,0))))</f>
        <v>602.03212367175934</v>
      </c>
      <c r="N133">
        <f>IF($C133-N$1&lt;År1,0,M132*(1-VLOOKUP($A133,[1]Hugst!$R$5:$W$9,MATCH(ROUNDUP((N$1)/10,0)*10,[1]Hugst!$R$4:$W$4,0))))</f>
        <v>0</v>
      </c>
      <c r="O133">
        <f>IF($C133-O$1&lt;År1,0,N132*(1-VLOOKUP($A133,[1]Hugst!$R$5:$W$9,MATCH(ROUNDUP((O$1)/10,0)*10,[1]Hugst!$R$4:$W$4,0))))</f>
        <v>0</v>
      </c>
      <c r="P133">
        <f>IF($C133-P$1&lt;År1,0,O132*(1-VLOOKUP($A133,[1]Hugst!$R$5:$W$9,MATCH(ROUNDUP((P$1)/10,0)*10,[1]Hugst!$R$4:$W$4,0))))</f>
        <v>0</v>
      </c>
      <c r="Q133">
        <f>IF($C133-Q$1&lt;År1,0,P132*(1-VLOOKUP($A133,[1]Hugst!$R$5:$W$9,MATCH(ROUNDUP((Q$1)/10,0)*10,[1]Hugst!$R$4:$W$4,0))))</f>
        <v>0</v>
      </c>
      <c r="R133">
        <f>IF($C133-R$1&lt;År1,0,Q132*(1-VLOOKUP($A133,[1]Hugst!$R$5:$W$9,MATCH(ROUNDUP((R$1)/10,0)*10,[1]Hugst!$R$4:$W$4,0))))</f>
        <v>0</v>
      </c>
      <c r="S133">
        <f>IF($C133-S$1&lt;År1,0,R132*(1-VLOOKUP($A133,[1]Hugst!$R$5:$W$9,MATCH(ROUNDUP((S$1)/10,0)*10,[1]Hugst!$R$4:$W$4,0))))</f>
        <v>0</v>
      </c>
      <c r="T133">
        <f>IF($C133-T$1&lt;År1,0,S132*(1-VLOOKUP($A133,[1]Hugst!$R$5:$W$9,MATCH(ROUNDUP((T$1)/10,0)*10,[1]Hugst!$R$4:$W$4,0))))</f>
        <v>0</v>
      </c>
      <c r="U133">
        <f>IF($C133-U$1&lt;År1,0,T132*(1-VLOOKUP($A133,[1]Hugst!$R$5:$W$9,MATCH(ROUNDUP((U$1)/10,0)*10,[1]Hugst!$R$4:$W$4,0))))</f>
        <v>0</v>
      </c>
      <c r="V133">
        <f>IF($C133-V$1&lt;År1,0,U132*(1-VLOOKUP($A133,[1]Hugst!$R$5:$W$9,MATCH(ROUNDUP((V$1)/10,0)*10,[1]Hugst!$R$4:$W$4,0))))</f>
        <v>0</v>
      </c>
      <c r="W133">
        <f>IF($C133-W$1&lt;År1,0,V132*(1-VLOOKUP($A133,[1]Hugst!$R$5:$W$9,MATCH(ROUNDUP((W$1)/10,0)*10,[1]Hugst!$R$4:$W$4,0))))</f>
        <v>0</v>
      </c>
      <c r="X133">
        <f>IF($C133-X$1&lt;År1,0,W132*(1-VLOOKUP($A133,[1]Hugst!$R$5:$W$9,MATCH(ROUNDUP((X$1)/10,0)*10,[1]Hugst!$R$4:$W$4,0))))</f>
        <v>0</v>
      </c>
      <c r="Y133">
        <f>IF($C133-Y$1&lt;År1,0,X132*(1-VLOOKUP($A133,[1]Hugst!$R$5:$W$9,MATCH(ROUNDUP((Y$1)/10,0)*10,[1]Hugst!$R$4:$W$4,0))))</f>
        <v>0</v>
      </c>
      <c r="Z133">
        <f>IF($C133-Z$1&lt;År1,0,Y132*(1-VLOOKUP($A133,[1]Hugst!$R$5:$W$9,MATCH(ROUNDUP((Z$1)/10,0)*10,[1]Hugst!$R$4:$W$4,0))))</f>
        <v>0</v>
      </c>
      <c r="AA133">
        <f>IF($C133-AA$1&lt;År1,0,Z132*(1-VLOOKUP($A133,[1]Hugst!$R$5:$W$9,MATCH(ROUNDUP((AA$1)/10,0)*10,[1]Hugst!$R$4:$W$4,0))))</f>
        <v>0</v>
      </c>
      <c r="AB133">
        <f>IF($C133-AB$1&lt;År1,0,AA132*(1-VLOOKUP($A133,[1]Hugst!$R$5:$W$9,MATCH(ROUNDUP((AB$1)/10,0)*10,[1]Hugst!$R$4:$W$4,0))))</f>
        <v>0</v>
      </c>
      <c r="AC133">
        <f>IF($C133-AC$1&lt;År1,0,AB132*(1-VLOOKUP($A133,[1]Hugst!$R$5:$W$9,MATCH(ROUNDUP((AC$1)/10,0)*10,[1]Hugst!$R$4:$W$4,0))))</f>
        <v>0</v>
      </c>
      <c r="AD133">
        <f>IF($C133-AD$1&lt;År1,0,AC132*(1-VLOOKUP($A133,[1]Hugst!$R$5:$W$9,MATCH(ROUNDUP((AD$1)/10,0)*10,[1]Hugst!$R$4:$W$4,0))))</f>
        <v>0</v>
      </c>
      <c r="AE133">
        <f>IF($C133-AE$1&lt;År1,0,AD132*(1-VLOOKUP($A133,[1]Hugst!$R$5:$W$9,MATCH(ROUNDUP((AE$1)/10,0)*10,[1]Hugst!$R$4:$W$4,0))))</f>
        <v>0</v>
      </c>
      <c r="AF133">
        <f>IF($C133-AF$1&lt;År1,0,AE132*(1-VLOOKUP($A133,[1]Hugst!$R$5:$W$9,MATCH(ROUNDUP((AF$1)/10,0)*10,[1]Hugst!$R$4:$W$4,0))))</f>
        <v>0</v>
      </c>
      <c r="AG133">
        <f>IF($C133-AG$1&lt;År1,0,AF132*(1-VLOOKUP($A133,[1]Hugst!$R$5:$W$9,MATCH(ROUNDUP((AG$1)/10,0)*10,[1]Hugst!$R$4:$W$4,0))))</f>
        <v>0</v>
      </c>
      <c r="AH133">
        <f>IF($C133-AH$1&lt;År1,0,AG132*(1-VLOOKUP($A133,[1]Hugst!$R$5:$W$9,MATCH(ROUNDUP((AH$1)/10,0)*10,[1]Hugst!$R$4:$W$4,0))))</f>
        <v>0</v>
      </c>
      <c r="AI133">
        <f>IF($C133-AI$1&lt;År1,0,AH132*(1-VLOOKUP($A133,[1]Hugst!$R$5:$W$9,MATCH(ROUNDUP((AI$1)/10,0)*10,[1]Hugst!$R$4:$W$4,0))))</f>
        <v>0</v>
      </c>
      <c r="AJ133">
        <f>IF($C133-AJ$1&lt;År1,0,AI132*(1-VLOOKUP($A133,[1]Hugst!$R$5:$W$9,MATCH(ROUNDUP((AJ$1)/10,0)*10,[1]Hugst!$R$4:$W$4,0))))</f>
        <v>0</v>
      </c>
    </row>
    <row r="134" spans="1:36" x14ac:dyDescent="0.25">
      <c r="A134" t="s">
        <v>178</v>
      </c>
      <c r="B134" t="s">
        <v>23</v>
      </c>
      <c r="C134">
        <v>2028</v>
      </c>
      <c r="D134" cm="1">
        <f t="array" ref="D134">(IF(B134="Vestdanmark",Skovbrug!$C$22-(Skovbrug!$C$22)*(1-Skovbrug!$C$9)^(C134-Skovbrug!$B$12),Skovbrug!$F$22-(Skovbrug!$F$22)*(1-Skovbrug!$C$9)^(C134-Skovbrug!$B$12)))*VLOOKUP(A134,Skovbrug!$A$13:$D$17,IF('Skovbrug-alder'!C134&lt;=År2,3,4),FALSE)
-IF(C134&gt;2020,SUM(INDEX($C$1:$D$311,MATCH(1,(2020=$C$1:$C$311)*(B134=$B$1:$B$311)*(A134=$A$1:$A$311),0),2):D133),0)</f>
        <v>104.49086485744044</v>
      </c>
      <c r="E134">
        <f t="shared" ca="1" si="3"/>
        <v>0</v>
      </c>
      <c r="F134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597.75685812343352</v>
      </c>
      <c r="G134">
        <f ca="1">IF($C134-G$1&lt;År1,0,F133*(1-VLOOKUP($A134,[1]Hugst!$R$5:$W$9,MATCH(ROUNDUP((G$1)/10,0)*10,[1]Hugst!$R$4:$W$4,0))))</f>
        <v>598.28193784633402</v>
      </c>
      <c r="H134">
        <f ca="1">IF($C134-H$1&lt;År1,0,G133*(1-VLOOKUP($A134,[1]Hugst!$R$5:$W$9,MATCH(ROUNDUP((H$1)/10,0)*10,[1]Hugst!$R$4:$W$4,0))))</f>
        <v>598.80965616080709</v>
      </c>
      <c r="I134">
        <f ca="1">IF($C134-I$1&lt;År1,0,H133*(1-VLOOKUP($A134,[1]Hugst!$R$5:$W$9,MATCH(ROUNDUP((I$1)/10,0)*10,[1]Hugst!$R$4:$W$4,0))))</f>
        <v>599.34002632610714</v>
      </c>
      <c r="J134">
        <f ca="1">IF($C134-J$1&lt;År1,0,I133*(1-VLOOKUP($A134,[1]Hugst!$R$5:$W$9,MATCH(ROUNDUP((J$1)/10,0)*10,[1]Hugst!$R$4:$W$4,0))))</f>
        <v>599.87306166811823</v>
      </c>
      <c r="K134">
        <f ca="1">IF($C134-K$1&lt;År1,0,J133*(1-VLOOKUP($A134,[1]Hugst!$R$5:$W$9,MATCH(ROUNDUP((K$1)/10,0)*10,[1]Hugst!$R$4:$W$4,0))))</f>
        <v>600.40877557968702</v>
      </c>
      <c r="L134">
        <f ca="1">IF($C134-L$1&lt;År1,0,K133*(1-VLOOKUP($A134,[1]Hugst!$R$5:$W$9,MATCH(ROUNDUP((L$1)/10,0)*10,[1]Hugst!$R$4:$W$4,0))))</f>
        <v>600.94718152096243</v>
      </c>
      <c r="M134">
        <f ca="1">IF($C134-M$1&lt;År1,0,L133*(1-VLOOKUP($A134,[1]Hugst!$R$5:$W$9,MATCH(ROUNDUP((M$1)/10,0)*10,[1]Hugst!$R$4:$W$4,0))))</f>
        <v>601.48829301972796</v>
      </c>
      <c r="N134">
        <f ca="1">IF($C134-N$1&lt;År1,0,M133*(1-VLOOKUP($A134,[1]Hugst!$R$5:$W$9,MATCH(ROUNDUP((N$1)/10,0)*10,[1]Hugst!$R$4:$W$4,0))))</f>
        <v>602.03212367175934</v>
      </c>
      <c r="O134">
        <f>IF($C134-O$1&lt;År1,0,N133*(1-VLOOKUP($A134,[1]Hugst!$R$5:$W$9,MATCH(ROUNDUP((O$1)/10,0)*10,[1]Hugst!$R$4:$W$4,0))))</f>
        <v>0</v>
      </c>
      <c r="P134">
        <f>IF($C134-P$1&lt;År1,0,O133*(1-VLOOKUP($A134,[1]Hugst!$R$5:$W$9,MATCH(ROUNDUP((P$1)/10,0)*10,[1]Hugst!$R$4:$W$4,0))))</f>
        <v>0</v>
      </c>
      <c r="Q134">
        <f>IF($C134-Q$1&lt;År1,0,P133*(1-VLOOKUP($A134,[1]Hugst!$R$5:$W$9,MATCH(ROUNDUP((Q$1)/10,0)*10,[1]Hugst!$R$4:$W$4,0))))</f>
        <v>0</v>
      </c>
      <c r="R134">
        <f>IF($C134-R$1&lt;År1,0,Q133*(1-VLOOKUP($A134,[1]Hugst!$R$5:$W$9,MATCH(ROUNDUP((R$1)/10,0)*10,[1]Hugst!$R$4:$W$4,0))))</f>
        <v>0</v>
      </c>
      <c r="S134">
        <f>IF($C134-S$1&lt;År1,0,R133*(1-VLOOKUP($A134,[1]Hugst!$R$5:$W$9,MATCH(ROUNDUP((S$1)/10,0)*10,[1]Hugst!$R$4:$W$4,0))))</f>
        <v>0</v>
      </c>
      <c r="T134">
        <f>IF($C134-T$1&lt;År1,0,S133*(1-VLOOKUP($A134,[1]Hugst!$R$5:$W$9,MATCH(ROUNDUP((T$1)/10,0)*10,[1]Hugst!$R$4:$W$4,0))))</f>
        <v>0</v>
      </c>
      <c r="U134">
        <f>IF($C134-U$1&lt;År1,0,T133*(1-VLOOKUP($A134,[1]Hugst!$R$5:$W$9,MATCH(ROUNDUP((U$1)/10,0)*10,[1]Hugst!$R$4:$W$4,0))))</f>
        <v>0</v>
      </c>
      <c r="V134">
        <f>IF($C134-V$1&lt;År1,0,U133*(1-VLOOKUP($A134,[1]Hugst!$R$5:$W$9,MATCH(ROUNDUP((V$1)/10,0)*10,[1]Hugst!$R$4:$W$4,0))))</f>
        <v>0</v>
      </c>
      <c r="W134">
        <f>IF($C134-W$1&lt;År1,0,V133*(1-VLOOKUP($A134,[1]Hugst!$R$5:$W$9,MATCH(ROUNDUP((W$1)/10,0)*10,[1]Hugst!$R$4:$W$4,0))))</f>
        <v>0</v>
      </c>
      <c r="X134">
        <f>IF($C134-X$1&lt;År1,0,W133*(1-VLOOKUP($A134,[1]Hugst!$R$5:$W$9,MATCH(ROUNDUP((X$1)/10,0)*10,[1]Hugst!$R$4:$W$4,0))))</f>
        <v>0</v>
      </c>
      <c r="Y134">
        <f>IF($C134-Y$1&lt;År1,0,X133*(1-VLOOKUP($A134,[1]Hugst!$R$5:$W$9,MATCH(ROUNDUP((Y$1)/10,0)*10,[1]Hugst!$R$4:$W$4,0))))</f>
        <v>0</v>
      </c>
      <c r="Z134">
        <f>IF($C134-Z$1&lt;År1,0,Y133*(1-VLOOKUP($A134,[1]Hugst!$R$5:$W$9,MATCH(ROUNDUP((Z$1)/10,0)*10,[1]Hugst!$R$4:$W$4,0))))</f>
        <v>0</v>
      </c>
      <c r="AA134">
        <f>IF($C134-AA$1&lt;År1,0,Z133*(1-VLOOKUP($A134,[1]Hugst!$R$5:$W$9,MATCH(ROUNDUP((AA$1)/10,0)*10,[1]Hugst!$R$4:$W$4,0))))</f>
        <v>0</v>
      </c>
      <c r="AB134">
        <f>IF($C134-AB$1&lt;År1,0,AA133*(1-VLOOKUP($A134,[1]Hugst!$R$5:$W$9,MATCH(ROUNDUP((AB$1)/10,0)*10,[1]Hugst!$R$4:$W$4,0))))</f>
        <v>0</v>
      </c>
      <c r="AC134">
        <f>IF($C134-AC$1&lt;År1,0,AB133*(1-VLOOKUP($A134,[1]Hugst!$R$5:$W$9,MATCH(ROUNDUP((AC$1)/10,0)*10,[1]Hugst!$R$4:$W$4,0))))</f>
        <v>0</v>
      </c>
      <c r="AD134">
        <f>IF($C134-AD$1&lt;År1,0,AC133*(1-VLOOKUP($A134,[1]Hugst!$R$5:$W$9,MATCH(ROUNDUP((AD$1)/10,0)*10,[1]Hugst!$R$4:$W$4,0))))</f>
        <v>0</v>
      </c>
      <c r="AE134">
        <f>IF($C134-AE$1&lt;År1,0,AD133*(1-VLOOKUP($A134,[1]Hugst!$R$5:$W$9,MATCH(ROUNDUP((AE$1)/10,0)*10,[1]Hugst!$R$4:$W$4,0))))</f>
        <v>0</v>
      </c>
      <c r="AF134">
        <f>IF($C134-AF$1&lt;År1,0,AE133*(1-VLOOKUP($A134,[1]Hugst!$R$5:$W$9,MATCH(ROUNDUP((AF$1)/10,0)*10,[1]Hugst!$R$4:$W$4,0))))</f>
        <v>0</v>
      </c>
      <c r="AG134">
        <f>IF($C134-AG$1&lt;År1,0,AF133*(1-VLOOKUP($A134,[1]Hugst!$R$5:$W$9,MATCH(ROUNDUP((AG$1)/10,0)*10,[1]Hugst!$R$4:$W$4,0))))</f>
        <v>0</v>
      </c>
      <c r="AH134">
        <f>IF($C134-AH$1&lt;År1,0,AG133*(1-VLOOKUP($A134,[1]Hugst!$R$5:$W$9,MATCH(ROUNDUP((AH$1)/10,0)*10,[1]Hugst!$R$4:$W$4,0))))</f>
        <v>0</v>
      </c>
      <c r="AI134">
        <f>IF($C134-AI$1&lt;År1,0,AH133*(1-VLOOKUP($A134,[1]Hugst!$R$5:$W$9,MATCH(ROUNDUP((AI$1)/10,0)*10,[1]Hugst!$R$4:$W$4,0))))</f>
        <v>0</v>
      </c>
      <c r="AJ134">
        <f>IF($C134-AJ$1&lt;År1,0,AI133*(1-VLOOKUP($A134,[1]Hugst!$R$5:$W$9,MATCH(ROUNDUP((AJ$1)/10,0)*10,[1]Hugst!$R$4:$W$4,0))))</f>
        <v>0</v>
      </c>
    </row>
    <row r="135" spans="1:36" x14ac:dyDescent="0.25">
      <c r="A135" t="s">
        <v>178</v>
      </c>
      <c r="B135" t="s">
        <v>23</v>
      </c>
      <c r="C135">
        <v>2029</v>
      </c>
      <c r="D135" cm="1">
        <f t="array" ref="D135">(IF(B135="Vestdanmark",Skovbrug!$C$22-(Skovbrug!$C$22)*(1-Skovbrug!$C$9)^(C135-Skovbrug!$B$12),Skovbrug!$F$22-(Skovbrug!$F$22)*(1-Skovbrug!$C$9)^(C135-Skovbrug!$B$12)))*VLOOKUP(A135,Skovbrug!$A$13:$D$17,IF('Skovbrug-alder'!C135&lt;=År2,3,4),FALSE)
-IF(C135&gt;2020,SUM(INDEX($C$1:$D$311,MATCH(1,(2020=$C$1:$C$311)*(B135=$B$1:$B$311)*(A135=$A$1:$A$311),0),2):D134),0)</f>
        <v>103.96841053314847</v>
      </c>
      <c r="E135">
        <f t="shared" ca="1" si="3"/>
        <v>0</v>
      </c>
      <c r="F135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597.23440379914155</v>
      </c>
      <c r="G135">
        <f ca="1">IF($C135-G$1&lt;År1,0,F134*(1-VLOOKUP($A135,[1]Hugst!$R$5:$W$9,MATCH(ROUNDUP((G$1)/10,0)*10,[1]Hugst!$R$4:$W$4,0))))</f>
        <v>597.75685812343352</v>
      </c>
      <c r="H135">
        <f ca="1">IF($C135-H$1&lt;År1,0,G134*(1-VLOOKUP($A135,[1]Hugst!$R$5:$W$9,MATCH(ROUNDUP((H$1)/10,0)*10,[1]Hugst!$R$4:$W$4,0))))</f>
        <v>598.28193784633402</v>
      </c>
      <c r="I135">
        <f ca="1">IF($C135-I$1&lt;År1,0,H134*(1-VLOOKUP($A135,[1]Hugst!$R$5:$W$9,MATCH(ROUNDUP((I$1)/10,0)*10,[1]Hugst!$R$4:$W$4,0))))</f>
        <v>598.80965616080709</v>
      </c>
      <c r="J135">
        <f ca="1">IF($C135-J$1&lt;År1,0,I134*(1-VLOOKUP($A135,[1]Hugst!$R$5:$W$9,MATCH(ROUNDUP((J$1)/10,0)*10,[1]Hugst!$R$4:$W$4,0))))</f>
        <v>599.34002632610714</v>
      </c>
      <c r="K135">
        <f ca="1">IF($C135-K$1&lt;År1,0,J134*(1-VLOOKUP($A135,[1]Hugst!$R$5:$W$9,MATCH(ROUNDUP((K$1)/10,0)*10,[1]Hugst!$R$4:$W$4,0))))</f>
        <v>599.87306166811823</v>
      </c>
      <c r="L135">
        <f ca="1">IF($C135-L$1&lt;År1,0,K134*(1-VLOOKUP($A135,[1]Hugst!$R$5:$W$9,MATCH(ROUNDUP((L$1)/10,0)*10,[1]Hugst!$R$4:$W$4,0))))</f>
        <v>600.40877557968702</v>
      </c>
      <c r="M135">
        <f ca="1">IF($C135-M$1&lt;År1,0,L134*(1-VLOOKUP($A135,[1]Hugst!$R$5:$W$9,MATCH(ROUNDUP((M$1)/10,0)*10,[1]Hugst!$R$4:$W$4,0))))</f>
        <v>600.94718152096243</v>
      </c>
      <c r="N135">
        <f ca="1">IF($C135-N$1&lt;År1,0,M134*(1-VLOOKUP($A135,[1]Hugst!$R$5:$W$9,MATCH(ROUNDUP((N$1)/10,0)*10,[1]Hugst!$R$4:$W$4,0))))</f>
        <v>601.48829301972796</v>
      </c>
      <c r="O135">
        <f ca="1">IF($C135-O$1&lt;År1,0,N134*(1-VLOOKUP($A135,[1]Hugst!$R$5:$W$9,MATCH(ROUNDUP((O$1)/10,0)*10,[1]Hugst!$R$4:$W$4,0))))</f>
        <v>602.03212367175934</v>
      </c>
      <c r="P135">
        <f>IF($C135-P$1&lt;År1,0,O134*(1-VLOOKUP($A135,[1]Hugst!$R$5:$W$9,MATCH(ROUNDUP((P$1)/10,0)*10,[1]Hugst!$R$4:$W$4,0))))</f>
        <v>0</v>
      </c>
      <c r="Q135">
        <f>IF($C135-Q$1&lt;År1,0,P134*(1-VLOOKUP($A135,[1]Hugst!$R$5:$W$9,MATCH(ROUNDUP((Q$1)/10,0)*10,[1]Hugst!$R$4:$W$4,0))))</f>
        <v>0</v>
      </c>
      <c r="R135">
        <f>IF($C135-R$1&lt;År1,0,Q134*(1-VLOOKUP($A135,[1]Hugst!$R$5:$W$9,MATCH(ROUNDUP((R$1)/10,0)*10,[1]Hugst!$R$4:$W$4,0))))</f>
        <v>0</v>
      </c>
      <c r="S135">
        <f>IF($C135-S$1&lt;År1,0,R134*(1-VLOOKUP($A135,[1]Hugst!$R$5:$W$9,MATCH(ROUNDUP((S$1)/10,0)*10,[1]Hugst!$R$4:$W$4,0))))</f>
        <v>0</v>
      </c>
      <c r="T135">
        <f>IF($C135-T$1&lt;År1,0,S134*(1-VLOOKUP($A135,[1]Hugst!$R$5:$W$9,MATCH(ROUNDUP((T$1)/10,0)*10,[1]Hugst!$R$4:$W$4,0))))</f>
        <v>0</v>
      </c>
      <c r="U135">
        <f>IF($C135-U$1&lt;År1,0,T134*(1-VLOOKUP($A135,[1]Hugst!$R$5:$W$9,MATCH(ROUNDUP((U$1)/10,0)*10,[1]Hugst!$R$4:$W$4,0))))</f>
        <v>0</v>
      </c>
      <c r="V135">
        <f>IF($C135-V$1&lt;År1,0,U134*(1-VLOOKUP($A135,[1]Hugst!$R$5:$W$9,MATCH(ROUNDUP((V$1)/10,0)*10,[1]Hugst!$R$4:$W$4,0))))</f>
        <v>0</v>
      </c>
      <c r="W135">
        <f>IF($C135-W$1&lt;År1,0,V134*(1-VLOOKUP($A135,[1]Hugst!$R$5:$W$9,MATCH(ROUNDUP((W$1)/10,0)*10,[1]Hugst!$R$4:$W$4,0))))</f>
        <v>0</v>
      </c>
      <c r="X135">
        <f>IF($C135-X$1&lt;År1,0,W134*(1-VLOOKUP($A135,[1]Hugst!$R$5:$W$9,MATCH(ROUNDUP((X$1)/10,0)*10,[1]Hugst!$R$4:$W$4,0))))</f>
        <v>0</v>
      </c>
      <c r="Y135">
        <f>IF($C135-Y$1&lt;År1,0,X134*(1-VLOOKUP($A135,[1]Hugst!$R$5:$W$9,MATCH(ROUNDUP((Y$1)/10,0)*10,[1]Hugst!$R$4:$W$4,0))))</f>
        <v>0</v>
      </c>
      <c r="Z135">
        <f>IF($C135-Z$1&lt;År1,0,Y134*(1-VLOOKUP($A135,[1]Hugst!$R$5:$W$9,MATCH(ROUNDUP((Z$1)/10,0)*10,[1]Hugst!$R$4:$W$4,0))))</f>
        <v>0</v>
      </c>
      <c r="AA135">
        <f>IF($C135-AA$1&lt;År1,0,Z134*(1-VLOOKUP($A135,[1]Hugst!$R$5:$W$9,MATCH(ROUNDUP((AA$1)/10,0)*10,[1]Hugst!$R$4:$W$4,0))))</f>
        <v>0</v>
      </c>
      <c r="AB135">
        <f>IF($C135-AB$1&lt;År1,0,AA134*(1-VLOOKUP($A135,[1]Hugst!$R$5:$W$9,MATCH(ROUNDUP((AB$1)/10,0)*10,[1]Hugst!$R$4:$W$4,0))))</f>
        <v>0</v>
      </c>
      <c r="AC135">
        <f>IF($C135-AC$1&lt;År1,0,AB134*(1-VLOOKUP($A135,[1]Hugst!$R$5:$W$9,MATCH(ROUNDUP((AC$1)/10,0)*10,[1]Hugst!$R$4:$W$4,0))))</f>
        <v>0</v>
      </c>
      <c r="AD135">
        <f>IF($C135-AD$1&lt;År1,0,AC134*(1-VLOOKUP($A135,[1]Hugst!$R$5:$W$9,MATCH(ROUNDUP((AD$1)/10,0)*10,[1]Hugst!$R$4:$W$4,0))))</f>
        <v>0</v>
      </c>
      <c r="AE135">
        <f>IF($C135-AE$1&lt;År1,0,AD134*(1-VLOOKUP($A135,[1]Hugst!$R$5:$W$9,MATCH(ROUNDUP((AE$1)/10,0)*10,[1]Hugst!$R$4:$W$4,0))))</f>
        <v>0</v>
      </c>
      <c r="AF135">
        <f>IF($C135-AF$1&lt;År1,0,AE134*(1-VLOOKUP($A135,[1]Hugst!$R$5:$W$9,MATCH(ROUNDUP((AF$1)/10,0)*10,[1]Hugst!$R$4:$W$4,0))))</f>
        <v>0</v>
      </c>
      <c r="AG135">
        <f>IF($C135-AG$1&lt;År1,0,AF134*(1-VLOOKUP($A135,[1]Hugst!$R$5:$W$9,MATCH(ROUNDUP((AG$1)/10,0)*10,[1]Hugst!$R$4:$W$4,0))))</f>
        <v>0</v>
      </c>
      <c r="AH135">
        <f>IF($C135-AH$1&lt;År1,0,AG134*(1-VLOOKUP($A135,[1]Hugst!$R$5:$W$9,MATCH(ROUNDUP((AH$1)/10,0)*10,[1]Hugst!$R$4:$W$4,0))))</f>
        <v>0</v>
      </c>
      <c r="AI135">
        <f>IF($C135-AI$1&lt;År1,0,AH134*(1-VLOOKUP($A135,[1]Hugst!$R$5:$W$9,MATCH(ROUNDUP((AI$1)/10,0)*10,[1]Hugst!$R$4:$W$4,0))))</f>
        <v>0</v>
      </c>
      <c r="AJ135">
        <f>IF($C135-AJ$1&lt;År1,0,AI134*(1-VLOOKUP($A135,[1]Hugst!$R$5:$W$9,MATCH(ROUNDUP((AJ$1)/10,0)*10,[1]Hugst!$R$4:$W$4,0))))</f>
        <v>0</v>
      </c>
    </row>
    <row r="136" spans="1:36" x14ac:dyDescent="0.25">
      <c r="A136" t="s">
        <v>178</v>
      </c>
      <c r="B136" t="s">
        <v>23</v>
      </c>
      <c r="C136">
        <v>2030</v>
      </c>
      <c r="D136" cm="1">
        <f t="array" ref="D136">(IF(B136="Vestdanmark",Skovbrug!$C$22-(Skovbrug!$C$22)*(1-Skovbrug!$C$9)^(C136-Skovbrug!$B$12),Skovbrug!$F$22-(Skovbrug!$F$22)*(1-Skovbrug!$C$9)^(C136-Skovbrug!$B$12)))*VLOOKUP(A136,Skovbrug!$A$13:$D$17,IF('Skovbrug-alder'!C136&lt;=År2,3,4),FALSE)
-IF(C136&gt;2020,SUM(INDEX($C$1:$D$311,MATCH(1,(2020=$C$1:$C$311)*(B136=$B$1:$B$311)*(A136=$A$1:$A$311),0),2):D135),0)</f>
        <v>103.44856848048812</v>
      </c>
      <c r="E136">
        <f t="shared" ca="1" si="3"/>
        <v>0</v>
      </c>
      <c r="F136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596.71456174648119</v>
      </c>
      <c r="G136">
        <f ca="1">IF($C136-G$1&lt;År1,0,F135*(1-VLOOKUP($A136,[1]Hugst!$R$5:$W$9,MATCH(ROUNDUP((G$1)/10,0)*10,[1]Hugst!$R$4:$W$4,0))))</f>
        <v>597.23440379914155</v>
      </c>
      <c r="H136">
        <f ca="1">IF($C136-H$1&lt;År1,0,G135*(1-VLOOKUP($A136,[1]Hugst!$R$5:$W$9,MATCH(ROUNDUP((H$1)/10,0)*10,[1]Hugst!$R$4:$W$4,0))))</f>
        <v>597.75685812343352</v>
      </c>
      <c r="I136">
        <f ca="1">IF($C136-I$1&lt;År1,0,H135*(1-VLOOKUP($A136,[1]Hugst!$R$5:$W$9,MATCH(ROUNDUP((I$1)/10,0)*10,[1]Hugst!$R$4:$W$4,0))))</f>
        <v>598.28193784633402</v>
      </c>
      <c r="J136">
        <f ca="1">IF($C136-J$1&lt;År1,0,I135*(1-VLOOKUP($A136,[1]Hugst!$R$5:$W$9,MATCH(ROUNDUP((J$1)/10,0)*10,[1]Hugst!$R$4:$W$4,0))))</f>
        <v>598.80965616080709</v>
      </c>
      <c r="K136">
        <f ca="1">IF($C136-K$1&lt;År1,0,J135*(1-VLOOKUP($A136,[1]Hugst!$R$5:$W$9,MATCH(ROUNDUP((K$1)/10,0)*10,[1]Hugst!$R$4:$W$4,0))))</f>
        <v>599.34002632610714</v>
      </c>
      <c r="L136">
        <f ca="1">IF($C136-L$1&lt;År1,0,K135*(1-VLOOKUP($A136,[1]Hugst!$R$5:$W$9,MATCH(ROUNDUP((L$1)/10,0)*10,[1]Hugst!$R$4:$W$4,0))))</f>
        <v>599.87306166811823</v>
      </c>
      <c r="M136">
        <f ca="1">IF($C136-M$1&lt;År1,0,L135*(1-VLOOKUP($A136,[1]Hugst!$R$5:$W$9,MATCH(ROUNDUP((M$1)/10,0)*10,[1]Hugst!$R$4:$W$4,0))))</f>
        <v>600.40877557968702</v>
      </c>
      <c r="N136">
        <f ca="1">IF($C136-N$1&lt;År1,0,M135*(1-VLOOKUP($A136,[1]Hugst!$R$5:$W$9,MATCH(ROUNDUP((N$1)/10,0)*10,[1]Hugst!$R$4:$W$4,0))))</f>
        <v>600.94718152096243</v>
      </c>
      <c r="O136">
        <f ca="1">IF($C136-O$1&lt;År1,0,N135*(1-VLOOKUP($A136,[1]Hugst!$R$5:$W$9,MATCH(ROUNDUP((O$1)/10,0)*10,[1]Hugst!$R$4:$W$4,0))))</f>
        <v>601.48829301972796</v>
      </c>
      <c r="P136">
        <f ca="1">IF($C136-P$1&lt;År1,0,O135*(1-VLOOKUP($A136,[1]Hugst!$R$5:$W$9,MATCH(ROUNDUP((P$1)/10,0)*10,[1]Hugst!$R$4:$W$4,0))))</f>
        <v>602.03212367175934</v>
      </c>
      <c r="Q136">
        <f>IF($C136-Q$1&lt;År1,0,P135*(1-VLOOKUP($A136,[1]Hugst!$R$5:$W$9,MATCH(ROUNDUP((Q$1)/10,0)*10,[1]Hugst!$R$4:$W$4,0))))</f>
        <v>0</v>
      </c>
      <c r="R136">
        <f>IF($C136-R$1&lt;År1,0,Q135*(1-VLOOKUP($A136,[1]Hugst!$R$5:$W$9,MATCH(ROUNDUP((R$1)/10,0)*10,[1]Hugst!$R$4:$W$4,0))))</f>
        <v>0</v>
      </c>
      <c r="S136">
        <f>IF($C136-S$1&lt;År1,0,R135*(1-VLOOKUP($A136,[1]Hugst!$R$5:$W$9,MATCH(ROUNDUP((S$1)/10,0)*10,[1]Hugst!$R$4:$W$4,0))))</f>
        <v>0</v>
      </c>
      <c r="T136">
        <f>IF($C136-T$1&lt;År1,0,S135*(1-VLOOKUP($A136,[1]Hugst!$R$5:$W$9,MATCH(ROUNDUP((T$1)/10,0)*10,[1]Hugst!$R$4:$W$4,0))))</f>
        <v>0</v>
      </c>
      <c r="U136">
        <f>IF($C136-U$1&lt;År1,0,T135*(1-VLOOKUP($A136,[1]Hugst!$R$5:$W$9,MATCH(ROUNDUP((U$1)/10,0)*10,[1]Hugst!$R$4:$W$4,0))))</f>
        <v>0</v>
      </c>
      <c r="V136">
        <f>IF($C136-V$1&lt;År1,0,U135*(1-VLOOKUP($A136,[1]Hugst!$R$5:$W$9,MATCH(ROUNDUP((V$1)/10,0)*10,[1]Hugst!$R$4:$W$4,0))))</f>
        <v>0</v>
      </c>
      <c r="W136">
        <f>IF($C136-W$1&lt;År1,0,V135*(1-VLOOKUP($A136,[1]Hugst!$R$5:$W$9,MATCH(ROUNDUP((W$1)/10,0)*10,[1]Hugst!$R$4:$W$4,0))))</f>
        <v>0</v>
      </c>
      <c r="X136">
        <f>IF($C136-X$1&lt;År1,0,W135*(1-VLOOKUP($A136,[1]Hugst!$R$5:$W$9,MATCH(ROUNDUP((X$1)/10,0)*10,[1]Hugst!$R$4:$W$4,0))))</f>
        <v>0</v>
      </c>
      <c r="Y136">
        <f>IF($C136-Y$1&lt;År1,0,X135*(1-VLOOKUP($A136,[1]Hugst!$R$5:$W$9,MATCH(ROUNDUP((Y$1)/10,0)*10,[1]Hugst!$R$4:$W$4,0))))</f>
        <v>0</v>
      </c>
      <c r="Z136">
        <f>IF($C136-Z$1&lt;År1,0,Y135*(1-VLOOKUP($A136,[1]Hugst!$R$5:$W$9,MATCH(ROUNDUP((Z$1)/10,0)*10,[1]Hugst!$R$4:$W$4,0))))</f>
        <v>0</v>
      </c>
      <c r="AA136">
        <f>IF($C136-AA$1&lt;År1,0,Z135*(1-VLOOKUP($A136,[1]Hugst!$R$5:$W$9,MATCH(ROUNDUP((AA$1)/10,0)*10,[1]Hugst!$R$4:$W$4,0))))</f>
        <v>0</v>
      </c>
      <c r="AB136">
        <f>IF($C136-AB$1&lt;År1,0,AA135*(1-VLOOKUP($A136,[1]Hugst!$R$5:$W$9,MATCH(ROUNDUP((AB$1)/10,0)*10,[1]Hugst!$R$4:$W$4,0))))</f>
        <v>0</v>
      </c>
      <c r="AC136">
        <f>IF($C136-AC$1&lt;År1,0,AB135*(1-VLOOKUP($A136,[1]Hugst!$R$5:$W$9,MATCH(ROUNDUP((AC$1)/10,0)*10,[1]Hugst!$R$4:$W$4,0))))</f>
        <v>0</v>
      </c>
      <c r="AD136">
        <f>IF($C136-AD$1&lt;År1,0,AC135*(1-VLOOKUP($A136,[1]Hugst!$R$5:$W$9,MATCH(ROUNDUP((AD$1)/10,0)*10,[1]Hugst!$R$4:$W$4,0))))</f>
        <v>0</v>
      </c>
      <c r="AE136">
        <f>IF($C136-AE$1&lt;År1,0,AD135*(1-VLOOKUP($A136,[1]Hugst!$R$5:$W$9,MATCH(ROUNDUP((AE$1)/10,0)*10,[1]Hugst!$R$4:$W$4,0))))</f>
        <v>0</v>
      </c>
      <c r="AF136">
        <f>IF($C136-AF$1&lt;År1,0,AE135*(1-VLOOKUP($A136,[1]Hugst!$R$5:$W$9,MATCH(ROUNDUP((AF$1)/10,0)*10,[1]Hugst!$R$4:$W$4,0))))</f>
        <v>0</v>
      </c>
      <c r="AG136">
        <f>IF($C136-AG$1&lt;År1,0,AF135*(1-VLOOKUP($A136,[1]Hugst!$R$5:$W$9,MATCH(ROUNDUP((AG$1)/10,0)*10,[1]Hugst!$R$4:$W$4,0))))</f>
        <v>0</v>
      </c>
      <c r="AH136">
        <f>IF($C136-AH$1&lt;År1,0,AG135*(1-VLOOKUP($A136,[1]Hugst!$R$5:$W$9,MATCH(ROUNDUP((AH$1)/10,0)*10,[1]Hugst!$R$4:$W$4,0))))</f>
        <v>0</v>
      </c>
      <c r="AI136">
        <f>IF($C136-AI$1&lt;År1,0,AH135*(1-VLOOKUP($A136,[1]Hugst!$R$5:$W$9,MATCH(ROUNDUP((AI$1)/10,0)*10,[1]Hugst!$R$4:$W$4,0))))</f>
        <v>0</v>
      </c>
      <c r="AJ136">
        <f>IF($C136-AJ$1&lt;År1,0,AI135*(1-VLOOKUP($A136,[1]Hugst!$R$5:$W$9,MATCH(ROUNDUP((AJ$1)/10,0)*10,[1]Hugst!$R$4:$W$4,0))))</f>
        <v>0</v>
      </c>
    </row>
    <row r="137" spans="1:36" x14ac:dyDescent="0.25">
      <c r="A137" t="s">
        <v>178</v>
      </c>
      <c r="B137" t="s">
        <v>23</v>
      </c>
      <c r="C137">
        <v>2031</v>
      </c>
      <c r="D137" cm="1">
        <f t="array" ref="D137">(IF(B137="Vestdanmark",Skovbrug!$C$22-(Skovbrug!$C$22)*(1-Skovbrug!$C$9)^(C137-Skovbrug!$B$12),Skovbrug!$F$22-(Skovbrug!$F$22)*(1-Skovbrug!$C$9)^(C137-Skovbrug!$B$12)))*VLOOKUP(A137,Skovbrug!$A$13:$D$17,IF('Skovbrug-alder'!C137&lt;=År2,3,4),FALSE)
-IF(C137&gt;2020,SUM(INDEX($C$1:$D$311,MATCH(1,(2020=$C$1:$C$311)*(B137=$B$1:$B$311)*(A137=$A$1:$A$311),0),2):D136),0)</f>
        <v>102.93132563807899</v>
      </c>
      <c r="E137">
        <f t="shared" ca="1" si="3"/>
        <v>0</v>
      </c>
      <c r="F137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374.22762193437535</v>
      </c>
      <c r="G137">
        <f ca="1">IF($C137-G$1&lt;År1,0,F136*(1-VLOOKUP($A137,[1]Hugst!$R$5:$W$9,MATCH(ROUNDUP((G$1)/10,0)*10,[1]Hugst!$R$4:$W$4,0))))</f>
        <v>596.71456174648119</v>
      </c>
      <c r="H137">
        <f ca="1">IF($C137-H$1&lt;År1,0,G136*(1-VLOOKUP($A137,[1]Hugst!$R$5:$W$9,MATCH(ROUNDUP((H$1)/10,0)*10,[1]Hugst!$R$4:$W$4,0))))</f>
        <v>597.23440379914155</v>
      </c>
      <c r="I137">
        <f ca="1">IF($C137-I$1&lt;År1,0,H136*(1-VLOOKUP($A137,[1]Hugst!$R$5:$W$9,MATCH(ROUNDUP((I$1)/10,0)*10,[1]Hugst!$R$4:$W$4,0))))</f>
        <v>597.75685812343352</v>
      </c>
      <c r="J137">
        <f ca="1">IF($C137-J$1&lt;År1,0,I136*(1-VLOOKUP($A137,[1]Hugst!$R$5:$W$9,MATCH(ROUNDUP((J$1)/10,0)*10,[1]Hugst!$R$4:$W$4,0))))</f>
        <v>598.28193784633402</v>
      </c>
      <c r="K137">
        <f ca="1">IF($C137-K$1&lt;År1,0,J136*(1-VLOOKUP($A137,[1]Hugst!$R$5:$W$9,MATCH(ROUNDUP((K$1)/10,0)*10,[1]Hugst!$R$4:$W$4,0))))</f>
        <v>598.80965616080709</v>
      </c>
      <c r="L137">
        <f ca="1">IF($C137-L$1&lt;År1,0,K136*(1-VLOOKUP($A137,[1]Hugst!$R$5:$W$9,MATCH(ROUNDUP((L$1)/10,0)*10,[1]Hugst!$R$4:$W$4,0))))</f>
        <v>599.34002632610714</v>
      </c>
      <c r="M137">
        <f ca="1">IF($C137-M$1&lt;År1,0,L136*(1-VLOOKUP($A137,[1]Hugst!$R$5:$W$9,MATCH(ROUNDUP((M$1)/10,0)*10,[1]Hugst!$R$4:$W$4,0))))</f>
        <v>599.87306166811823</v>
      </c>
      <c r="N137">
        <f ca="1">IF($C137-N$1&lt;År1,0,M136*(1-VLOOKUP($A137,[1]Hugst!$R$5:$W$9,MATCH(ROUNDUP((N$1)/10,0)*10,[1]Hugst!$R$4:$W$4,0))))</f>
        <v>600.40877557968702</v>
      </c>
      <c r="O137">
        <f ca="1">IF($C137-O$1&lt;År1,0,N136*(1-VLOOKUP($A137,[1]Hugst!$R$5:$W$9,MATCH(ROUNDUP((O$1)/10,0)*10,[1]Hugst!$R$4:$W$4,0))))</f>
        <v>600.94718152096243</v>
      </c>
      <c r="P137">
        <f ca="1">IF($C137-P$1&lt;År1,0,O136*(1-VLOOKUP($A137,[1]Hugst!$R$5:$W$9,MATCH(ROUNDUP((P$1)/10,0)*10,[1]Hugst!$R$4:$W$4,0))))</f>
        <v>601.48829301972796</v>
      </c>
      <c r="Q137">
        <f ca="1">IF($C137-Q$1&lt;År1,0,P136*(1-VLOOKUP($A137,[1]Hugst!$R$5:$W$9,MATCH(ROUNDUP((Q$1)/10,0)*10,[1]Hugst!$R$4:$W$4,0))))</f>
        <v>602.03212367175934</v>
      </c>
      <c r="R137">
        <f>IF($C137-R$1&lt;År1,0,Q136*(1-VLOOKUP($A137,[1]Hugst!$R$5:$W$9,MATCH(ROUNDUP((R$1)/10,0)*10,[1]Hugst!$R$4:$W$4,0))))</f>
        <v>0</v>
      </c>
      <c r="S137">
        <f>IF($C137-S$1&lt;År1,0,R136*(1-VLOOKUP($A137,[1]Hugst!$R$5:$W$9,MATCH(ROUNDUP((S$1)/10,0)*10,[1]Hugst!$R$4:$W$4,0))))</f>
        <v>0</v>
      </c>
      <c r="T137">
        <f>IF($C137-T$1&lt;År1,0,S136*(1-VLOOKUP($A137,[1]Hugst!$R$5:$W$9,MATCH(ROUNDUP((T$1)/10,0)*10,[1]Hugst!$R$4:$W$4,0))))</f>
        <v>0</v>
      </c>
      <c r="U137">
        <f>IF($C137-U$1&lt;År1,0,T136*(1-VLOOKUP($A137,[1]Hugst!$R$5:$W$9,MATCH(ROUNDUP((U$1)/10,0)*10,[1]Hugst!$R$4:$W$4,0))))</f>
        <v>0</v>
      </c>
      <c r="V137">
        <f>IF($C137-V$1&lt;År1,0,U136*(1-VLOOKUP($A137,[1]Hugst!$R$5:$W$9,MATCH(ROUNDUP((V$1)/10,0)*10,[1]Hugst!$R$4:$W$4,0))))</f>
        <v>0</v>
      </c>
      <c r="W137">
        <f>IF($C137-W$1&lt;År1,0,V136*(1-VLOOKUP($A137,[1]Hugst!$R$5:$W$9,MATCH(ROUNDUP((W$1)/10,0)*10,[1]Hugst!$R$4:$W$4,0))))</f>
        <v>0</v>
      </c>
      <c r="X137">
        <f>IF($C137-X$1&lt;År1,0,W136*(1-VLOOKUP($A137,[1]Hugst!$R$5:$W$9,MATCH(ROUNDUP((X$1)/10,0)*10,[1]Hugst!$R$4:$W$4,0))))</f>
        <v>0</v>
      </c>
      <c r="Y137">
        <f>IF($C137-Y$1&lt;År1,0,X136*(1-VLOOKUP($A137,[1]Hugst!$R$5:$W$9,MATCH(ROUNDUP((Y$1)/10,0)*10,[1]Hugst!$R$4:$W$4,0))))</f>
        <v>0</v>
      </c>
      <c r="Z137">
        <f>IF($C137-Z$1&lt;År1,0,Y136*(1-VLOOKUP($A137,[1]Hugst!$R$5:$W$9,MATCH(ROUNDUP((Z$1)/10,0)*10,[1]Hugst!$R$4:$W$4,0))))</f>
        <v>0</v>
      </c>
      <c r="AA137">
        <f>IF($C137-AA$1&lt;År1,0,Z136*(1-VLOOKUP($A137,[1]Hugst!$R$5:$W$9,MATCH(ROUNDUP((AA$1)/10,0)*10,[1]Hugst!$R$4:$W$4,0))))</f>
        <v>0</v>
      </c>
      <c r="AB137">
        <f>IF($C137-AB$1&lt;År1,0,AA136*(1-VLOOKUP($A137,[1]Hugst!$R$5:$W$9,MATCH(ROUNDUP((AB$1)/10,0)*10,[1]Hugst!$R$4:$W$4,0))))</f>
        <v>0</v>
      </c>
      <c r="AC137">
        <f>IF($C137-AC$1&lt;År1,0,AB136*(1-VLOOKUP($A137,[1]Hugst!$R$5:$W$9,MATCH(ROUNDUP((AC$1)/10,0)*10,[1]Hugst!$R$4:$W$4,0))))</f>
        <v>0</v>
      </c>
      <c r="AD137">
        <f>IF($C137-AD$1&lt;År1,0,AC136*(1-VLOOKUP($A137,[1]Hugst!$R$5:$W$9,MATCH(ROUNDUP((AD$1)/10,0)*10,[1]Hugst!$R$4:$W$4,0))))</f>
        <v>0</v>
      </c>
      <c r="AE137">
        <f>IF($C137-AE$1&lt;År1,0,AD136*(1-VLOOKUP($A137,[1]Hugst!$R$5:$W$9,MATCH(ROUNDUP((AE$1)/10,0)*10,[1]Hugst!$R$4:$W$4,0))))</f>
        <v>0</v>
      </c>
      <c r="AF137">
        <f>IF($C137-AF$1&lt;År1,0,AE136*(1-VLOOKUP($A137,[1]Hugst!$R$5:$W$9,MATCH(ROUNDUP((AF$1)/10,0)*10,[1]Hugst!$R$4:$W$4,0))))</f>
        <v>0</v>
      </c>
      <c r="AG137">
        <f>IF($C137-AG$1&lt;År1,0,AF136*(1-VLOOKUP($A137,[1]Hugst!$R$5:$W$9,MATCH(ROUNDUP((AG$1)/10,0)*10,[1]Hugst!$R$4:$W$4,0))))</f>
        <v>0</v>
      </c>
      <c r="AH137">
        <f>IF($C137-AH$1&lt;År1,0,AG136*(1-VLOOKUP($A137,[1]Hugst!$R$5:$W$9,MATCH(ROUNDUP((AH$1)/10,0)*10,[1]Hugst!$R$4:$W$4,0))))</f>
        <v>0</v>
      </c>
      <c r="AI137">
        <f>IF($C137-AI$1&lt;År1,0,AH136*(1-VLOOKUP($A137,[1]Hugst!$R$5:$W$9,MATCH(ROUNDUP((AI$1)/10,0)*10,[1]Hugst!$R$4:$W$4,0))))</f>
        <v>0</v>
      </c>
      <c r="AJ137">
        <f>IF($C137-AJ$1&lt;År1,0,AI136*(1-VLOOKUP($A137,[1]Hugst!$R$5:$W$9,MATCH(ROUNDUP((AJ$1)/10,0)*10,[1]Hugst!$R$4:$W$4,0))))</f>
        <v>0</v>
      </c>
    </row>
    <row r="138" spans="1:36" x14ac:dyDescent="0.25">
      <c r="A138" t="s">
        <v>178</v>
      </c>
      <c r="B138" t="s">
        <v>23</v>
      </c>
      <c r="C138">
        <v>2032</v>
      </c>
      <c r="D138" cm="1">
        <f t="array" ref="D138">(IF(B138="Vestdanmark",Skovbrug!$C$22-(Skovbrug!$C$22)*(1-Skovbrug!$C$9)^(C138-Skovbrug!$B$12),Skovbrug!$F$22-(Skovbrug!$F$22)*(1-Skovbrug!$C$9)^(C138-Skovbrug!$B$12)))*VLOOKUP(A138,Skovbrug!$A$13:$D$17,IF('Skovbrug-alder'!C138&lt;=År2,3,4),FALSE)
-IF(C138&gt;2020,SUM(INDEX($C$1:$D$311,MATCH(1,(2020=$C$1:$C$311)*(B138=$B$1:$B$311)*(A138=$A$1:$A$311),0),2):D137),0)</f>
        <v>102.41666900989367</v>
      </c>
      <c r="E138">
        <f t="shared" ca="1" si="3"/>
        <v>0</v>
      </c>
      <c r="F13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373.71296530619003</v>
      </c>
      <c r="G138">
        <f ca="1">IF($C138-G$1&lt;År1,0,F137*(1-VLOOKUP($A138,[1]Hugst!$R$5:$W$9,MATCH(ROUNDUP((G$1)/10,0)*10,[1]Hugst!$R$4:$W$4,0))))</f>
        <v>374.22762193437535</v>
      </c>
      <c r="H138">
        <f ca="1">IF($C138-H$1&lt;År1,0,G137*(1-VLOOKUP($A138,[1]Hugst!$R$5:$W$9,MATCH(ROUNDUP((H$1)/10,0)*10,[1]Hugst!$R$4:$W$4,0))))</f>
        <v>596.71456174648119</v>
      </c>
      <c r="I138">
        <f ca="1">IF($C138-I$1&lt;År1,0,H137*(1-VLOOKUP($A138,[1]Hugst!$R$5:$W$9,MATCH(ROUNDUP((I$1)/10,0)*10,[1]Hugst!$R$4:$W$4,0))))</f>
        <v>597.23440379914155</v>
      </c>
      <c r="J138">
        <f ca="1">IF($C138-J$1&lt;År1,0,I137*(1-VLOOKUP($A138,[1]Hugst!$R$5:$W$9,MATCH(ROUNDUP((J$1)/10,0)*10,[1]Hugst!$R$4:$W$4,0))))</f>
        <v>597.75685812343352</v>
      </c>
      <c r="K138">
        <f ca="1">IF($C138-K$1&lt;År1,0,J137*(1-VLOOKUP($A138,[1]Hugst!$R$5:$W$9,MATCH(ROUNDUP((K$1)/10,0)*10,[1]Hugst!$R$4:$W$4,0))))</f>
        <v>598.28193784633402</v>
      </c>
      <c r="L138">
        <f ca="1">IF($C138-L$1&lt;År1,0,K137*(1-VLOOKUP($A138,[1]Hugst!$R$5:$W$9,MATCH(ROUNDUP((L$1)/10,0)*10,[1]Hugst!$R$4:$W$4,0))))</f>
        <v>598.80965616080709</v>
      </c>
      <c r="M138">
        <f ca="1">IF($C138-M$1&lt;År1,0,L137*(1-VLOOKUP($A138,[1]Hugst!$R$5:$W$9,MATCH(ROUNDUP((M$1)/10,0)*10,[1]Hugst!$R$4:$W$4,0))))</f>
        <v>599.34002632610714</v>
      </c>
      <c r="N138">
        <f ca="1">IF($C138-N$1&lt;År1,0,M137*(1-VLOOKUP($A138,[1]Hugst!$R$5:$W$9,MATCH(ROUNDUP((N$1)/10,0)*10,[1]Hugst!$R$4:$W$4,0))))</f>
        <v>599.87306166811823</v>
      </c>
      <c r="O138">
        <f ca="1">IF($C138-O$1&lt;År1,0,N137*(1-VLOOKUP($A138,[1]Hugst!$R$5:$W$9,MATCH(ROUNDUP((O$1)/10,0)*10,[1]Hugst!$R$4:$W$4,0))))</f>
        <v>600.40877557968702</v>
      </c>
      <c r="P138">
        <f ca="1">IF($C138-P$1&lt;År1,0,O137*(1-VLOOKUP($A138,[1]Hugst!$R$5:$W$9,MATCH(ROUNDUP((P$1)/10,0)*10,[1]Hugst!$R$4:$W$4,0))))</f>
        <v>600.94718152096243</v>
      </c>
      <c r="Q138">
        <f ca="1">IF($C138-Q$1&lt;År1,0,P137*(1-VLOOKUP($A138,[1]Hugst!$R$5:$W$9,MATCH(ROUNDUP((Q$1)/10,0)*10,[1]Hugst!$R$4:$W$4,0))))</f>
        <v>601.48829301972796</v>
      </c>
      <c r="R138">
        <f ca="1">IF($C138-R$1&lt;År1,0,Q137*(1-VLOOKUP($A138,[1]Hugst!$R$5:$W$9,MATCH(ROUNDUP((R$1)/10,0)*10,[1]Hugst!$R$4:$W$4,0))))</f>
        <v>602.03212367175934</v>
      </c>
      <c r="S138">
        <f>IF($C138-S$1&lt;År1,0,R137*(1-VLOOKUP($A138,[1]Hugst!$R$5:$W$9,MATCH(ROUNDUP((S$1)/10,0)*10,[1]Hugst!$R$4:$W$4,0))))</f>
        <v>0</v>
      </c>
      <c r="T138">
        <f>IF($C138-T$1&lt;År1,0,S137*(1-VLOOKUP($A138,[1]Hugst!$R$5:$W$9,MATCH(ROUNDUP((T$1)/10,0)*10,[1]Hugst!$R$4:$W$4,0))))</f>
        <v>0</v>
      </c>
      <c r="U138">
        <f>IF($C138-U$1&lt;År1,0,T137*(1-VLOOKUP($A138,[1]Hugst!$R$5:$W$9,MATCH(ROUNDUP((U$1)/10,0)*10,[1]Hugst!$R$4:$W$4,0))))</f>
        <v>0</v>
      </c>
      <c r="V138">
        <f>IF($C138-V$1&lt;År1,0,U137*(1-VLOOKUP($A138,[1]Hugst!$R$5:$W$9,MATCH(ROUNDUP((V$1)/10,0)*10,[1]Hugst!$R$4:$W$4,0))))</f>
        <v>0</v>
      </c>
      <c r="W138">
        <f>IF($C138-W$1&lt;År1,0,V137*(1-VLOOKUP($A138,[1]Hugst!$R$5:$W$9,MATCH(ROUNDUP((W$1)/10,0)*10,[1]Hugst!$R$4:$W$4,0))))</f>
        <v>0</v>
      </c>
      <c r="X138">
        <f>IF($C138-X$1&lt;År1,0,W137*(1-VLOOKUP($A138,[1]Hugst!$R$5:$W$9,MATCH(ROUNDUP((X$1)/10,0)*10,[1]Hugst!$R$4:$W$4,0))))</f>
        <v>0</v>
      </c>
      <c r="Y138">
        <f>IF($C138-Y$1&lt;År1,0,X137*(1-VLOOKUP($A138,[1]Hugst!$R$5:$W$9,MATCH(ROUNDUP((Y$1)/10,0)*10,[1]Hugst!$R$4:$W$4,0))))</f>
        <v>0</v>
      </c>
      <c r="Z138">
        <f>IF($C138-Z$1&lt;År1,0,Y137*(1-VLOOKUP($A138,[1]Hugst!$R$5:$W$9,MATCH(ROUNDUP((Z$1)/10,0)*10,[1]Hugst!$R$4:$W$4,0))))</f>
        <v>0</v>
      </c>
      <c r="AA138">
        <f>IF($C138-AA$1&lt;År1,0,Z137*(1-VLOOKUP($A138,[1]Hugst!$R$5:$W$9,MATCH(ROUNDUP((AA$1)/10,0)*10,[1]Hugst!$R$4:$W$4,0))))</f>
        <v>0</v>
      </c>
      <c r="AB138">
        <f>IF($C138-AB$1&lt;År1,0,AA137*(1-VLOOKUP($A138,[1]Hugst!$R$5:$W$9,MATCH(ROUNDUP((AB$1)/10,0)*10,[1]Hugst!$R$4:$W$4,0))))</f>
        <v>0</v>
      </c>
      <c r="AC138">
        <f>IF($C138-AC$1&lt;År1,0,AB137*(1-VLOOKUP($A138,[1]Hugst!$R$5:$W$9,MATCH(ROUNDUP((AC$1)/10,0)*10,[1]Hugst!$R$4:$W$4,0))))</f>
        <v>0</v>
      </c>
      <c r="AD138">
        <f>IF($C138-AD$1&lt;År1,0,AC137*(1-VLOOKUP($A138,[1]Hugst!$R$5:$W$9,MATCH(ROUNDUP((AD$1)/10,0)*10,[1]Hugst!$R$4:$W$4,0))))</f>
        <v>0</v>
      </c>
      <c r="AE138">
        <f>IF($C138-AE$1&lt;År1,0,AD137*(1-VLOOKUP($A138,[1]Hugst!$R$5:$W$9,MATCH(ROUNDUP((AE$1)/10,0)*10,[1]Hugst!$R$4:$W$4,0))))</f>
        <v>0</v>
      </c>
      <c r="AF138">
        <f>IF($C138-AF$1&lt;År1,0,AE137*(1-VLOOKUP($A138,[1]Hugst!$R$5:$W$9,MATCH(ROUNDUP((AF$1)/10,0)*10,[1]Hugst!$R$4:$W$4,0))))</f>
        <v>0</v>
      </c>
      <c r="AG138">
        <f>IF($C138-AG$1&lt;År1,0,AF137*(1-VLOOKUP($A138,[1]Hugst!$R$5:$W$9,MATCH(ROUNDUP((AG$1)/10,0)*10,[1]Hugst!$R$4:$W$4,0))))</f>
        <v>0</v>
      </c>
      <c r="AH138">
        <f>IF($C138-AH$1&lt;År1,0,AG137*(1-VLOOKUP($A138,[1]Hugst!$R$5:$W$9,MATCH(ROUNDUP((AH$1)/10,0)*10,[1]Hugst!$R$4:$W$4,0))))</f>
        <v>0</v>
      </c>
      <c r="AI138">
        <f>IF($C138-AI$1&lt;År1,0,AH137*(1-VLOOKUP($A138,[1]Hugst!$R$5:$W$9,MATCH(ROUNDUP((AI$1)/10,0)*10,[1]Hugst!$R$4:$W$4,0))))</f>
        <v>0</v>
      </c>
      <c r="AJ138">
        <f>IF($C138-AJ$1&lt;År1,0,AI137*(1-VLOOKUP($A138,[1]Hugst!$R$5:$W$9,MATCH(ROUNDUP((AJ$1)/10,0)*10,[1]Hugst!$R$4:$W$4,0))))</f>
        <v>0</v>
      </c>
    </row>
    <row r="139" spans="1:36" x14ac:dyDescent="0.25">
      <c r="A139" t="s">
        <v>178</v>
      </c>
      <c r="B139" t="s">
        <v>23</v>
      </c>
      <c r="C139">
        <v>2033</v>
      </c>
      <c r="D139" cm="1">
        <f t="array" ref="D139">(IF(B139="Vestdanmark",Skovbrug!$C$22-(Skovbrug!$C$22)*(1-Skovbrug!$C$9)^(C139-Skovbrug!$B$12),Skovbrug!$F$22-(Skovbrug!$F$22)*(1-Skovbrug!$C$9)^(C139-Skovbrug!$B$12)))*VLOOKUP(A139,Skovbrug!$A$13:$D$17,IF('Skovbrug-alder'!C139&lt;=År2,3,4),FALSE)
-IF(C139&gt;2020,SUM(INDEX($C$1:$D$311,MATCH(1,(2020=$C$1:$C$311)*(B139=$B$1:$B$311)*(A139=$A$1:$A$311),0),2):D138),0)</f>
        <v>101.90458566484153</v>
      </c>
      <c r="E139">
        <f t="shared" ca="1" si="3"/>
        <v>0</v>
      </c>
      <c r="F139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373.2008819611379</v>
      </c>
      <c r="G139">
        <f ca="1">IF($C139-G$1&lt;År1,0,F138*(1-VLOOKUP($A139,[1]Hugst!$R$5:$W$9,MATCH(ROUNDUP((G$1)/10,0)*10,[1]Hugst!$R$4:$W$4,0))))</f>
        <v>373.71296530619003</v>
      </c>
      <c r="H139">
        <f ca="1">IF($C139-H$1&lt;År1,0,G138*(1-VLOOKUP($A139,[1]Hugst!$R$5:$W$9,MATCH(ROUNDUP((H$1)/10,0)*10,[1]Hugst!$R$4:$W$4,0))))</f>
        <v>374.22762193437535</v>
      </c>
      <c r="I139">
        <f ca="1">IF($C139-I$1&lt;År1,0,H138*(1-VLOOKUP($A139,[1]Hugst!$R$5:$W$9,MATCH(ROUNDUP((I$1)/10,0)*10,[1]Hugst!$R$4:$W$4,0))))</f>
        <v>596.71456174648119</v>
      </c>
      <c r="J139">
        <f ca="1">IF($C139-J$1&lt;År1,0,I138*(1-VLOOKUP($A139,[1]Hugst!$R$5:$W$9,MATCH(ROUNDUP((J$1)/10,0)*10,[1]Hugst!$R$4:$W$4,0))))</f>
        <v>597.23440379914155</v>
      </c>
      <c r="K139">
        <f ca="1">IF($C139-K$1&lt;År1,0,J138*(1-VLOOKUP($A139,[1]Hugst!$R$5:$W$9,MATCH(ROUNDUP((K$1)/10,0)*10,[1]Hugst!$R$4:$W$4,0))))</f>
        <v>597.75685812343352</v>
      </c>
      <c r="L139">
        <f ca="1">IF($C139-L$1&lt;År1,0,K138*(1-VLOOKUP($A139,[1]Hugst!$R$5:$W$9,MATCH(ROUNDUP((L$1)/10,0)*10,[1]Hugst!$R$4:$W$4,0))))</f>
        <v>598.28193784633402</v>
      </c>
      <c r="M139">
        <f ca="1">IF($C139-M$1&lt;År1,0,L138*(1-VLOOKUP($A139,[1]Hugst!$R$5:$W$9,MATCH(ROUNDUP((M$1)/10,0)*10,[1]Hugst!$R$4:$W$4,0))))</f>
        <v>598.80965616080709</v>
      </c>
      <c r="N139">
        <f ca="1">IF($C139-N$1&lt;År1,0,M138*(1-VLOOKUP($A139,[1]Hugst!$R$5:$W$9,MATCH(ROUNDUP((N$1)/10,0)*10,[1]Hugst!$R$4:$W$4,0))))</f>
        <v>599.34002632610714</v>
      </c>
      <c r="O139">
        <f ca="1">IF($C139-O$1&lt;År1,0,N138*(1-VLOOKUP($A139,[1]Hugst!$R$5:$W$9,MATCH(ROUNDUP((O$1)/10,0)*10,[1]Hugst!$R$4:$W$4,0))))</f>
        <v>599.87306166811823</v>
      </c>
      <c r="P139">
        <f ca="1">IF($C139-P$1&lt;År1,0,O138*(1-VLOOKUP($A139,[1]Hugst!$R$5:$W$9,MATCH(ROUNDUP((P$1)/10,0)*10,[1]Hugst!$R$4:$W$4,0))))</f>
        <v>600.40877557968702</v>
      </c>
      <c r="Q139">
        <f ca="1">IF($C139-Q$1&lt;År1,0,P138*(1-VLOOKUP($A139,[1]Hugst!$R$5:$W$9,MATCH(ROUNDUP((Q$1)/10,0)*10,[1]Hugst!$R$4:$W$4,0))))</f>
        <v>600.94718152096243</v>
      </c>
      <c r="R139">
        <f ca="1">IF($C139-R$1&lt;År1,0,Q138*(1-VLOOKUP($A139,[1]Hugst!$R$5:$W$9,MATCH(ROUNDUP((R$1)/10,0)*10,[1]Hugst!$R$4:$W$4,0))))</f>
        <v>601.48829301972796</v>
      </c>
      <c r="S139">
        <f ca="1">IF($C139-S$1&lt;År1,0,R138*(1-VLOOKUP($A139,[1]Hugst!$R$5:$W$9,MATCH(ROUNDUP((S$1)/10,0)*10,[1]Hugst!$R$4:$W$4,0))))</f>
        <v>602.03212367175934</v>
      </c>
      <c r="T139">
        <f>IF($C139-T$1&lt;År1,0,S138*(1-VLOOKUP($A139,[1]Hugst!$R$5:$W$9,MATCH(ROUNDUP((T$1)/10,0)*10,[1]Hugst!$R$4:$W$4,0))))</f>
        <v>0</v>
      </c>
      <c r="U139">
        <f>IF($C139-U$1&lt;År1,0,T138*(1-VLOOKUP($A139,[1]Hugst!$R$5:$W$9,MATCH(ROUNDUP((U$1)/10,0)*10,[1]Hugst!$R$4:$W$4,0))))</f>
        <v>0</v>
      </c>
      <c r="V139">
        <f>IF($C139-V$1&lt;År1,0,U138*(1-VLOOKUP($A139,[1]Hugst!$R$5:$W$9,MATCH(ROUNDUP((V$1)/10,0)*10,[1]Hugst!$R$4:$W$4,0))))</f>
        <v>0</v>
      </c>
      <c r="W139">
        <f>IF($C139-W$1&lt;År1,0,V138*(1-VLOOKUP($A139,[1]Hugst!$R$5:$W$9,MATCH(ROUNDUP((W$1)/10,0)*10,[1]Hugst!$R$4:$W$4,0))))</f>
        <v>0</v>
      </c>
      <c r="X139">
        <f>IF($C139-X$1&lt;År1,0,W138*(1-VLOOKUP($A139,[1]Hugst!$R$5:$W$9,MATCH(ROUNDUP((X$1)/10,0)*10,[1]Hugst!$R$4:$W$4,0))))</f>
        <v>0</v>
      </c>
      <c r="Y139">
        <f>IF($C139-Y$1&lt;År1,0,X138*(1-VLOOKUP($A139,[1]Hugst!$R$5:$W$9,MATCH(ROUNDUP((Y$1)/10,0)*10,[1]Hugst!$R$4:$W$4,0))))</f>
        <v>0</v>
      </c>
      <c r="Z139">
        <f>IF($C139-Z$1&lt;År1,0,Y138*(1-VLOOKUP($A139,[1]Hugst!$R$5:$W$9,MATCH(ROUNDUP((Z$1)/10,0)*10,[1]Hugst!$R$4:$W$4,0))))</f>
        <v>0</v>
      </c>
      <c r="AA139">
        <f>IF($C139-AA$1&lt;År1,0,Z138*(1-VLOOKUP($A139,[1]Hugst!$R$5:$W$9,MATCH(ROUNDUP((AA$1)/10,0)*10,[1]Hugst!$R$4:$W$4,0))))</f>
        <v>0</v>
      </c>
      <c r="AB139">
        <f>IF($C139-AB$1&lt;År1,0,AA138*(1-VLOOKUP($A139,[1]Hugst!$R$5:$W$9,MATCH(ROUNDUP((AB$1)/10,0)*10,[1]Hugst!$R$4:$W$4,0))))</f>
        <v>0</v>
      </c>
      <c r="AC139">
        <f>IF($C139-AC$1&lt;År1,0,AB138*(1-VLOOKUP($A139,[1]Hugst!$R$5:$W$9,MATCH(ROUNDUP((AC$1)/10,0)*10,[1]Hugst!$R$4:$W$4,0))))</f>
        <v>0</v>
      </c>
      <c r="AD139">
        <f>IF($C139-AD$1&lt;År1,0,AC138*(1-VLOOKUP($A139,[1]Hugst!$R$5:$W$9,MATCH(ROUNDUP((AD$1)/10,0)*10,[1]Hugst!$R$4:$W$4,0))))</f>
        <v>0</v>
      </c>
      <c r="AE139">
        <f>IF($C139-AE$1&lt;År1,0,AD138*(1-VLOOKUP($A139,[1]Hugst!$R$5:$W$9,MATCH(ROUNDUP((AE$1)/10,0)*10,[1]Hugst!$R$4:$W$4,0))))</f>
        <v>0</v>
      </c>
      <c r="AF139">
        <f>IF($C139-AF$1&lt;År1,0,AE138*(1-VLOOKUP($A139,[1]Hugst!$R$5:$W$9,MATCH(ROUNDUP((AF$1)/10,0)*10,[1]Hugst!$R$4:$W$4,0))))</f>
        <v>0</v>
      </c>
      <c r="AG139">
        <f>IF($C139-AG$1&lt;År1,0,AF138*(1-VLOOKUP($A139,[1]Hugst!$R$5:$W$9,MATCH(ROUNDUP((AG$1)/10,0)*10,[1]Hugst!$R$4:$W$4,0))))</f>
        <v>0</v>
      </c>
      <c r="AH139">
        <f>IF($C139-AH$1&lt;År1,0,AG138*(1-VLOOKUP($A139,[1]Hugst!$R$5:$W$9,MATCH(ROUNDUP((AH$1)/10,0)*10,[1]Hugst!$R$4:$W$4,0))))</f>
        <v>0</v>
      </c>
      <c r="AI139">
        <f>IF($C139-AI$1&lt;År1,0,AH138*(1-VLOOKUP($A139,[1]Hugst!$R$5:$W$9,MATCH(ROUNDUP((AI$1)/10,0)*10,[1]Hugst!$R$4:$W$4,0))))</f>
        <v>0</v>
      </c>
      <c r="AJ139">
        <f>IF($C139-AJ$1&lt;År1,0,AI138*(1-VLOOKUP($A139,[1]Hugst!$R$5:$W$9,MATCH(ROUNDUP((AJ$1)/10,0)*10,[1]Hugst!$R$4:$W$4,0))))</f>
        <v>0</v>
      </c>
    </row>
    <row r="140" spans="1:36" x14ac:dyDescent="0.25">
      <c r="A140" t="s">
        <v>178</v>
      </c>
      <c r="B140" t="s">
        <v>23</v>
      </c>
      <c r="C140">
        <v>2034</v>
      </c>
      <c r="D140" cm="1">
        <f t="array" ref="D140">(IF(B140="Vestdanmark",Skovbrug!$C$22-(Skovbrug!$C$22)*(1-Skovbrug!$C$9)^(C140-Skovbrug!$B$12),Skovbrug!$F$22-(Skovbrug!$F$22)*(1-Skovbrug!$C$9)^(C140-Skovbrug!$B$12)))*VLOOKUP(A140,Skovbrug!$A$13:$D$17,IF('Skovbrug-alder'!C140&lt;=År2,3,4),FALSE)
-IF(C140&gt;2020,SUM(INDEX($C$1:$D$311,MATCH(1,(2020=$C$1:$C$311)*(B140=$B$1:$B$311)*(A140=$A$1:$A$311),0),2):D139),0)</f>
        <v>101.39506273651773</v>
      </c>
      <c r="E140">
        <f t="shared" ca="1" si="3"/>
        <v>0</v>
      </c>
      <c r="F140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372.69135903281409</v>
      </c>
      <c r="G140">
        <f ca="1">IF($C140-G$1&lt;År1,0,F139*(1-VLOOKUP($A140,[1]Hugst!$R$5:$W$9,MATCH(ROUNDUP((G$1)/10,0)*10,[1]Hugst!$R$4:$W$4,0))))</f>
        <v>373.2008819611379</v>
      </c>
      <c r="H140">
        <f ca="1">IF($C140-H$1&lt;År1,0,G139*(1-VLOOKUP($A140,[1]Hugst!$R$5:$W$9,MATCH(ROUNDUP((H$1)/10,0)*10,[1]Hugst!$R$4:$W$4,0))))</f>
        <v>373.71296530619003</v>
      </c>
      <c r="I140">
        <f ca="1">IF($C140-I$1&lt;År1,0,H139*(1-VLOOKUP($A140,[1]Hugst!$R$5:$W$9,MATCH(ROUNDUP((I$1)/10,0)*10,[1]Hugst!$R$4:$W$4,0))))</f>
        <v>374.22762193437535</v>
      </c>
      <c r="J140">
        <f ca="1">IF($C140-J$1&lt;År1,0,I139*(1-VLOOKUP($A140,[1]Hugst!$R$5:$W$9,MATCH(ROUNDUP((J$1)/10,0)*10,[1]Hugst!$R$4:$W$4,0))))</f>
        <v>596.71456174648119</v>
      </c>
      <c r="K140">
        <f ca="1">IF($C140-K$1&lt;År1,0,J139*(1-VLOOKUP($A140,[1]Hugst!$R$5:$W$9,MATCH(ROUNDUP((K$1)/10,0)*10,[1]Hugst!$R$4:$W$4,0))))</f>
        <v>597.23440379914155</v>
      </c>
      <c r="L140">
        <f ca="1">IF($C140-L$1&lt;År1,0,K139*(1-VLOOKUP($A140,[1]Hugst!$R$5:$W$9,MATCH(ROUNDUP((L$1)/10,0)*10,[1]Hugst!$R$4:$W$4,0))))</f>
        <v>597.75685812343352</v>
      </c>
      <c r="M140">
        <f ca="1">IF($C140-M$1&lt;År1,0,L139*(1-VLOOKUP($A140,[1]Hugst!$R$5:$W$9,MATCH(ROUNDUP((M$1)/10,0)*10,[1]Hugst!$R$4:$W$4,0))))</f>
        <v>598.28193784633402</v>
      </c>
      <c r="N140">
        <f ca="1">IF($C140-N$1&lt;År1,0,M139*(1-VLOOKUP($A140,[1]Hugst!$R$5:$W$9,MATCH(ROUNDUP((N$1)/10,0)*10,[1]Hugst!$R$4:$W$4,0))))</f>
        <v>598.80965616080709</v>
      </c>
      <c r="O140">
        <f ca="1">IF($C140-O$1&lt;År1,0,N139*(1-VLOOKUP($A140,[1]Hugst!$R$5:$W$9,MATCH(ROUNDUP((O$1)/10,0)*10,[1]Hugst!$R$4:$W$4,0))))</f>
        <v>599.34002632610714</v>
      </c>
      <c r="P140">
        <f ca="1">IF($C140-P$1&lt;År1,0,O139*(1-VLOOKUP($A140,[1]Hugst!$R$5:$W$9,MATCH(ROUNDUP((P$1)/10,0)*10,[1]Hugst!$R$4:$W$4,0))))</f>
        <v>599.87306166811823</v>
      </c>
      <c r="Q140">
        <f ca="1">IF($C140-Q$1&lt;År1,0,P139*(1-VLOOKUP($A140,[1]Hugst!$R$5:$W$9,MATCH(ROUNDUP((Q$1)/10,0)*10,[1]Hugst!$R$4:$W$4,0))))</f>
        <v>600.40877557968702</v>
      </c>
      <c r="R140">
        <f ca="1">IF($C140-R$1&lt;År1,0,Q139*(1-VLOOKUP($A140,[1]Hugst!$R$5:$W$9,MATCH(ROUNDUP((R$1)/10,0)*10,[1]Hugst!$R$4:$W$4,0))))</f>
        <v>600.94718152096243</v>
      </c>
      <c r="S140">
        <f ca="1">IF($C140-S$1&lt;År1,0,R139*(1-VLOOKUP($A140,[1]Hugst!$R$5:$W$9,MATCH(ROUNDUP((S$1)/10,0)*10,[1]Hugst!$R$4:$W$4,0))))</f>
        <v>601.48829301972796</v>
      </c>
      <c r="T140">
        <f ca="1">IF($C140-T$1&lt;År1,0,S139*(1-VLOOKUP($A140,[1]Hugst!$R$5:$W$9,MATCH(ROUNDUP((T$1)/10,0)*10,[1]Hugst!$R$4:$W$4,0))))</f>
        <v>602.03212367175934</v>
      </c>
      <c r="U140">
        <f>IF($C140-U$1&lt;År1,0,T139*(1-VLOOKUP($A140,[1]Hugst!$R$5:$W$9,MATCH(ROUNDUP((U$1)/10,0)*10,[1]Hugst!$R$4:$W$4,0))))</f>
        <v>0</v>
      </c>
      <c r="V140">
        <f>IF($C140-V$1&lt;År1,0,U139*(1-VLOOKUP($A140,[1]Hugst!$R$5:$W$9,MATCH(ROUNDUP((V$1)/10,0)*10,[1]Hugst!$R$4:$W$4,0))))</f>
        <v>0</v>
      </c>
      <c r="W140">
        <f>IF($C140-W$1&lt;År1,0,V139*(1-VLOOKUP($A140,[1]Hugst!$R$5:$W$9,MATCH(ROUNDUP((W$1)/10,0)*10,[1]Hugst!$R$4:$W$4,0))))</f>
        <v>0</v>
      </c>
      <c r="X140">
        <f>IF($C140-X$1&lt;År1,0,W139*(1-VLOOKUP($A140,[1]Hugst!$R$5:$W$9,MATCH(ROUNDUP((X$1)/10,0)*10,[1]Hugst!$R$4:$W$4,0))))</f>
        <v>0</v>
      </c>
      <c r="Y140">
        <f>IF($C140-Y$1&lt;År1,0,X139*(1-VLOOKUP($A140,[1]Hugst!$R$5:$W$9,MATCH(ROUNDUP((Y$1)/10,0)*10,[1]Hugst!$R$4:$W$4,0))))</f>
        <v>0</v>
      </c>
      <c r="Z140">
        <f>IF($C140-Z$1&lt;År1,0,Y139*(1-VLOOKUP($A140,[1]Hugst!$R$5:$W$9,MATCH(ROUNDUP((Z$1)/10,0)*10,[1]Hugst!$R$4:$W$4,0))))</f>
        <v>0</v>
      </c>
      <c r="AA140">
        <f>IF($C140-AA$1&lt;År1,0,Z139*(1-VLOOKUP($A140,[1]Hugst!$R$5:$W$9,MATCH(ROUNDUP((AA$1)/10,0)*10,[1]Hugst!$R$4:$W$4,0))))</f>
        <v>0</v>
      </c>
      <c r="AB140">
        <f>IF($C140-AB$1&lt;År1,0,AA139*(1-VLOOKUP($A140,[1]Hugst!$R$5:$W$9,MATCH(ROUNDUP((AB$1)/10,0)*10,[1]Hugst!$R$4:$W$4,0))))</f>
        <v>0</v>
      </c>
      <c r="AC140">
        <f>IF($C140-AC$1&lt;År1,0,AB139*(1-VLOOKUP($A140,[1]Hugst!$R$5:$W$9,MATCH(ROUNDUP((AC$1)/10,0)*10,[1]Hugst!$R$4:$W$4,0))))</f>
        <v>0</v>
      </c>
      <c r="AD140">
        <f>IF($C140-AD$1&lt;År1,0,AC139*(1-VLOOKUP($A140,[1]Hugst!$R$5:$W$9,MATCH(ROUNDUP((AD$1)/10,0)*10,[1]Hugst!$R$4:$W$4,0))))</f>
        <v>0</v>
      </c>
      <c r="AE140">
        <f>IF($C140-AE$1&lt;År1,0,AD139*(1-VLOOKUP($A140,[1]Hugst!$R$5:$W$9,MATCH(ROUNDUP((AE$1)/10,0)*10,[1]Hugst!$R$4:$W$4,0))))</f>
        <v>0</v>
      </c>
      <c r="AF140">
        <f>IF($C140-AF$1&lt;År1,0,AE139*(1-VLOOKUP($A140,[1]Hugst!$R$5:$W$9,MATCH(ROUNDUP((AF$1)/10,0)*10,[1]Hugst!$R$4:$W$4,0))))</f>
        <v>0</v>
      </c>
      <c r="AG140">
        <f>IF($C140-AG$1&lt;År1,0,AF139*(1-VLOOKUP($A140,[1]Hugst!$R$5:$W$9,MATCH(ROUNDUP((AG$1)/10,0)*10,[1]Hugst!$R$4:$W$4,0))))</f>
        <v>0</v>
      </c>
      <c r="AH140">
        <f>IF($C140-AH$1&lt;År1,0,AG139*(1-VLOOKUP($A140,[1]Hugst!$R$5:$W$9,MATCH(ROUNDUP((AH$1)/10,0)*10,[1]Hugst!$R$4:$W$4,0))))</f>
        <v>0</v>
      </c>
      <c r="AI140">
        <f>IF($C140-AI$1&lt;År1,0,AH139*(1-VLOOKUP($A140,[1]Hugst!$R$5:$W$9,MATCH(ROUNDUP((AI$1)/10,0)*10,[1]Hugst!$R$4:$W$4,0))))</f>
        <v>0</v>
      </c>
      <c r="AJ140">
        <f>IF($C140-AJ$1&lt;År1,0,AI139*(1-VLOOKUP($A140,[1]Hugst!$R$5:$W$9,MATCH(ROUNDUP((AJ$1)/10,0)*10,[1]Hugst!$R$4:$W$4,0))))</f>
        <v>0</v>
      </c>
    </row>
    <row r="141" spans="1:36" x14ac:dyDescent="0.25">
      <c r="A141" t="s">
        <v>178</v>
      </c>
      <c r="B141" t="s">
        <v>23</v>
      </c>
      <c r="C141">
        <v>2035</v>
      </c>
      <c r="D141" cm="1">
        <f t="array" ref="D141">(IF(B141="Vestdanmark",Skovbrug!$C$22-(Skovbrug!$C$22)*(1-Skovbrug!$C$9)^(C141-Skovbrug!$B$12),Skovbrug!$F$22-(Skovbrug!$F$22)*(1-Skovbrug!$C$9)^(C141-Skovbrug!$B$12)))*VLOOKUP(A141,Skovbrug!$A$13:$D$17,IF('Skovbrug-alder'!C141&lt;=År2,3,4),FALSE)
-IF(C141&gt;2020,SUM(INDEX($C$1:$D$311,MATCH(1,(2020=$C$1:$C$311)*(B141=$B$1:$B$311)*(A141=$A$1:$A$311),0),2):D140),0)</f>
        <v>100.88808742283732</v>
      </c>
      <c r="E141">
        <f t="shared" ca="1" si="3"/>
        <v>0</v>
      </c>
      <c r="F141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372.18438371913368</v>
      </c>
      <c r="G141">
        <f ca="1">IF($C141-G$1&lt;År1,0,F140*(1-VLOOKUP($A141,[1]Hugst!$R$5:$W$9,MATCH(ROUNDUP((G$1)/10,0)*10,[1]Hugst!$R$4:$W$4,0))))</f>
        <v>372.69135903281409</v>
      </c>
      <c r="H141">
        <f ca="1">IF($C141-H$1&lt;År1,0,G140*(1-VLOOKUP($A141,[1]Hugst!$R$5:$W$9,MATCH(ROUNDUP((H$1)/10,0)*10,[1]Hugst!$R$4:$W$4,0))))</f>
        <v>373.2008819611379</v>
      </c>
      <c r="I141">
        <f ca="1">IF($C141-I$1&lt;År1,0,H140*(1-VLOOKUP($A141,[1]Hugst!$R$5:$W$9,MATCH(ROUNDUP((I$1)/10,0)*10,[1]Hugst!$R$4:$W$4,0))))</f>
        <v>373.71296530619003</v>
      </c>
      <c r="J141">
        <f ca="1">IF($C141-J$1&lt;År1,0,I140*(1-VLOOKUP($A141,[1]Hugst!$R$5:$W$9,MATCH(ROUNDUP((J$1)/10,0)*10,[1]Hugst!$R$4:$W$4,0))))</f>
        <v>374.22762193437535</v>
      </c>
      <c r="K141">
        <f ca="1">IF($C141-K$1&lt;År1,0,J140*(1-VLOOKUP($A141,[1]Hugst!$R$5:$W$9,MATCH(ROUNDUP((K$1)/10,0)*10,[1]Hugst!$R$4:$W$4,0))))</f>
        <v>596.71456174648119</v>
      </c>
      <c r="L141">
        <f ca="1">IF($C141-L$1&lt;År1,0,K140*(1-VLOOKUP($A141,[1]Hugst!$R$5:$W$9,MATCH(ROUNDUP((L$1)/10,0)*10,[1]Hugst!$R$4:$W$4,0))))</f>
        <v>597.23440379914155</v>
      </c>
      <c r="M141">
        <f ca="1">IF($C141-M$1&lt;År1,0,L140*(1-VLOOKUP($A141,[1]Hugst!$R$5:$W$9,MATCH(ROUNDUP((M$1)/10,0)*10,[1]Hugst!$R$4:$W$4,0))))</f>
        <v>597.75685812343352</v>
      </c>
      <c r="N141">
        <f ca="1">IF($C141-N$1&lt;År1,0,M140*(1-VLOOKUP($A141,[1]Hugst!$R$5:$W$9,MATCH(ROUNDUP((N$1)/10,0)*10,[1]Hugst!$R$4:$W$4,0))))</f>
        <v>598.28193784633402</v>
      </c>
      <c r="O141">
        <f ca="1">IF($C141-O$1&lt;År1,0,N140*(1-VLOOKUP($A141,[1]Hugst!$R$5:$W$9,MATCH(ROUNDUP((O$1)/10,0)*10,[1]Hugst!$R$4:$W$4,0))))</f>
        <v>598.80965616080709</v>
      </c>
      <c r="P141">
        <f ca="1">IF($C141-P$1&lt;År1,0,O140*(1-VLOOKUP($A141,[1]Hugst!$R$5:$W$9,MATCH(ROUNDUP((P$1)/10,0)*10,[1]Hugst!$R$4:$W$4,0))))</f>
        <v>599.34002632610714</v>
      </c>
      <c r="Q141">
        <f ca="1">IF($C141-Q$1&lt;År1,0,P140*(1-VLOOKUP($A141,[1]Hugst!$R$5:$W$9,MATCH(ROUNDUP((Q$1)/10,0)*10,[1]Hugst!$R$4:$W$4,0))))</f>
        <v>599.87306166811823</v>
      </c>
      <c r="R141">
        <f ca="1">IF($C141-R$1&lt;År1,0,Q140*(1-VLOOKUP($A141,[1]Hugst!$R$5:$W$9,MATCH(ROUNDUP((R$1)/10,0)*10,[1]Hugst!$R$4:$W$4,0))))</f>
        <v>600.40877557968702</v>
      </c>
      <c r="S141">
        <f ca="1">IF($C141-S$1&lt;År1,0,R140*(1-VLOOKUP($A141,[1]Hugst!$R$5:$W$9,MATCH(ROUNDUP((S$1)/10,0)*10,[1]Hugst!$R$4:$W$4,0))))</f>
        <v>600.94718152096243</v>
      </c>
      <c r="T141">
        <f ca="1">IF($C141-T$1&lt;År1,0,S140*(1-VLOOKUP($A141,[1]Hugst!$R$5:$W$9,MATCH(ROUNDUP((T$1)/10,0)*10,[1]Hugst!$R$4:$W$4,0))))</f>
        <v>601.48829301972796</v>
      </c>
      <c r="U141">
        <f ca="1">IF($C141-U$1&lt;År1,0,T140*(1-VLOOKUP($A141,[1]Hugst!$R$5:$W$9,MATCH(ROUNDUP((U$1)/10,0)*10,[1]Hugst!$R$4:$W$4,0))))</f>
        <v>602.03212367175934</v>
      </c>
      <c r="V141">
        <f>IF($C141-V$1&lt;År1,0,U140*(1-VLOOKUP($A141,[1]Hugst!$R$5:$W$9,MATCH(ROUNDUP((V$1)/10,0)*10,[1]Hugst!$R$4:$W$4,0))))</f>
        <v>0</v>
      </c>
      <c r="W141">
        <f>IF($C141-W$1&lt;År1,0,V140*(1-VLOOKUP($A141,[1]Hugst!$R$5:$W$9,MATCH(ROUNDUP((W$1)/10,0)*10,[1]Hugst!$R$4:$W$4,0))))</f>
        <v>0</v>
      </c>
      <c r="X141">
        <f>IF($C141-X$1&lt;År1,0,W140*(1-VLOOKUP($A141,[1]Hugst!$R$5:$W$9,MATCH(ROUNDUP((X$1)/10,0)*10,[1]Hugst!$R$4:$W$4,0))))</f>
        <v>0</v>
      </c>
      <c r="Y141">
        <f>IF($C141-Y$1&lt;År1,0,X140*(1-VLOOKUP($A141,[1]Hugst!$R$5:$W$9,MATCH(ROUNDUP((Y$1)/10,0)*10,[1]Hugst!$R$4:$W$4,0))))</f>
        <v>0</v>
      </c>
      <c r="Z141">
        <f>IF($C141-Z$1&lt;År1,0,Y140*(1-VLOOKUP($A141,[1]Hugst!$R$5:$W$9,MATCH(ROUNDUP((Z$1)/10,0)*10,[1]Hugst!$R$4:$W$4,0))))</f>
        <v>0</v>
      </c>
      <c r="AA141">
        <f>IF($C141-AA$1&lt;År1,0,Z140*(1-VLOOKUP($A141,[1]Hugst!$R$5:$W$9,MATCH(ROUNDUP((AA$1)/10,0)*10,[1]Hugst!$R$4:$W$4,0))))</f>
        <v>0</v>
      </c>
      <c r="AB141">
        <f>IF($C141-AB$1&lt;År1,0,AA140*(1-VLOOKUP($A141,[1]Hugst!$R$5:$W$9,MATCH(ROUNDUP((AB$1)/10,0)*10,[1]Hugst!$R$4:$W$4,0))))</f>
        <v>0</v>
      </c>
      <c r="AC141">
        <f>IF($C141-AC$1&lt;År1,0,AB140*(1-VLOOKUP($A141,[1]Hugst!$R$5:$W$9,MATCH(ROUNDUP((AC$1)/10,0)*10,[1]Hugst!$R$4:$W$4,0))))</f>
        <v>0</v>
      </c>
      <c r="AD141">
        <f>IF($C141-AD$1&lt;År1,0,AC140*(1-VLOOKUP($A141,[1]Hugst!$R$5:$W$9,MATCH(ROUNDUP((AD$1)/10,0)*10,[1]Hugst!$R$4:$W$4,0))))</f>
        <v>0</v>
      </c>
      <c r="AE141">
        <f>IF($C141-AE$1&lt;År1,0,AD140*(1-VLOOKUP($A141,[1]Hugst!$R$5:$W$9,MATCH(ROUNDUP((AE$1)/10,0)*10,[1]Hugst!$R$4:$W$4,0))))</f>
        <v>0</v>
      </c>
      <c r="AF141">
        <f>IF($C141-AF$1&lt;År1,0,AE140*(1-VLOOKUP($A141,[1]Hugst!$R$5:$W$9,MATCH(ROUNDUP((AF$1)/10,0)*10,[1]Hugst!$R$4:$W$4,0))))</f>
        <v>0</v>
      </c>
      <c r="AG141">
        <f>IF($C141-AG$1&lt;År1,0,AF140*(1-VLOOKUP($A141,[1]Hugst!$R$5:$W$9,MATCH(ROUNDUP((AG$1)/10,0)*10,[1]Hugst!$R$4:$W$4,0))))</f>
        <v>0</v>
      </c>
      <c r="AH141">
        <f>IF($C141-AH$1&lt;År1,0,AG140*(1-VLOOKUP($A141,[1]Hugst!$R$5:$W$9,MATCH(ROUNDUP((AH$1)/10,0)*10,[1]Hugst!$R$4:$W$4,0))))</f>
        <v>0</v>
      </c>
      <c r="AI141">
        <f>IF($C141-AI$1&lt;År1,0,AH140*(1-VLOOKUP($A141,[1]Hugst!$R$5:$W$9,MATCH(ROUNDUP((AI$1)/10,0)*10,[1]Hugst!$R$4:$W$4,0))))</f>
        <v>0</v>
      </c>
      <c r="AJ141">
        <f>IF($C141-AJ$1&lt;År1,0,AI140*(1-VLOOKUP($A141,[1]Hugst!$R$5:$W$9,MATCH(ROUNDUP((AJ$1)/10,0)*10,[1]Hugst!$R$4:$W$4,0))))</f>
        <v>0</v>
      </c>
    </row>
    <row r="142" spans="1:36" x14ac:dyDescent="0.25">
      <c r="A142" t="s">
        <v>178</v>
      </c>
      <c r="B142" t="s">
        <v>23</v>
      </c>
      <c r="C142">
        <v>2036</v>
      </c>
      <c r="D142" cm="1">
        <f t="array" ref="D142">(IF(B142="Vestdanmark",Skovbrug!$C$22-(Skovbrug!$C$22)*(1-Skovbrug!$C$9)^(C142-Skovbrug!$B$12),Skovbrug!$F$22-(Skovbrug!$F$22)*(1-Skovbrug!$C$9)^(C142-Skovbrug!$B$12)))*VLOOKUP(A142,Skovbrug!$A$13:$D$17,IF('Skovbrug-alder'!C142&lt;=År2,3,4),FALSE)
-IF(C142&gt;2020,SUM(INDEX($C$1:$D$311,MATCH(1,(2020=$C$1:$C$311)*(B142=$B$1:$B$311)*(A142=$A$1:$A$311),0),2):D141),0)</f>
        <v>100.38364698572263</v>
      </c>
      <c r="E142">
        <f t="shared" ca="1" si="3"/>
        <v>0</v>
      </c>
      <c r="F142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371.679943282019</v>
      </c>
      <c r="G142">
        <f ca="1">IF($C142-G$1&lt;År1,0,F141*(1-VLOOKUP($A142,[1]Hugst!$R$5:$W$9,MATCH(ROUNDUP((G$1)/10,0)*10,[1]Hugst!$R$4:$W$4,0))))</f>
        <v>372.18438371913368</v>
      </c>
      <c r="H142">
        <f ca="1">IF($C142-H$1&lt;År1,0,G141*(1-VLOOKUP($A142,[1]Hugst!$R$5:$W$9,MATCH(ROUNDUP((H$1)/10,0)*10,[1]Hugst!$R$4:$W$4,0))))</f>
        <v>372.69135903281409</v>
      </c>
      <c r="I142">
        <f ca="1">IF($C142-I$1&lt;År1,0,H141*(1-VLOOKUP($A142,[1]Hugst!$R$5:$W$9,MATCH(ROUNDUP((I$1)/10,0)*10,[1]Hugst!$R$4:$W$4,0))))</f>
        <v>373.2008819611379</v>
      </c>
      <c r="J142">
        <f ca="1">IF($C142-J$1&lt;År1,0,I141*(1-VLOOKUP($A142,[1]Hugst!$R$5:$W$9,MATCH(ROUNDUP((J$1)/10,0)*10,[1]Hugst!$R$4:$W$4,0))))</f>
        <v>373.71296530619003</v>
      </c>
      <c r="K142">
        <f ca="1">IF($C142-K$1&lt;År1,0,J141*(1-VLOOKUP($A142,[1]Hugst!$R$5:$W$9,MATCH(ROUNDUP((K$1)/10,0)*10,[1]Hugst!$R$4:$W$4,0))))</f>
        <v>374.22762193437535</v>
      </c>
      <c r="L142">
        <f ca="1">IF($C142-L$1&lt;År1,0,K141*(1-VLOOKUP($A142,[1]Hugst!$R$5:$W$9,MATCH(ROUNDUP((L$1)/10,0)*10,[1]Hugst!$R$4:$W$4,0))))</f>
        <v>596.71456174648119</v>
      </c>
      <c r="M142">
        <f ca="1">IF($C142-M$1&lt;År1,0,L141*(1-VLOOKUP($A142,[1]Hugst!$R$5:$W$9,MATCH(ROUNDUP((M$1)/10,0)*10,[1]Hugst!$R$4:$W$4,0))))</f>
        <v>597.23440379914155</v>
      </c>
      <c r="N142">
        <f ca="1">IF($C142-N$1&lt;År1,0,M141*(1-VLOOKUP($A142,[1]Hugst!$R$5:$W$9,MATCH(ROUNDUP((N$1)/10,0)*10,[1]Hugst!$R$4:$W$4,0))))</f>
        <v>597.75685812343352</v>
      </c>
      <c r="O142">
        <f ca="1">IF($C142-O$1&lt;År1,0,N141*(1-VLOOKUP($A142,[1]Hugst!$R$5:$W$9,MATCH(ROUNDUP((O$1)/10,0)*10,[1]Hugst!$R$4:$W$4,0))))</f>
        <v>598.28193784633402</v>
      </c>
      <c r="P142">
        <f ca="1">IF($C142-P$1&lt;År1,0,O141*(1-VLOOKUP($A142,[1]Hugst!$R$5:$W$9,MATCH(ROUNDUP((P$1)/10,0)*10,[1]Hugst!$R$4:$W$4,0))))</f>
        <v>598.80965616080709</v>
      </c>
      <c r="Q142">
        <f ca="1">IF($C142-Q$1&lt;År1,0,P141*(1-VLOOKUP($A142,[1]Hugst!$R$5:$W$9,MATCH(ROUNDUP((Q$1)/10,0)*10,[1]Hugst!$R$4:$W$4,0))))</f>
        <v>599.34002632610714</v>
      </c>
      <c r="R142">
        <f ca="1">IF($C142-R$1&lt;År1,0,Q141*(1-VLOOKUP($A142,[1]Hugst!$R$5:$W$9,MATCH(ROUNDUP((R$1)/10,0)*10,[1]Hugst!$R$4:$W$4,0))))</f>
        <v>599.87306166811823</v>
      </c>
      <c r="S142">
        <f ca="1">IF($C142-S$1&lt;År1,0,R141*(1-VLOOKUP($A142,[1]Hugst!$R$5:$W$9,MATCH(ROUNDUP((S$1)/10,0)*10,[1]Hugst!$R$4:$W$4,0))))</f>
        <v>600.40877557968702</v>
      </c>
      <c r="T142">
        <f ca="1">IF($C142-T$1&lt;År1,0,S141*(1-VLOOKUP($A142,[1]Hugst!$R$5:$W$9,MATCH(ROUNDUP((T$1)/10,0)*10,[1]Hugst!$R$4:$W$4,0))))</f>
        <v>600.94718152096243</v>
      </c>
      <c r="U142">
        <f ca="1">IF($C142-U$1&lt;År1,0,T141*(1-VLOOKUP($A142,[1]Hugst!$R$5:$W$9,MATCH(ROUNDUP((U$1)/10,0)*10,[1]Hugst!$R$4:$W$4,0))))</f>
        <v>601.48829301972796</v>
      </c>
      <c r="V142">
        <f ca="1">IF($C142-V$1&lt;År1,0,U141*(1-VLOOKUP($A142,[1]Hugst!$R$5:$W$9,MATCH(ROUNDUP((V$1)/10,0)*10,[1]Hugst!$R$4:$W$4,0))))</f>
        <v>602.03212367175934</v>
      </c>
      <c r="W142">
        <f>IF($C142-W$1&lt;År1,0,V141*(1-VLOOKUP($A142,[1]Hugst!$R$5:$W$9,MATCH(ROUNDUP((W$1)/10,0)*10,[1]Hugst!$R$4:$W$4,0))))</f>
        <v>0</v>
      </c>
      <c r="X142">
        <f>IF($C142-X$1&lt;År1,0,W141*(1-VLOOKUP($A142,[1]Hugst!$R$5:$W$9,MATCH(ROUNDUP((X$1)/10,0)*10,[1]Hugst!$R$4:$W$4,0))))</f>
        <v>0</v>
      </c>
      <c r="Y142">
        <f>IF($C142-Y$1&lt;År1,0,X141*(1-VLOOKUP($A142,[1]Hugst!$R$5:$W$9,MATCH(ROUNDUP((Y$1)/10,0)*10,[1]Hugst!$R$4:$W$4,0))))</f>
        <v>0</v>
      </c>
      <c r="Z142">
        <f>IF($C142-Z$1&lt;År1,0,Y141*(1-VLOOKUP($A142,[1]Hugst!$R$5:$W$9,MATCH(ROUNDUP((Z$1)/10,0)*10,[1]Hugst!$R$4:$W$4,0))))</f>
        <v>0</v>
      </c>
      <c r="AA142">
        <f>IF($C142-AA$1&lt;År1,0,Z141*(1-VLOOKUP($A142,[1]Hugst!$R$5:$W$9,MATCH(ROUNDUP((AA$1)/10,0)*10,[1]Hugst!$R$4:$W$4,0))))</f>
        <v>0</v>
      </c>
      <c r="AB142">
        <f>IF($C142-AB$1&lt;År1,0,AA141*(1-VLOOKUP($A142,[1]Hugst!$R$5:$W$9,MATCH(ROUNDUP((AB$1)/10,0)*10,[1]Hugst!$R$4:$W$4,0))))</f>
        <v>0</v>
      </c>
      <c r="AC142">
        <f>IF($C142-AC$1&lt;År1,0,AB141*(1-VLOOKUP($A142,[1]Hugst!$R$5:$W$9,MATCH(ROUNDUP((AC$1)/10,0)*10,[1]Hugst!$R$4:$W$4,0))))</f>
        <v>0</v>
      </c>
      <c r="AD142">
        <f>IF($C142-AD$1&lt;År1,0,AC141*(1-VLOOKUP($A142,[1]Hugst!$R$5:$W$9,MATCH(ROUNDUP((AD$1)/10,0)*10,[1]Hugst!$R$4:$W$4,0))))</f>
        <v>0</v>
      </c>
      <c r="AE142">
        <f>IF($C142-AE$1&lt;År1,0,AD141*(1-VLOOKUP($A142,[1]Hugst!$R$5:$W$9,MATCH(ROUNDUP((AE$1)/10,0)*10,[1]Hugst!$R$4:$W$4,0))))</f>
        <v>0</v>
      </c>
      <c r="AF142">
        <f>IF($C142-AF$1&lt;År1,0,AE141*(1-VLOOKUP($A142,[1]Hugst!$R$5:$W$9,MATCH(ROUNDUP((AF$1)/10,0)*10,[1]Hugst!$R$4:$W$4,0))))</f>
        <v>0</v>
      </c>
      <c r="AG142">
        <f>IF($C142-AG$1&lt;År1,0,AF141*(1-VLOOKUP($A142,[1]Hugst!$R$5:$W$9,MATCH(ROUNDUP((AG$1)/10,0)*10,[1]Hugst!$R$4:$W$4,0))))</f>
        <v>0</v>
      </c>
      <c r="AH142">
        <f>IF($C142-AH$1&lt;År1,0,AG141*(1-VLOOKUP($A142,[1]Hugst!$R$5:$W$9,MATCH(ROUNDUP((AH$1)/10,0)*10,[1]Hugst!$R$4:$W$4,0))))</f>
        <v>0</v>
      </c>
      <c r="AI142">
        <f>IF($C142-AI$1&lt;År1,0,AH141*(1-VLOOKUP($A142,[1]Hugst!$R$5:$W$9,MATCH(ROUNDUP((AI$1)/10,0)*10,[1]Hugst!$R$4:$W$4,0))))</f>
        <v>0</v>
      </c>
      <c r="AJ142">
        <f>IF($C142-AJ$1&lt;År1,0,AI141*(1-VLOOKUP($A142,[1]Hugst!$R$5:$W$9,MATCH(ROUNDUP((AJ$1)/10,0)*10,[1]Hugst!$R$4:$W$4,0))))</f>
        <v>0</v>
      </c>
    </row>
    <row r="143" spans="1:36" x14ac:dyDescent="0.25">
      <c r="A143" t="s">
        <v>178</v>
      </c>
      <c r="B143" t="s">
        <v>23</v>
      </c>
      <c r="C143">
        <v>2037</v>
      </c>
      <c r="D143" cm="1">
        <f t="array" ref="D143">(IF(B143="Vestdanmark",Skovbrug!$C$22-(Skovbrug!$C$22)*(1-Skovbrug!$C$9)^(C143-Skovbrug!$B$12),Skovbrug!$F$22-(Skovbrug!$F$22)*(1-Skovbrug!$C$9)^(C143-Skovbrug!$B$12)))*VLOOKUP(A143,Skovbrug!$A$13:$D$17,IF('Skovbrug-alder'!C143&lt;=År2,3,4),FALSE)
-IF(C143&gt;2020,SUM(INDEX($C$1:$D$311,MATCH(1,(2020=$C$1:$C$311)*(B143=$B$1:$B$311)*(A143=$A$1:$A$311),0),2):D142),0)</f>
        <v>99.881728750793172</v>
      </c>
      <c r="E143">
        <f t="shared" ca="1" si="3"/>
        <v>0</v>
      </c>
      <c r="F143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371.17802504708953</v>
      </c>
      <c r="G143">
        <f ca="1">IF($C143-G$1&lt;År1,0,F142*(1-VLOOKUP($A143,[1]Hugst!$R$5:$W$9,MATCH(ROUNDUP((G$1)/10,0)*10,[1]Hugst!$R$4:$W$4,0))))</f>
        <v>371.679943282019</v>
      </c>
      <c r="H143">
        <f ca="1">IF($C143-H$1&lt;År1,0,G142*(1-VLOOKUP($A143,[1]Hugst!$R$5:$W$9,MATCH(ROUNDUP((H$1)/10,0)*10,[1]Hugst!$R$4:$W$4,0))))</f>
        <v>372.18438371913368</v>
      </c>
      <c r="I143">
        <f ca="1">IF($C143-I$1&lt;År1,0,H142*(1-VLOOKUP($A143,[1]Hugst!$R$5:$W$9,MATCH(ROUNDUP((I$1)/10,0)*10,[1]Hugst!$R$4:$W$4,0))))</f>
        <v>372.69135903281409</v>
      </c>
      <c r="J143">
        <f ca="1">IF($C143-J$1&lt;År1,0,I142*(1-VLOOKUP($A143,[1]Hugst!$R$5:$W$9,MATCH(ROUNDUP((J$1)/10,0)*10,[1]Hugst!$R$4:$W$4,0))))</f>
        <v>373.2008819611379</v>
      </c>
      <c r="K143">
        <f ca="1">IF($C143-K$1&lt;År1,0,J142*(1-VLOOKUP($A143,[1]Hugst!$R$5:$W$9,MATCH(ROUNDUP((K$1)/10,0)*10,[1]Hugst!$R$4:$W$4,0))))</f>
        <v>373.71296530619003</v>
      </c>
      <c r="L143">
        <f ca="1">IF($C143-L$1&lt;År1,0,K142*(1-VLOOKUP($A143,[1]Hugst!$R$5:$W$9,MATCH(ROUNDUP((L$1)/10,0)*10,[1]Hugst!$R$4:$W$4,0))))</f>
        <v>374.22762193437535</v>
      </c>
      <c r="M143">
        <f ca="1">IF($C143-M$1&lt;År1,0,L142*(1-VLOOKUP($A143,[1]Hugst!$R$5:$W$9,MATCH(ROUNDUP((M$1)/10,0)*10,[1]Hugst!$R$4:$W$4,0))))</f>
        <v>596.71456174648119</v>
      </c>
      <c r="N143">
        <f ca="1">IF($C143-N$1&lt;År1,0,M142*(1-VLOOKUP($A143,[1]Hugst!$R$5:$W$9,MATCH(ROUNDUP((N$1)/10,0)*10,[1]Hugst!$R$4:$W$4,0))))</f>
        <v>597.23440379914155</v>
      </c>
      <c r="O143">
        <f ca="1">IF($C143-O$1&lt;År1,0,N142*(1-VLOOKUP($A143,[1]Hugst!$R$5:$W$9,MATCH(ROUNDUP((O$1)/10,0)*10,[1]Hugst!$R$4:$W$4,0))))</f>
        <v>597.75685812343352</v>
      </c>
      <c r="P143">
        <f ca="1">IF($C143-P$1&lt;År1,0,O142*(1-VLOOKUP($A143,[1]Hugst!$R$5:$W$9,MATCH(ROUNDUP((P$1)/10,0)*10,[1]Hugst!$R$4:$W$4,0))))</f>
        <v>598.28193784633402</v>
      </c>
      <c r="Q143">
        <f ca="1">IF($C143-Q$1&lt;År1,0,P142*(1-VLOOKUP($A143,[1]Hugst!$R$5:$W$9,MATCH(ROUNDUP((Q$1)/10,0)*10,[1]Hugst!$R$4:$W$4,0))))</f>
        <v>598.80965616080709</v>
      </c>
      <c r="R143">
        <f ca="1">IF($C143-R$1&lt;År1,0,Q142*(1-VLOOKUP($A143,[1]Hugst!$R$5:$W$9,MATCH(ROUNDUP((R$1)/10,0)*10,[1]Hugst!$R$4:$W$4,0))))</f>
        <v>599.34002632610714</v>
      </c>
      <c r="S143">
        <f ca="1">IF($C143-S$1&lt;År1,0,R142*(1-VLOOKUP($A143,[1]Hugst!$R$5:$W$9,MATCH(ROUNDUP((S$1)/10,0)*10,[1]Hugst!$R$4:$W$4,0))))</f>
        <v>599.87306166811823</v>
      </c>
      <c r="T143">
        <f ca="1">IF($C143-T$1&lt;År1,0,S142*(1-VLOOKUP($A143,[1]Hugst!$R$5:$W$9,MATCH(ROUNDUP((T$1)/10,0)*10,[1]Hugst!$R$4:$W$4,0))))</f>
        <v>600.40877557968702</v>
      </c>
      <c r="U143">
        <f ca="1">IF($C143-U$1&lt;År1,0,T142*(1-VLOOKUP($A143,[1]Hugst!$R$5:$W$9,MATCH(ROUNDUP((U$1)/10,0)*10,[1]Hugst!$R$4:$W$4,0))))</f>
        <v>600.94718152096243</v>
      </c>
      <c r="V143">
        <f ca="1">IF($C143-V$1&lt;År1,0,U142*(1-VLOOKUP($A143,[1]Hugst!$R$5:$W$9,MATCH(ROUNDUP((V$1)/10,0)*10,[1]Hugst!$R$4:$W$4,0))))</f>
        <v>601.48829301972796</v>
      </c>
      <c r="W143">
        <f ca="1">IF($C143-W$1&lt;År1,0,V142*(1-VLOOKUP($A143,[1]Hugst!$R$5:$W$9,MATCH(ROUNDUP((W$1)/10,0)*10,[1]Hugst!$R$4:$W$4,0))))</f>
        <v>602.03212367175934</v>
      </c>
      <c r="X143">
        <f>IF($C143-X$1&lt;År1,0,W142*(1-VLOOKUP($A143,[1]Hugst!$R$5:$W$9,MATCH(ROUNDUP((X$1)/10,0)*10,[1]Hugst!$R$4:$W$4,0))))</f>
        <v>0</v>
      </c>
      <c r="Y143">
        <f>IF($C143-Y$1&lt;År1,0,X142*(1-VLOOKUP($A143,[1]Hugst!$R$5:$W$9,MATCH(ROUNDUP((Y$1)/10,0)*10,[1]Hugst!$R$4:$W$4,0))))</f>
        <v>0</v>
      </c>
      <c r="Z143">
        <f>IF($C143-Z$1&lt;År1,0,Y142*(1-VLOOKUP($A143,[1]Hugst!$R$5:$W$9,MATCH(ROUNDUP((Z$1)/10,0)*10,[1]Hugst!$R$4:$W$4,0))))</f>
        <v>0</v>
      </c>
      <c r="AA143">
        <f>IF($C143-AA$1&lt;År1,0,Z142*(1-VLOOKUP($A143,[1]Hugst!$R$5:$W$9,MATCH(ROUNDUP((AA$1)/10,0)*10,[1]Hugst!$R$4:$W$4,0))))</f>
        <v>0</v>
      </c>
      <c r="AB143">
        <f>IF($C143-AB$1&lt;År1,0,AA142*(1-VLOOKUP($A143,[1]Hugst!$R$5:$W$9,MATCH(ROUNDUP((AB$1)/10,0)*10,[1]Hugst!$R$4:$W$4,0))))</f>
        <v>0</v>
      </c>
      <c r="AC143">
        <f>IF($C143-AC$1&lt;År1,0,AB142*(1-VLOOKUP($A143,[1]Hugst!$R$5:$W$9,MATCH(ROUNDUP((AC$1)/10,0)*10,[1]Hugst!$R$4:$W$4,0))))</f>
        <v>0</v>
      </c>
      <c r="AD143">
        <f>IF($C143-AD$1&lt;År1,0,AC142*(1-VLOOKUP($A143,[1]Hugst!$R$5:$W$9,MATCH(ROUNDUP((AD$1)/10,0)*10,[1]Hugst!$R$4:$W$4,0))))</f>
        <v>0</v>
      </c>
      <c r="AE143">
        <f>IF($C143-AE$1&lt;År1,0,AD142*(1-VLOOKUP($A143,[1]Hugst!$R$5:$W$9,MATCH(ROUNDUP((AE$1)/10,0)*10,[1]Hugst!$R$4:$W$4,0))))</f>
        <v>0</v>
      </c>
      <c r="AF143">
        <f>IF($C143-AF$1&lt;År1,0,AE142*(1-VLOOKUP($A143,[1]Hugst!$R$5:$W$9,MATCH(ROUNDUP((AF$1)/10,0)*10,[1]Hugst!$R$4:$W$4,0))))</f>
        <v>0</v>
      </c>
      <c r="AG143">
        <f>IF($C143-AG$1&lt;År1,0,AF142*(1-VLOOKUP($A143,[1]Hugst!$R$5:$W$9,MATCH(ROUNDUP((AG$1)/10,0)*10,[1]Hugst!$R$4:$W$4,0))))</f>
        <v>0</v>
      </c>
      <c r="AH143">
        <f>IF($C143-AH$1&lt;År1,0,AG142*(1-VLOOKUP($A143,[1]Hugst!$R$5:$W$9,MATCH(ROUNDUP((AH$1)/10,0)*10,[1]Hugst!$R$4:$W$4,0))))</f>
        <v>0</v>
      </c>
      <c r="AI143">
        <f>IF($C143-AI$1&lt;År1,0,AH142*(1-VLOOKUP($A143,[1]Hugst!$R$5:$W$9,MATCH(ROUNDUP((AI$1)/10,0)*10,[1]Hugst!$R$4:$W$4,0))))</f>
        <v>0</v>
      </c>
      <c r="AJ143">
        <f>IF($C143-AJ$1&lt;År1,0,AI142*(1-VLOOKUP($A143,[1]Hugst!$R$5:$W$9,MATCH(ROUNDUP((AJ$1)/10,0)*10,[1]Hugst!$R$4:$W$4,0))))</f>
        <v>0</v>
      </c>
    </row>
    <row r="144" spans="1:36" x14ac:dyDescent="0.25">
      <c r="A144" t="s">
        <v>178</v>
      </c>
      <c r="B144" t="s">
        <v>23</v>
      </c>
      <c r="C144">
        <v>2038</v>
      </c>
      <c r="D144" cm="1">
        <f t="array" ref="D144">(IF(B144="Vestdanmark",Skovbrug!$C$22-(Skovbrug!$C$22)*(1-Skovbrug!$C$9)^(C144-Skovbrug!$B$12),Skovbrug!$F$22-(Skovbrug!$F$22)*(1-Skovbrug!$C$9)^(C144-Skovbrug!$B$12)))*VLOOKUP(A144,Skovbrug!$A$13:$D$17,IF('Skovbrug-alder'!C144&lt;=År2,3,4),FALSE)
-IF(C144&gt;2020,SUM(INDEX($C$1:$D$311,MATCH(1,(2020=$C$1:$C$311)*(B144=$B$1:$B$311)*(A144=$A$1:$A$311),0),2):D143),0)</f>
        <v>99.38232010704246</v>
      </c>
      <c r="E144">
        <f t="shared" ca="1" si="3"/>
        <v>0</v>
      </c>
      <c r="F144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370.67861640333882</v>
      </c>
      <c r="G144">
        <f ca="1">IF($C144-G$1&lt;År1,0,F143*(1-VLOOKUP($A144,[1]Hugst!$R$5:$W$9,MATCH(ROUNDUP((G$1)/10,0)*10,[1]Hugst!$R$4:$W$4,0))))</f>
        <v>371.17802504708953</v>
      </c>
      <c r="H144">
        <f ca="1">IF($C144-H$1&lt;År1,0,G143*(1-VLOOKUP($A144,[1]Hugst!$R$5:$W$9,MATCH(ROUNDUP((H$1)/10,0)*10,[1]Hugst!$R$4:$W$4,0))))</f>
        <v>371.679943282019</v>
      </c>
      <c r="I144">
        <f ca="1">IF($C144-I$1&lt;År1,0,H143*(1-VLOOKUP($A144,[1]Hugst!$R$5:$W$9,MATCH(ROUNDUP((I$1)/10,0)*10,[1]Hugst!$R$4:$W$4,0))))</f>
        <v>372.18438371913368</v>
      </c>
      <c r="J144">
        <f ca="1">IF($C144-J$1&lt;År1,0,I143*(1-VLOOKUP($A144,[1]Hugst!$R$5:$W$9,MATCH(ROUNDUP((J$1)/10,0)*10,[1]Hugst!$R$4:$W$4,0))))</f>
        <v>372.69135903281409</v>
      </c>
      <c r="K144">
        <f ca="1">IF($C144-K$1&lt;År1,0,J143*(1-VLOOKUP($A144,[1]Hugst!$R$5:$W$9,MATCH(ROUNDUP((K$1)/10,0)*10,[1]Hugst!$R$4:$W$4,0))))</f>
        <v>373.2008819611379</v>
      </c>
      <c r="L144">
        <f ca="1">IF($C144-L$1&lt;År1,0,K143*(1-VLOOKUP($A144,[1]Hugst!$R$5:$W$9,MATCH(ROUNDUP((L$1)/10,0)*10,[1]Hugst!$R$4:$W$4,0))))</f>
        <v>373.71296530619003</v>
      </c>
      <c r="M144">
        <f ca="1">IF($C144-M$1&lt;År1,0,L143*(1-VLOOKUP($A144,[1]Hugst!$R$5:$W$9,MATCH(ROUNDUP((M$1)/10,0)*10,[1]Hugst!$R$4:$W$4,0))))</f>
        <v>374.22762193437535</v>
      </c>
      <c r="N144">
        <f ca="1">IF($C144-N$1&lt;År1,0,M143*(1-VLOOKUP($A144,[1]Hugst!$R$5:$W$9,MATCH(ROUNDUP((N$1)/10,0)*10,[1]Hugst!$R$4:$W$4,0))))</f>
        <v>596.71456174648119</v>
      </c>
      <c r="O144">
        <f ca="1">IF($C144-O$1&lt;År1,0,N143*(1-VLOOKUP($A144,[1]Hugst!$R$5:$W$9,MATCH(ROUNDUP((O$1)/10,0)*10,[1]Hugst!$R$4:$W$4,0))))</f>
        <v>597.23440379914155</v>
      </c>
      <c r="P144">
        <f ca="1">IF($C144-P$1&lt;År1,0,O143*(1-VLOOKUP($A144,[1]Hugst!$R$5:$W$9,MATCH(ROUNDUP((P$1)/10,0)*10,[1]Hugst!$R$4:$W$4,0))))</f>
        <v>597.75685812343352</v>
      </c>
      <c r="Q144">
        <f ca="1">IF($C144-Q$1&lt;År1,0,P143*(1-VLOOKUP($A144,[1]Hugst!$R$5:$W$9,MATCH(ROUNDUP((Q$1)/10,0)*10,[1]Hugst!$R$4:$W$4,0))))</f>
        <v>598.28193784633402</v>
      </c>
      <c r="R144">
        <f ca="1">IF($C144-R$1&lt;År1,0,Q143*(1-VLOOKUP($A144,[1]Hugst!$R$5:$W$9,MATCH(ROUNDUP((R$1)/10,0)*10,[1]Hugst!$R$4:$W$4,0))))</f>
        <v>598.80965616080709</v>
      </c>
      <c r="S144">
        <f ca="1">IF($C144-S$1&lt;År1,0,R143*(1-VLOOKUP($A144,[1]Hugst!$R$5:$W$9,MATCH(ROUNDUP((S$1)/10,0)*10,[1]Hugst!$R$4:$W$4,0))))</f>
        <v>599.34002632610714</v>
      </c>
      <c r="T144">
        <f ca="1">IF($C144-T$1&lt;År1,0,S143*(1-VLOOKUP($A144,[1]Hugst!$R$5:$W$9,MATCH(ROUNDUP((T$1)/10,0)*10,[1]Hugst!$R$4:$W$4,0))))</f>
        <v>599.87306166811823</v>
      </c>
      <c r="U144">
        <f ca="1">IF($C144-U$1&lt;År1,0,T143*(1-VLOOKUP($A144,[1]Hugst!$R$5:$W$9,MATCH(ROUNDUP((U$1)/10,0)*10,[1]Hugst!$R$4:$W$4,0))))</f>
        <v>600.40877557968702</v>
      </c>
      <c r="V144">
        <f ca="1">IF($C144-V$1&lt;År1,0,U143*(1-VLOOKUP($A144,[1]Hugst!$R$5:$W$9,MATCH(ROUNDUP((V$1)/10,0)*10,[1]Hugst!$R$4:$W$4,0))))</f>
        <v>600.94718152096243</v>
      </c>
      <c r="W144">
        <f ca="1">IF($C144-W$1&lt;År1,0,V143*(1-VLOOKUP($A144,[1]Hugst!$R$5:$W$9,MATCH(ROUNDUP((W$1)/10,0)*10,[1]Hugst!$R$4:$W$4,0))))</f>
        <v>601.48829301972796</v>
      </c>
      <c r="X144">
        <f ca="1">IF($C144-X$1&lt;År1,0,W143*(1-VLOOKUP($A144,[1]Hugst!$R$5:$W$9,MATCH(ROUNDUP((X$1)/10,0)*10,[1]Hugst!$R$4:$W$4,0))))</f>
        <v>602.03212367175934</v>
      </c>
      <c r="Y144">
        <f>IF($C144-Y$1&lt;År1,0,X143*(1-VLOOKUP($A144,[1]Hugst!$R$5:$W$9,MATCH(ROUNDUP((Y$1)/10,0)*10,[1]Hugst!$R$4:$W$4,0))))</f>
        <v>0</v>
      </c>
      <c r="Z144">
        <f>IF($C144-Z$1&lt;År1,0,Y143*(1-VLOOKUP($A144,[1]Hugst!$R$5:$W$9,MATCH(ROUNDUP((Z$1)/10,0)*10,[1]Hugst!$R$4:$W$4,0))))</f>
        <v>0</v>
      </c>
      <c r="AA144">
        <f>IF($C144-AA$1&lt;År1,0,Z143*(1-VLOOKUP($A144,[1]Hugst!$R$5:$W$9,MATCH(ROUNDUP((AA$1)/10,0)*10,[1]Hugst!$R$4:$W$4,0))))</f>
        <v>0</v>
      </c>
      <c r="AB144">
        <f>IF($C144-AB$1&lt;År1,0,AA143*(1-VLOOKUP($A144,[1]Hugst!$R$5:$W$9,MATCH(ROUNDUP((AB$1)/10,0)*10,[1]Hugst!$R$4:$W$4,0))))</f>
        <v>0</v>
      </c>
      <c r="AC144">
        <f>IF($C144-AC$1&lt;År1,0,AB143*(1-VLOOKUP($A144,[1]Hugst!$R$5:$W$9,MATCH(ROUNDUP((AC$1)/10,0)*10,[1]Hugst!$R$4:$W$4,0))))</f>
        <v>0</v>
      </c>
      <c r="AD144">
        <f>IF($C144-AD$1&lt;År1,0,AC143*(1-VLOOKUP($A144,[1]Hugst!$R$5:$W$9,MATCH(ROUNDUP((AD$1)/10,0)*10,[1]Hugst!$R$4:$W$4,0))))</f>
        <v>0</v>
      </c>
      <c r="AE144">
        <f>IF($C144-AE$1&lt;År1,0,AD143*(1-VLOOKUP($A144,[1]Hugst!$R$5:$W$9,MATCH(ROUNDUP((AE$1)/10,0)*10,[1]Hugst!$R$4:$W$4,0))))</f>
        <v>0</v>
      </c>
      <c r="AF144">
        <f>IF($C144-AF$1&lt;År1,0,AE143*(1-VLOOKUP($A144,[1]Hugst!$R$5:$W$9,MATCH(ROUNDUP((AF$1)/10,0)*10,[1]Hugst!$R$4:$W$4,0))))</f>
        <v>0</v>
      </c>
      <c r="AG144">
        <f>IF($C144-AG$1&lt;År1,0,AF143*(1-VLOOKUP($A144,[1]Hugst!$R$5:$W$9,MATCH(ROUNDUP((AG$1)/10,0)*10,[1]Hugst!$R$4:$W$4,0))))</f>
        <v>0</v>
      </c>
      <c r="AH144">
        <f>IF($C144-AH$1&lt;År1,0,AG143*(1-VLOOKUP($A144,[1]Hugst!$R$5:$W$9,MATCH(ROUNDUP((AH$1)/10,0)*10,[1]Hugst!$R$4:$W$4,0))))</f>
        <v>0</v>
      </c>
      <c r="AI144">
        <f>IF($C144-AI$1&lt;År1,0,AH143*(1-VLOOKUP($A144,[1]Hugst!$R$5:$W$9,MATCH(ROUNDUP((AI$1)/10,0)*10,[1]Hugst!$R$4:$W$4,0))))</f>
        <v>0</v>
      </c>
      <c r="AJ144">
        <f>IF($C144-AJ$1&lt;År1,0,AI143*(1-VLOOKUP($A144,[1]Hugst!$R$5:$W$9,MATCH(ROUNDUP((AJ$1)/10,0)*10,[1]Hugst!$R$4:$W$4,0))))</f>
        <v>0</v>
      </c>
    </row>
    <row r="145" spans="1:36" x14ac:dyDescent="0.25">
      <c r="A145" t="s">
        <v>178</v>
      </c>
      <c r="B145" t="s">
        <v>23</v>
      </c>
      <c r="C145">
        <v>2039</v>
      </c>
      <c r="D145" cm="1">
        <f t="array" ref="D145">(IF(B145="Vestdanmark",Skovbrug!$C$22-(Skovbrug!$C$22)*(1-Skovbrug!$C$9)^(C145-Skovbrug!$B$12),Skovbrug!$F$22-(Skovbrug!$F$22)*(1-Skovbrug!$C$9)^(C145-Skovbrug!$B$12)))*VLOOKUP(A145,Skovbrug!$A$13:$D$17,IF('Skovbrug-alder'!C145&lt;=År2,3,4),FALSE)
-IF(C145&gt;2020,SUM(INDEX($C$1:$D$311,MATCH(1,(2020=$C$1:$C$311)*(B145=$B$1:$B$311)*(A145=$A$1:$A$311),0),2):D144),0)</f>
        <v>98.885408506501562</v>
      </c>
      <c r="E145">
        <f t="shared" ca="1" si="3"/>
        <v>0</v>
      </c>
      <c r="F145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370.18170480279792</v>
      </c>
      <c r="G145">
        <f ca="1">IF($C145-G$1&lt;År1,0,F144*(1-VLOOKUP($A145,[1]Hugst!$R$5:$W$9,MATCH(ROUNDUP((G$1)/10,0)*10,[1]Hugst!$R$4:$W$4,0))))</f>
        <v>370.67861640333882</v>
      </c>
      <c r="H145">
        <f ca="1">IF($C145-H$1&lt;År1,0,G144*(1-VLOOKUP($A145,[1]Hugst!$R$5:$W$9,MATCH(ROUNDUP((H$1)/10,0)*10,[1]Hugst!$R$4:$W$4,0))))</f>
        <v>371.17802504708953</v>
      </c>
      <c r="I145">
        <f ca="1">IF($C145-I$1&lt;År1,0,H144*(1-VLOOKUP($A145,[1]Hugst!$R$5:$W$9,MATCH(ROUNDUP((I$1)/10,0)*10,[1]Hugst!$R$4:$W$4,0))))</f>
        <v>371.679943282019</v>
      </c>
      <c r="J145">
        <f ca="1">IF($C145-J$1&lt;År1,0,I144*(1-VLOOKUP($A145,[1]Hugst!$R$5:$W$9,MATCH(ROUNDUP((J$1)/10,0)*10,[1]Hugst!$R$4:$W$4,0))))</f>
        <v>372.18438371913368</v>
      </c>
      <c r="K145">
        <f ca="1">IF($C145-K$1&lt;År1,0,J144*(1-VLOOKUP($A145,[1]Hugst!$R$5:$W$9,MATCH(ROUNDUP((K$1)/10,0)*10,[1]Hugst!$R$4:$W$4,0))))</f>
        <v>372.69135903281409</v>
      </c>
      <c r="L145">
        <f ca="1">IF($C145-L$1&lt;År1,0,K144*(1-VLOOKUP($A145,[1]Hugst!$R$5:$W$9,MATCH(ROUNDUP((L$1)/10,0)*10,[1]Hugst!$R$4:$W$4,0))))</f>
        <v>373.2008819611379</v>
      </c>
      <c r="M145">
        <f ca="1">IF($C145-M$1&lt;År1,0,L144*(1-VLOOKUP($A145,[1]Hugst!$R$5:$W$9,MATCH(ROUNDUP((M$1)/10,0)*10,[1]Hugst!$R$4:$W$4,0))))</f>
        <v>373.71296530619003</v>
      </c>
      <c r="N145">
        <f ca="1">IF($C145-N$1&lt;År1,0,M144*(1-VLOOKUP($A145,[1]Hugst!$R$5:$W$9,MATCH(ROUNDUP((N$1)/10,0)*10,[1]Hugst!$R$4:$W$4,0))))</f>
        <v>374.22762193437535</v>
      </c>
      <c r="O145">
        <f ca="1">IF($C145-O$1&lt;År1,0,N144*(1-VLOOKUP($A145,[1]Hugst!$R$5:$W$9,MATCH(ROUNDUP((O$1)/10,0)*10,[1]Hugst!$R$4:$W$4,0))))</f>
        <v>596.71456174648119</v>
      </c>
      <c r="P145">
        <f ca="1">IF($C145-P$1&lt;År1,0,O144*(1-VLOOKUP($A145,[1]Hugst!$R$5:$W$9,MATCH(ROUNDUP((P$1)/10,0)*10,[1]Hugst!$R$4:$W$4,0))))</f>
        <v>597.23440379914155</v>
      </c>
      <c r="Q145">
        <f ca="1">IF($C145-Q$1&lt;År1,0,P144*(1-VLOOKUP($A145,[1]Hugst!$R$5:$W$9,MATCH(ROUNDUP((Q$1)/10,0)*10,[1]Hugst!$R$4:$W$4,0))))</f>
        <v>597.75685812343352</v>
      </c>
      <c r="R145">
        <f ca="1">IF($C145-R$1&lt;År1,0,Q144*(1-VLOOKUP($A145,[1]Hugst!$R$5:$W$9,MATCH(ROUNDUP((R$1)/10,0)*10,[1]Hugst!$R$4:$W$4,0))))</f>
        <v>598.28193784633402</v>
      </c>
      <c r="S145">
        <f ca="1">IF($C145-S$1&lt;År1,0,R144*(1-VLOOKUP($A145,[1]Hugst!$R$5:$W$9,MATCH(ROUNDUP((S$1)/10,0)*10,[1]Hugst!$R$4:$W$4,0))))</f>
        <v>598.80965616080709</v>
      </c>
      <c r="T145">
        <f ca="1">IF($C145-T$1&lt;År1,0,S144*(1-VLOOKUP($A145,[1]Hugst!$R$5:$W$9,MATCH(ROUNDUP((T$1)/10,0)*10,[1]Hugst!$R$4:$W$4,0))))</f>
        <v>599.34002632610714</v>
      </c>
      <c r="U145">
        <f ca="1">IF($C145-U$1&lt;År1,0,T144*(1-VLOOKUP($A145,[1]Hugst!$R$5:$W$9,MATCH(ROUNDUP((U$1)/10,0)*10,[1]Hugst!$R$4:$W$4,0))))</f>
        <v>599.87306166811823</v>
      </c>
      <c r="V145">
        <f ca="1">IF($C145-V$1&lt;År1,0,U144*(1-VLOOKUP($A145,[1]Hugst!$R$5:$W$9,MATCH(ROUNDUP((V$1)/10,0)*10,[1]Hugst!$R$4:$W$4,0))))</f>
        <v>600.40877557968702</v>
      </c>
      <c r="W145">
        <f ca="1">IF($C145-W$1&lt;År1,0,V144*(1-VLOOKUP($A145,[1]Hugst!$R$5:$W$9,MATCH(ROUNDUP((W$1)/10,0)*10,[1]Hugst!$R$4:$W$4,0))))</f>
        <v>600.94718152096243</v>
      </c>
      <c r="X145">
        <f ca="1">IF($C145-X$1&lt;År1,0,W144*(1-VLOOKUP($A145,[1]Hugst!$R$5:$W$9,MATCH(ROUNDUP((X$1)/10,0)*10,[1]Hugst!$R$4:$W$4,0))))</f>
        <v>601.48829301972796</v>
      </c>
      <c r="Y145">
        <f ca="1">IF($C145-Y$1&lt;År1,0,X144*(1-VLOOKUP($A145,[1]Hugst!$R$5:$W$9,MATCH(ROUNDUP((Y$1)/10,0)*10,[1]Hugst!$R$4:$W$4,0))))</f>
        <v>602.03212367175934</v>
      </c>
      <c r="Z145">
        <f>IF($C145-Z$1&lt;År1,0,Y144*(1-VLOOKUP($A145,[1]Hugst!$R$5:$W$9,MATCH(ROUNDUP((Z$1)/10,0)*10,[1]Hugst!$R$4:$W$4,0))))</f>
        <v>0</v>
      </c>
      <c r="AA145">
        <f>IF($C145-AA$1&lt;År1,0,Z144*(1-VLOOKUP($A145,[1]Hugst!$R$5:$W$9,MATCH(ROUNDUP((AA$1)/10,0)*10,[1]Hugst!$R$4:$W$4,0))))</f>
        <v>0</v>
      </c>
      <c r="AB145">
        <f>IF($C145-AB$1&lt;År1,0,AA144*(1-VLOOKUP($A145,[1]Hugst!$R$5:$W$9,MATCH(ROUNDUP((AB$1)/10,0)*10,[1]Hugst!$R$4:$W$4,0))))</f>
        <v>0</v>
      </c>
      <c r="AC145">
        <f>IF($C145-AC$1&lt;År1,0,AB144*(1-VLOOKUP($A145,[1]Hugst!$R$5:$W$9,MATCH(ROUNDUP((AC$1)/10,0)*10,[1]Hugst!$R$4:$W$4,0))))</f>
        <v>0</v>
      </c>
      <c r="AD145">
        <f>IF($C145-AD$1&lt;År1,0,AC144*(1-VLOOKUP($A145,[1]Hugst!$R$5:$W$9,MATCH(ROUNDUP((AD$1)/10,0)*10,[1]Hugst!$R$4:$W$4,0))))</f>
        <v>0</v>
      </c>
      <c r="AE145">
        <f>IF($C145-AE$1&lt;År1,0,AD144*(1-VLOOKUP($A145,[1]Hugst!$R$5:$W$9,MATCH(ROUNDUP((AE$1)/10,0)*10,[1]Hugst!$R$4:$W$4,0))))</f>
        <v>0</v>
      </c>
      <c r="AF145">
        <f>IF($C145-AF$1&lt;År1,0,AE144*(1-VLOOKUP($A145,[1]Hugst!$R$5:$W$9,MATCH(ROUNDUP((AF$1)/10,0)*10,[1]Hugst!$R$4:$W$4,0))))</f>
        <v>0</v>
      </c>
      <c r="AG145">
        <f>IF($C145-AG$1&lt;År1,0,AF144*(1-VLOOKUP($A145,[1]Hugst!$R$5:$W$9,MATCH(ROUNDUP((AG$1)/10,0)*10,[1]Hugst!$R$4:$W$4,0))))</f>
        <v>0</v>
      </c>
      <c r="AH145">
        <f>IF($C145-AH$1&lt;År1,0,AG144*(1-VLOOKUP($A145,[1]Hugst!$R$5:$W$9,MATCH(ROUNDUP((AH$1)/10,0)*10,[1]Hugst!$R$4:$W$4,0))))</f>
        <v>0</v>
      </c>
      <c r="AI145">
        <f>IF($C145-AI$1&lt;År1,0,AH144*(1-VLOOKUP($A145,[1]Hugst!$R$5:$W$9,MATCH(ROUNDUP((AI$1)/10,0)*10,[1]Hugst!$R$4:$W$4,0))))</f>
        <v>0</v>
      </c>
      <c r="AJ145">
        <f>IF($C145-AJ$1&lt;År1,0,AI144*(1-VLOOKUP($A145,[1]Hugst!$R$5:$W$9,MATCH(ROUNDUP((AJ$1)/10,0)*10,[1]Hugst!$R$4:$W$4,0))))</f>
        <v>0</v>
      </c>
    </row>
    <row r="146" spans="1:36" x14ac:dyDescent="0.25">
      <c r="A146" t="s">
        <v>178</v>
      </c>
      <c r="B146" t="s">
        <v>23</v>
      </c>
      <c r="C146">
        <v>2040</v>
      </c>
      <c r="D146" cm="1">
        <f t="array" ref="D146">(IF(B146="Vestdanmark",Skovbrug!$C$22-(Skovbrug!$C$22)*(1-Skovbrug!$C$9)^(C146-Skovbrug!$B$12),Skovbrug!$F$22-(Skovbrug!$F$22)*(1-Skovbrug!$C$9)^(C146-Skovbrug!$B$12)))*VLOOKUP(A146,Skovbrug!$A$13:$D$17,IF('Skovbrug-alder'!C146&lt;=År2,3,4),FALSE)
-IF(C146&gt;2020,SUM(INDEX($C$1:$D$311,MATCH(1,(2020=$C$1:$C$311)*(B146=$B$1:$B$311)*(A146=$A$1:$A$311),0),2):D145),0)</f>
        <v>98.390981463971457</v>
      </c>
      <c r="E146">
        <f t="shared" ca="1" si="3"/>
        <v>0</v>
      </c>
      <c r="F146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369.68727776026782</v>
      </c>
      <c r="G146">
        <f ca="1">IF($C146-G$1&lt;År1,0,F145*(1-VLOOKUP($A146,[1]Hugst!$R$5:$W$9,MATCH(ROUNDUP((G$1)/10,0)*10,[1]Hugst!$R$4:$W$4,0))))</f>
        <v>370.18170480279792</v>
      </c>
      <c r="H146">
        <f ca="1">IF($C146-H$1&lt;År1,0,G145*(1-VLOOKUP($A146,[1]Hugst!$R$5:$W$9,MATCH(ROUNDUP((H$1)/10,0)*10,[1]Hugst!$R$4:$W$4,0))))</f>
        <v>370.67861640333882</v>
      </c>
      <c r="I146">
        <f ca="1">IF($C146-I$1&lt;År1,0,H145*(1-VLOOKUP($A146,[1]Hugst!$R$5:$W$9,MATCH(ROUNDUP((I$1)/10,0)*10,[1]Hugst!$R$4:$W$4,0))))</f>
        <v>371.17802504708953</v>
      </c>
      <c r="J146">
        <f ca="1">IF($C146-J$1&lt;År1,0,I145*(1-VLOOKUP($A146,[1]Hugst!$R$5:$W$9,MATCH(ROUNDUP((J$1)/10,0)*10,[1]Hugst!$R$4:$W$4,0))))</f>
        <v>371.679943282019</v>
      </c>
      <c r="K146">
        <f ca="1">IF($C146-K$1&lt;År1,0,J145*(1-VLOOKUP($A146,[1]Hugst!$R$5:$W$9,MATCH(ROUNDUP((K$1)/10,0)*10,[1]Hugst!$R$4:$W$4,0))))</f>
        <v>372.18438371913368</v>
      </c>
      <c r="L146">
        <f ca="1">IF($C146-L$1&lt;År1,0,K145*(1-VLOOKUP($A146,[1]Hugst!$R$5:$W$9,MATCH(ROUNDUP((L$1)/10,0)*10,[1]Hugst!$R$4:$W$4,0))))</f>
        <v>372.69135903281409</v>
      </c>
      <c r="M146">
        <f ca="1">IF($C146-M$1&lt;År1,0,L145*(1-VLOOKUP($A146,[1]Hugst!$R$5:$W$9,MATCH(ROUNDUP((M$1)/10,0)*10,[1]Hugst!$R$4:$W$4,0))))</f>
        <v>373.2008819611379</v>
      </c>
      <c r="N146">
        <f ca="1">IF($C146-N$1&lt;År1,0,M145*(1-VLOOKUP($A146,[1]Hugst!$R$5:$W$9,MATCH(ROUNDUP((N$1)/10,0)*10,[1]Hugst!$R$4:$W$4,0))))</f>
        <v>373.71296530619003</v>
      </c>
      <c r="O146">
        <f ca="1">IF($C146-O$1&lt;År1,0,N145*(1-VLOOKUP($A146,[1]Hugst!$R$5:$W$9,MATCH(ROUNDUP((O$1)/10,0)*10,[1]Hugst!$R$4:$W$4,0))))</f>
        <v>374.22762193437535</v>
      </c>
      <c r="P146">
        <f ca="1">IF($C146-P$1&lt;År1,0,O145*(1-VLOOKUP($A146,[1]Hugst!$R$5:$W$9,MATCH(ROUNDUP((P$1)/10,0)*10,[1]Hugst!$R$4:$W$4,0))))</f>
        <v>596.71456174648119</v>
      </c>
      <c r="Q146">
        <f ca="1">IF($C146-Q$1&lt;År1,0,P145*(1-VLOOKUP($A146,[1]Hugst!$R$5:$W$9,MATCH(ROUNDUP((Q$1)/10,0)*10,[1]Hugst!$R$4:$W$4,0))))</f>
        <v>597.23440379914155</v>
      </c>
      <c r="R146">
        <f ca="1">IF($C146-R$1&lt;År1,0,Q145*(1-VLOOKUP($A146,[1]Hugst!$R$5:$W$9,MATCH(ROUNDUP((R$1)/10,0)*10,[1]Hugst!$R$4:$W$4,0))))</f>
        <v>597.75685812343352</v>
      </c>
      <c r="S146">
        <f ca="1">IF($C146-S$1&lt;År1,0,R145*(1-VLOOKUP($A146,[1]Hugst!$R$5:$W$9,MATCH(ROUNDUP((S$1)/10,0)*10,[1]Hugst!$R$4:$W$4,0))))</f>
        <v>598.28193784633402</v>
      </c>
      <c r="T146">
        <f ca="1">IF($C146-T$1&lt;År1,0,S145*(1-VLOOKUP($A146,[1]Hugst!$R$5:$W$9,MATCH(ROUNDUP((T$1)/10,0)*10,[1]Hugst!$R$4:$W$4,0))))</f>
        <v>598.80965616080709</v>
      </c>
      <c r="U146">
        <f ca="1">IF($C146-U$1&lt;År1,0,T145*(1-VLOOKUP($A146,[1]Hugst!$R$5:$W$9,MATCH(ROUNDUP((U$1)/10,0)*10,[1]Hugst!$R$4:$W$4,0))))</f>
        <v>599.34002632610714</v>
      </c>
      <c r="V146">
        <f ca="1">IF($C146-V$1&lt;År1,0,U145*(1-VLOOKUP($A146,[1]Hugst!$R$5:$W$9,MATCH(ROUNDUP((V$1)/10,0)*10,[1]Hugst!$R$4:$W$4,0))))</f>
        <v>599.87306166811823</v>
      </c>
      <c r="W146">
        <f ca="1">IF($C146-W$1&lt;År1,0,V145*(1-VLOOKUP($A146,[1]Hugst!$R$5:$W$9,MATCH(ROUNDUP((W$1)/10,0)*10,[1]Hugst!$R$4:$W$4,0))))</f>
        <v>600.40877557968702</v>
      </c>
      <c r="X146">
        <f ca="1">IF($C146-X$1&lt;År1,0,W145*(1-VLOOKUP($A146,[1]Hugst!$R$5:$W$9,MATCH(ROUNDUP((X$1)/10,0)*10,[1]Hugst!$R$4:$W$4,0))))</f>
        <v>600.94718152096243</v>
      </c>
      <c r="Y146">
        <f ca="1">IF($C146-Y$1&lt;År1,0,X145*(1-VLOOKUP($A146,[1]Hugst!$R$5:$W$9,MATCH(ROUNDUP((Y$1)/10,0)*10,[1]Hugst!$R$4:$W$4,0))))</f>
        <v>601.48829301972796</v>
      </c>
      <c r="Z146">
        <f ca="1">IF($C146-Z$1&lt;År1,0,Y145*(1-VLOOKUP($A146,[1]Hugst!$R$5:$W$9,MATCH(ROUNDUP((Z$1)/10,0)*10,[1]Hugst!$R$4:$W$4,0))))</f>
        <v>602.03212367175934</v>
      </c>
      <c r="AA146">
        <f>IF($C146-AA$1&lt;År1,0,Z145*(1-VLOOKUP($A146,[1]Hugst!$R$5:$W$9,MATCH(ROUNDUP((AA$1)/10,0)*10,[1]Hugst!$R$4:$W$4,0))))</f>
        <v>0</v>
      </c>
      <c r="AB146">
        <f>IF($C146-AB$1&lt;År1,0,AA145*(1-VLOOKUP($A146,[1]Hugst!$R$5:$W$9,MATCH(ROUNDUP((AB$1)/10,0)*10,[1]Hugst!$R$4:$W$4,0))))</f>
        <v>0</v>
      </c>
      <c r="AC146">
        <f>IF($C146-AC$1&lt;År1,0,AB145*(1-VLOOKUP($A146,[1]Hugst!$R$5:$W$9,MATCH(ROUNDUP((AC$1)/10,0)*10,[1]Hugst!$R$4:$W$4,0))))</f>
        <v>0</v>
      </c>
      <c r="AD146">
        <f>IF($C146-AD$1&lt;År1,0,AC145*(1-VLOOKUP($A146,[1]Hugst!$R$5:$W$9,MATCH(ROUNDUP((AD$1)/10,0)*10,[1]Hugst!$R$4:$W$4,0))))</f>
        <v>0</v>
      </c>
      <c r="AE146">
        <f>IF($C146-AE$1&lt;År1,0,AD145*(1-VLOOKUP($A146,[1]Hugst!$R$5:$W$9,MATCH(ROUNDUP((AE$1)/10,0)*10,[1]Hugst!$R$4:$W$4,0))))</f>
        <v>0</v>
      </c>
      <c r="AF146">
        <f>IF($C146-AF$1&lt;År1,0,AE145*(1-VLOOKUP($A146,[1]Hugst!$R$5:$W$9,MATCH(ROUNDUP((AF$1)/10,0)*10,[1]Hugst!$R$4:$W$4,0))))</f>
        <v>0</v>
      </c>
      <c r="AG146">
        <f>IF($C146-AG$1&lt;År1,0,AF145*(1-VLOOKUP($A146,[1]Hugst!$R$5:$W$9,MATCH(ROUNDUP((AG$1)/10,0)*10,[1]Hugst!$R$4:$W$4,0))))</f>
        <v>0</v>
      </c>
      <c r="AH146">
        <f>IF($C146-AH$1&lt;År1,0,AG145*(1-VLOOKUP($A146,[1]Hugst!$R$5:$W$9,MATCH(ROUNDUP((AH$1)/10,0)*10,[1]Hugst!$R$4:$W$4,0))))</f>
        <v>0</v>
      </c>
      <c r="AI146">
        <f>IF($C146-AI$1&lt;År1,0,AH145*(1-VLOOKUP($A146,[1]Hugst!$R$5:$W$9,MATCH(ROUNDUP((AI$1)/10,0)*10,[1]Hugst!$R$4:$W$4,0))))</f>
        <v>0</v>
      </c>
      <c r="AJ146">
        <f>IF($C146-AJ$1&lt;År1,0,AI145*(1-VLOOKUP($A146,[1]Hugst!$R$5:$W$9,MATCH(ROUNDUP((AJ$1)/10,0)*10,[1]Hugst!$R$4:$W$4,0))))</f>
        <v>0</v>
      </c>
    </row>
    <row r="147" spans="1:36" x14ac:dyDescent="0.25">
      <c r="A147" t="s">
        <v>178</v>
      </c>
      <c r="B147" t="s">
        <v>23</v>
      </c>
      <c r="C147">
        <v>2041</v>
      </c>
      <c r="D147" cm="1">
        <f t="array" ref="D147">(IF(B147="Vestdanmark",Skovbrug!$C$22-(Skovbrug!$C$22)*(1-Skovbrug!$C$9)^(C147-Skovbrug!$B$12),Skovbrug!$F$22-(Skovbrug!$F$22)*(1-Skovbrug!$C$9)^(C147-Skovbrug!$B$12)))*VLOOKUP(A147,Skovbrug!$A$13:$D$17,IF('Skovbrug-alder'!C147&lt;=År2,3,4),FALSE)
-IF(C147&gt;2020,SUM(INDEX($C$1:$D$311,MATCH(1,(2020=$C$1:$C$311)*(B147=$B$1:$B$311)*(A147=$A$1:$A$311),0),2):D146),0)</f>
        <v>97.899026556653553</v>
      </c>
      <c r="E147">
        <f t="shared" ca="1" si="3"/>
        <v>0</v>
      </c>
      <c r="F147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369.19532285294991</v>
      </c>
      <c r="G147">
        <f ca="1">IF($C147-G$1&lt;År1,0,F146*(1-VLOOKUP($A147,[1]Hugst!$R$5:$W$9,MATCH(ROUNDUP((G$1)/10,0)*10,[1]Hugst!$R$4:$W$4,0))))</f>
        <v>369.68727776026782</v>
      </c>
      <c r="H147">
        <f ca="1">IF($C147-H$1&lt;År1,0,G146*(1-VLOOKUP($A147,[1]Hugst!$R$5:$W$9,MATCH(ROUNDUP((H$1)/10,0)*10,[1]Hugst!$R$4:$W$4,0))))</f>
        <v>370.18170480279792</v>
      </c>
      <c r="I147">
        <f ca="1">IF($C147-I$1&lt;År1,0,H146*(1-VLOOKUP($A147,[1]Hugst!$R$5:$W$9,MATCH(ROUNDUP((I$1)/10,0)*10,[1]Hugst!$R$4:$W$4,0))))</f>
        <v>370.67861640333882</v>
      </c>
      <c r="J147">
        <f ca="1">IF($C147-J$1&lt;År1,0,I146*(1-VLOOKUP($A147,[1]Hugst!$R$5:$W$9,MATCH(ROUNDUP((J$1)/10,0)*10,[1]Hugst!$R$4:$W$4,0))))</f>
        <v>371.17802504708953</v>
      </c>
      <c r="K147">
        <f ca="1">IF($C147-K$1&lt;År1,0,J146*(1-VLOOKUP($A147,[1]Hugst!$R$5:$W$9,MATCH(ROUNDUP((K$1)/10,0)*10,[1]Hugst!$R$4:$W$4,0))))</f>
        <v>371.679943282019</v>
      </c>
      <c r="L147">
        <f ca="1">IF($C147-L$1&lt;År1,0,K146*(1-VLOOKUP($A147,[1]Hugst!$R$5:$W$9,MATCH(ROUNDUP((L$1)/10,0)*10,[1]Hugst!$R$4:$W$4,0))))</f>
        <v>372.18438371913368</v>
      </c>
      <c r="M147">
        <f ca="1">IF($C147-M$1&lt;År1,0,L146*(1-VLOOKUP($A147,[1]Hugst!$R$5:$W$9,MATCH(ROUNDUP((M$1)/10,0)*10,[1]Hugst!$R$4:$W$4,0))))</f>
        <v>372.69135903281409</v>
      </c>
      <c r="N147">
        <f ca="1">IF($C147-N$1&lt;År1,0,M146*(1-VLOOKUP($A147,[1]Hugst!$R$5:$W$9,MATCH(ROUNDUP((N$1)/10,0)*10,[1]Hugst!$R$4:$W$4,0))))</f>
        <v>373.2008819611379</v>
      </c>
      <c r="O147">
        <f ca="1">IF($C147-O$1&lt;År1,0,N146*(1-VLOOKUP($A147,[1]Hugst!$R$5:$W$9,MATCH(ROUNDUP((O$1)/10,0)*10,[1]Hugst!$R$4:$W$4,0))))</f>
        <v>373.71296530619003</v>
      </c>
      <c r="P147">
        <f ca="1">IF($C147-P$1&lt;År1,0,O146*(1-VLOOKUP($A147,[1]Hugst!$R$5:$W$9,MATCH(ROUNDUP((P$1)/10,0)*10,[1]Hugst!$R$4:$W$4,0))))</f>
        <v>374.22762193437535</v>
      </c>
      <c r="Q147">
        <f ca="1">IF($C147-Q$1&lt;År1,0,P146*(1-VLOOKUP($A147,[1]Hugst!$R$5:$W$9,MATCH(ROUNDUP((Q$1)/10,0)*10,[1]Hugst!$R$4:$W$4,0))))</f>
        <v>596.71456174648119</v>
      </c>
      <c r="R147">
        <f ca="1">IF($C147-R$1&lt;År1,0,Q146*(1-VLOOKUP($A147,[1]Hugst!$R$5:$W$9,MATCH(ROUNDUP((R$1)/10,0)*10,[1]Hugst!$R$4:$W$4,0))))</f>
        <v>597.23440379914155</v>
      </c>
      <c r="S147">
        <f ca="1">IF($C147-S$1&lt;År1,0,R146*(1-VLOOKUP($A147,[1]Hugst!$R$5:$W$9,MATCH(ROUNDUP((S$1)/10,0)*10,[1]Hugst!$R$4:$W$4,0))))</f>
        <v>597.75685812343352</v>
      </c>
      <c r="T147">
        <f ca="1">IF($C147-T$1&lt;År1,0,S146*(1-VLOOKUP($A147,[1]Hugst!$R$5:$W$9,MATCH(ROUNDUP((T$1)/10,0)*10,[1]Hugst!$R$4:$W$4,0))))</f>
        <v>598.28193784633402</v>
      </c>
      <c r="U147">
        <f ca="1">IF($C147-U$1&lt;År1,0,T146*(1-VLOOKUP($A147,[1]Hugst!$R$5:$W$9,MATCH(ROUNDUP((U$1)/10,0)*10,[1]Hugst!$R$4:$W$4,0))))</f>
        <v>598.80965616080709</v>
      </c>
      <c r="V147">
        <f ca="1">IF($C147-V$1&lt;År1,0,U146*(1-VLOOKUP($A147,[1]Hugst!$R$5:$W$9,MATCH(ROUNDUP((V$1)/10,0)*10,[1]Hugst!$R$4:$W$4,0))))</f>
        <v>599.34002632610714</v>
      </c>
      <c r="W147">
        <f ca="1">IF($C147-W$1&lt;År1,0,V146*(1-VLOOKUP($A147,[1]Hugst!$R$5:$W$9,MATCH(ROUNDUP((W$1)/10,0)*10,[1]Hugst!$R$4:$W$4,0))))</f>
        <v>599.87306166811823</v>
      </c>
      <c r="X147">
        <f ca="1">IF($C147-X$1&lt;År1,0,W146*(1-VLOOKUP($A147,[1]Hugst!$R$5:$W$9,MATCH(ROUNDUP((X$1)/10,0)*10,[1]Hugst!$R$4:$W$4,0))))</f>
        <v>600.40877557968702</v>
      </c>
      <c r="Y147">
        <f ca="1">IF($C147-Y$1&lt;År1,0,X146*(1-VLOOKUP($A147,[1]Hugst!$R$5:$W$9,MATCH(ROUNDUP((Y$1)/10,0)*10,[1]Hugst!$R$4:$W$4,0))))</f>
        <v>600.94718152096243</v>
      </c>
      <c r="Z147">
        <f ca="1">IF($C147-Z$1&lt;År1,0,Y146*(1-VLOOKUP($A147,[1]Hugst!$R$5:$W$9,MATCH(ROUNDUP((Z$1)/10,0)*10,[1]Hugst!$R$4:$W$4,0))))</f>
        <v>601.48829301972796</v>
      </c>
      <c r="AA147">
        <f ca="1">IF($C147-AA$1&lt;År1,0,Z146*(1-VLOOKUP($A147,[1]Hugst!$R$5:$W$9,MATCH(ROUNDUP((AA$1)/10,0)*10,[1]Hugst!$R$4:$W$4,0))))</f>
        <v>602.03212367175934</v>
      </c>
      <c r="AB147">
        <f>IF($C147-AB$1&lt;År1,0,AA146*(1-VLOOKUP($A147,[1]Hugst!$R$5:$W$9,MATCH(ROUNDUP((AB$1)/10,0)*10,[1]Hugst!$R$4:$W$4,0))))</f>
        <v>0</v>
      </c>
      <c r="AC147">
        <f>IF($C147-AC$1&lt;År1,0,AB146*(1-VLOOKUP($A147,[1]Hugst!$R$5:$W$9,MATCH(ROUNDUP((AC$1)/10,0)*10,[1]Hugst!$R$4:$W$4,0))))</f>
        <v>0</v>
      </c>
      <c r="AD147">
        <f>IF($C147-AD$1&lt;År1,0,AC146*(1-VLOOKUP($A147,[1]Hugst!$R$5:$W$9,MATCH(ROUNDUP((AD$1)/10,0)*10,[1]Hugst!$R$4:$W$4,0))))</f>
        <v>0</v>
      </c>
      <c r="AE147">
        <f>IF($C147-AE$1&lt;År1,0,AD146*(1-VLOOKUP($A147,[1]Hugst!$R$5:$W$9,MATCH(ROUNDUP((AE$1)/10,0)*10,[1]Hugst!$R$4:$W$4,0))))</f>
        <v>0</v>
      </c>
      <c r="AF147">
        <f>IF($C147-AF$1&lt;År1,0,AE146*(1-VLOOKUP($A147,[1]Hugst!$R$5:$W$9,MATCH(ROUNDUP((AF$1)/10,0)*10,[1]Hugst!$R$4:$W$4,0))))</f>
        <v>0</v>
      </c>
      <c r="AG147">
        <f>IF($C147-AG$1&lt;År1,0,AF146*(1-VLOOKUP($A147,[1]Hugst!$R$5:$W$9,MATCH(ROUNDUP((AG$1)/10,0)*10,[1]Hugst!$R$4:$W$4,0))))</f>
        <v>0</v>
      </c>
      <c r="AH147">
        <f>IF($C147-AH$1&lt;År1,0,AG146*(1-VLOOKUP($A147,[1]Hugst!$R$5:$W$9,MATCH(ROUNDUP((AH$1)/10,0)*10,[1]Hugst!$R$4:$W$4,0))))</f>
        <v>0</v>
      </c>
      <c r="AI147">
        <f>IF($C147-AI$1&lt;År1,0,AH146*(1-VLOOKUP($A147,[1]Hugst!$R$5:$W$9,MATCH(ROUNDUP((AI$1)/10,0)*10,[1]Hugst!$R$4:$W$4,0))))</f>
        <v>0</v>
      </c>
      <c r="AJ147">
        <f>IF($C147-AJ$1&lt;År1,0,AI146*(1-VLOOKUP($A147,[1]Hugst!$R$5:$W$9,MATCH(ROUNDUP((AJ$1)/10,0)*10,[1]Hugst!$R$4:$W$4,0))))</f>
        <v>0</v>
      </c>
    </row>
    <row r="148" spans="1:36" x14ac:dyDescent="0.25">
      <c r="A148" t="s">
        <v>178</v>
      </c>
      <c r="B148" t="s">
        <v>23</v>
      </c>
      <c r="C148">
        <v>2042</v>
      </c>
      <c r="D148" cm="1">
        <f t="array" ref="D148">(IF(B148="Vestdanmark",Skovbrug!$C$22-(Skovbrug!$C$22)*(1-Skovbrug!$C$9)^(C148-Skovbrug!$B$12),Skovbrug!$F$22-(Skovbrug!$F$22)*(1-Skovbrug!$C$9)^(C148-Skovbrug!$B$12)))*VLOOKUP(A148,Skovbrug!$A$13:$D$17,IF('Skovbrug-alder'!C148&lt;=År2,3,4),FALSE)
-IF(C148&gt;2020,SUM(INDEX($C$1:$D$311,MATCH(1,(2020=$C$1:$C$311)*(B148=$B$1:$B$311)*(A148=$A$1:$A$311),0),2):D147),0)</f>
        <v>97.409531423868884</v>
      </c>
      <c r="E148">
        <f t="shared" ca="1" si="3"/>
        <v>0</v>
      </c>
      <c r="F14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368.70582772016525</v>
      </c>
      <c r="G148">
        <f ca="1">IF($C148-G$1&lt;År1,0,F147*(1-VLOOKUP($A148,[1]Hugst!$R$5:$W$9,MATCH(ROUNDUP((G$1)/10,0)*10,[1]Hugst!$R$4:$W$4,0))))</f>
        <v>369.19532285294991</v>
      </c>
      <c r="H148">
        <f ca="1">IF($C148-H$1&lt;År1,0,G147*(1-VLOOKUP($A148,[1]Hugst!$R$5:$W$9,MATCH(ROUNDUP((H$1)/10,0)*10,[1]Hugst!$R$4:$W$4,0))))</f>
        <v>369.68727776026782</v>
      </c>
      <c r="I148">
        <f ca="1">IF($C148-I$1&lt;År1,0,H147*(1-VLOOKUP($A148,[1]Hugst!$R$5:$W$9,MATCH(ROUNDUP((I$1)/10,0)*10,[1]Hugst!$R$4:$W$4,0))))</f>
        <v>370.18170480279792</v>
      </c>
      <c r="J148">
        <f ca="1">IF($C148-J$1&lt;År1,0,I147*(1-VLOOKUP($A148,[1]Hugst!$R$5:$W$9,MATCH(ROUNDUP((J$1)/10,0)*10,[1]Hugst!$R$4:$W$4,0))))</f>
        <v>370.67861640333882</v>
      </c>
      <c r="K148">
        <f ca="1">IF($C148-K$1&lt;År1,0,J147*(1-VLOOKUP($A148,[1]Hugst!$R$5:$W$9,MATCH(ROUNDUP((K$1)/10,0)*10,[1]Hugst!$R$4:$W$4,0))))</f>
        <v>371.17802504708953</v>
      </c>
      <c r="L148">
        <f ca="1">IF($C148-L$1&lt;År1,0,K147*(1-VLOOKUP($A148,[1]Hugst!$R$5:$W$9,MATCH(ROUNDUP((L$1)/10,0)*10,[1]Hugst!$R$4:$W$4,0))))</f>
        <v>371.679943282019</v>
      </c>
      <c r="M148">
        <f ca="1">IF($C148-M$1&lt;År1,0,L147*(1-VLOOKUP($A148,[1]Hugst!$R$5:$W$9,MATCH(ROUNDUP((M$1)/10,0)*10,[1]Hugst!$R$4:$W$4,0))))</f>
        <v>372.18438371913368</v>
      </c>
      <c r="N148">
        <f ca="1">IF($C148-N$1&lt;År1,0,M147*(1-VLOOKUP($A148,[1]Hugst!$R$5:$W$9,MATCH(ROUNDUP((N$1)/10,0)*10,[1]Hugst!$R$4:$W$4,0))))</f>
        <v>372.69135903281409</v>
      </c>
      <c r="O148">
        <f ca="1">IF($C148-O$1&lt;År1,0,N147*(1-VLOOKUP($A148,[1]Hugst!$R$5:$W$9,MATCH(ROUNDUP((O$1)/10,0)*10,[1]Hugst!$R$4:$W$4,0))))</f>
        <v>373.2008819611379</v>
      </c>
      <c r="P148">
        <f ca="1">IF($C148-P$1&lt;År1,0,O147*(1-VLOOKUP($A148,[1]Hugst!$R$5:$W$9,MATCH(ROUNDUP((P$1)/10,0)*10,[1]Hugst!$R$4:$W$4,0))))</f>
        <v>373.71296530619003</v>
      </c>
      <c r="Q148">
        <f ca="1">IF($C148-Q$1&lt;År1,0,P147*(1-VLOOKUP($A148,[1]Hugst!$R$5:$W$9,MATCH(ROUNDUP((Q$1)/10,0)*10,[1]Hugst!$R$4:$W$4,0))))</f>
        <v>374.22762193437535</v>
      </c>
      <c r="R148">
        <f ca="1">IF($C148-R$1&lt;År1,0,Q147*(1-VLOOKUP($A148,[1]Hugst!$R$5:$W$9,MATCH(ROUNDUP((R$1)/10,0)*10,[1]Hugst!$R$4:$W$4,0))))</f>
        <v>596.71456174648119</v>
      </c>
      <c r="S148">
        <f ca="1">IF($C148-S$1&lt;År1,0,R147*(1-VLOOKUP($A148,[1]Hugst!$R$5:$W$9,MATCH(ROUNDUP((S$1)/10,0)*10,[1]Hugst!$R$4:$W$4,0))))</f>
        <v>597.23440379914155</v>
      </c>
      <c r="T148">
        <f ca="1">IF($C148-T$1&lt;År1,0,S147*(1-VLOOKUP($A148,[1]Hugst!$R$5:$W$9,MATCH(ROUNDUP((T$1)/10,0)*10,[1]Hugst!$R$4:$W$4,0))))</f>
        <v>597.75685812343352</v>
      </c>
      <c r="U148">
        <f ca="1">IF($C148-U$1&lt;År1,0,T147*(1-VLOOKUP($A148,[1]Hugst!$R$5:$W$9,MATCH(ROUNDUP((U$1)/10,0)*10,[1]Hugst!$R$4:$W$4,0))))</f>
        <v>598.28193784633402</v>
      </c>
      <c r="V148">
        <f ca="1">IF($C148-V$1&lt;År1,0,U147*(1-VLOOKUP($A148,[1]Hugst!$R$5:$W$9,MATCH(ROUNDUP((V$1)/10,0)*10,[1]Hugst!$R$4:$W$4,0))))</f>
        <v>598.80965616080709</v>
      </c>
      <c r="W148">
        <f ca="1">IF($C148-W$1&lt;År1,0,V147*(1-VLOOKUP($A148,[1]Hugst!$R$5:$W$9,MATCH(ROUNDUP((W$1)/10,0)*10,[1]Hugst!$R$4:$W$4,0))))</f>
        <v>599.34002632610714</v>
      </c>
      <c r="X148">
        <f ca="1">IF($C148-X$1&lt;År1,0,W147*(1-VLOOKUP($A148,[1]Hugst!$R$5:$W$9,MATCH(ROUNDUP((X$1)/10,0)*10,[1]Hugst!$R$4:$W$4,0))))</f>
        <v>599.87306166811823</v>
      </c>
      <c r="Y148">
        <f ca="1">IF($C148-Y$1&lt;År1,0,X147*(1-VLOOKUP($A148,[1]Hugst!$R$5:$W$9,MATCH(ROUNDUP((Y$1)/10,0)*10,[1]Hugst!$R$4:$W$4,0))))</f>
        <v>600.40877557968702</v>
      </c>
      <c r="Z148">
        <f ca="1">IF($C148-Z$1&lt;År1,0,Y147*(1-VLOOKUP($A148,[1]Hugst!$R$5:$W$9,MATCH(ROUNDUP((Z$1)/10,0)*10,[1]Hugst!$R$4:$W$4,0))))</f>
        <v>600.94718152096243</v>
      </c>
      <c r="AA148">
        <f ca="1">IF($C148-AA$1&lt;År1,0,Z147*(1-VLOOKUP($A148,[1]Hugst!$R$5:$W$9,MATCH(ROUNDUP((AA$1)/10,0)*10,[1]Hugst!$R$4:$W$4,0))))</f>
        <v>601.48829301972796</v>
      </c>
      <c r="AB148">
        <f ca="1">IF($C148-AB$1&lt;År1,0,AA147*(1-VLOOKUP($A148,[1]Hugst!$R$5:$W$9,MATCH(ROUNDUP((AB$1)/10,0)*10,[1]Hugst!$R$4:$W$4,0))))</f>
        <v>602.03212367175934</v>
      </c>
      <c r="AC148">
        <f>IF($C148-AC$1&lt;År1,0,AB147*(1-VLOOKUP($A148,[1]Hugst!$R$5:$W$9,MATCH(ROUNDUP((AC$1)/10,0)*10,[1]Hugst!$R$4:$W$4,0))))</f>
        <v>0</v>
      </c>
      <c r="AD148">
        <f>IF($C148-AD$1&lt;År1,0,AC147*(1-VLOOKUP($A148,[1]Hugst!$R$5:$W$9,MATCH(ROUNDUP((AD$1)/10,0)*10,[1]Hugst!$R$4:$W$4,0))))</f>
        <v>0</v>
      </c>
      <c r="AE148">
        <f>IF($C148-AE$1&lt;År1,0,AD147*(1-VLOOKUP($A148,[1]Hugst!$R$5:$W$9,MATCH(ROUNDUP((AE$1)/10,0)*10,[1]Hugst!$R$4:$W$4,0))))</f>
        <v>0</v>
      </c>
      <c r="AF148">
        <f>IF($C148-AF$1&lt;År1,0,AE147*(1-VLOOKUP($A148,[1]Hugst!$R$5:$W$9,MATCH(ROUNDUP((AF$1)/10,0)*10,[1]Hugst!$R$4:$W$4,0))))</f>
        <v>0</v>
      </c>
      <c r="AG148">
        <f>IF($C148-AG$1&lt;År1,0,AF147*(1-VLOOKUP($A148,[1]Hugst!$R$5:$W$9,MATCH(ROUNDUP((AG$1)/10,0)*10,[1]Hugst!$R$4:$W$4,0))))</f>
        <v>0</v>
      </c>
      <c r="AH148">
        <f>IF($C148-AH$1&lt;År1,0,AG147*(1-VLOOKUP($A148,[1]Hugst!$R$5:$W$9,MATCH(ROUNDUP((AH$1)/10,0)*10,[1]Hugst!$R$4:$W$4,0))))</f>
        <v>0</v>
      </c>
      <c r="AI148">
        <f>IF($C148-AI$1&lt;År1,0,AH147*(1-VLOOKUP($A148,[1]Hugst!$R$5:$W$9,MATCH(ROUNDUP((AI$1)/10,0)*10,[1]Hugst!$R$4:$W$4,0))))</f>
        <v>0</v>
      </c>
      <c r="AJ148">
        <f>IF($C148-AJ$1&lt;År1,0,AI147*(1-VLOOKUP($A148,[1]Hugst!$R$5:$W$9,MATCH(ROUNDUP((AJ$1)/10,0)*10,[1]Hugst!$R$4:$W$4,0))))</f>
        <v>0</v>
      </c>
    </row>
    <row r="149" spans="1:36" x14ac:dyDescent="0.25">
      <c r="A149" t="s">
        <v>178</v>
      </c>
      <c r="B149" t="s">
        <v>23</v>
      </c>
      <c r="C149">
        <v>2043</v>
      </c>
      <c r="D149" cm="1">
        <f t="array" ref="D149">(IF(B149="Vestdanmark",Skovbrug!$C$22-(Skovbrug!$C$22)*(1-Skovbrug!$C$9)^(C149-Skovbrug!$B$12),Skovbrug!$F$22-(Skovbrug!$F$22)*(1-Skovbrug!$C$9)^(C149-Skovbrug!$B$12)))*VLOOKUP(A149,Skovbrug!$A$13:$D$17,IF('Skovbrug-alder'!C149&lt;=År2,3,4),FALSE)
-IF(C149&gt;2020,SUM(INDEX($C$1:$D$311,MATCH(1,(2020=$C$1:$C$311)*(B149=$B$1:$B$311)*(A149=$A$1:$A$311),0),2):D148),0)</f>
        <v>96.922483766748428</v>
      </c>
      <c r="E149">
        <f t="shared" ca="1" si="3"/>
        <v>0</v>
      </c>
      <c r="F149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368.21878006304479</v>
      </c>
      <c r="G149">
        <f ca="1">IF($C149-G$1&lt;År1,0,F148*(1-VLOOKUP($A149,[1]Hugst!$R$5:$W$9,MATCH(ROUNDUP((G$1)/10,0)*10,[1]Hugst!$R$4:$W$4,0))))</f>
        <v>368.70582772016525</v>
      </c>
      <c r="H149">
        <f ca="1">IF($C149-H$1&lt;År1,0,G148*(1-VLOOKUP($A149,[1]Hugst!$R$5:$W$9,MATCH(ROUNDUP((H$1)/10,0)*10,[1]Hugst!$R$4:$W$4,0))))</f>
        <v>369.19532285294991</v>
      </c>
      <c r="I149">
        <f ca="1">IF($C149-I$1&lt;År1,0,H148*(1-VLOOKUP($A149,[1]Hugst!$R$5:$W$9,MATCH(ROUNDUP((I$1)/10,0)*10,[1]Hugst!$R$4:$W$4,0))))</f>
        <v>369.68727776026782</v>
      </c>
      <c r="J149">
        <f ca="1">IF($C149-J$1&lt;År1,0,I148*(1-VLOOKUP($A149,[1]Hugst!$R$5:$W$9,MATCH(ROUNDUP((J$1)/10,0)*10,[1]Hugst!$R$4:$W$4,0))))</f>
        <v>370.18170480279792</v>
      </c>
      <c r="K149">
        <f ca="1">IF($C149-K$1&lt;År1,0,J148*(1-VLOOKUP($A149,[1]Hugst!$R$5:$W$9,MATCH(ROUNDUP((K$1)/10,0)*10,[1]Hugst!$R$4:$W$4,0))))</f>
        <v>370.67861640333882</v>
      </c>
      <c r="L149">
        <f ca="1">IF($C149-L$1&lt;År1,0,K148*(1-VLOOKUP($A149,[1]Hugst!$R$5:$W$9,MATCH(ROUNDUP((L$1)/10,0)*10,[1]Hugst!$R$4:$W$4,0))))</f>
        <v>371.17802504708953</v>
      </c>
      <c r="M149">
        <f ca="1">IF($C149-M$1&lt;År1,0,L148*(1-VLOOKUP($A149,[1]Hugst!$R$5:$W$9,MATCH(ROUNDUP((M$1)/10,0)*10,[1]Hugst!$R$4:$W$4,0))))</f>
        <v>371.679943282019</v>
      </c>
      <c r="N149">
        <f ca="1">IF($C149-N$1&lt;År1,0,M148*(1-VLOOKUP($A149,[1]Hugst!$R$5:$W$9,MATCH(ROUNDUP((N$1)/10,0)*10,[1]Hugst!$R$4:$W$4,0))))</f>
        <v>372.18438371913368</v>
      </c>
      <c r="O149">
        <f ca="1">IF($C149-O$1&lt;År1,0,N148*(1-VLOOKUP($A149,[1]Hugst!$R$5:$W$9,MATCH(ROUNDUP((O$1)/10,0)*10,[1]Hugst!$R$4:$W$4,0))))</f>
        <v>372.69135903281409</v>
      </c>
      <c r="P149">
        <f ca="1">IF($C149-P$1&lt;År1,0,O148*(1-VLOOKUP($A149,[1]Hugst!$R$5:$W$9,MATCH(ROUNDUP((P$1)/10,0)*10,[1]Hugst!$R$4:$W$4,0))))</f>
        <v>373.2008819611379</v>
      </c>
      <c r="Q149">
        <f ca="1">IF($C149-Q$1&lt;År1,0,P148*(1-VLOOKUP($A149,[1]Hugst!$R$5:$W$9,MATCH(ROUNDUP((Q$1)/10,0)*10,[1]Hugst!$R$4:$W$4,0))))</f>
        <v>373.71296530619003</v>
      </c>
      <c r="R149">
        <f ca="1">IF($C149-R$1&lt;År1,0,Q148*(1-VLOOKUP($A149,[1]Hugst!$R$5:$W$9,MATCH(ROUNDUP((R$1)/10,0)*10,[1]Hugst!$R$4:$W$4,0))))</f>
        <v>374.22762193437535</v>
      </c>
      <c r="S149">
        <f ca="1">IF($C149-S$1&lt;År1,0,R148*(1-VLOOKUP($A149,[1]Hugst!$R$5:$W$9,MATCH(ROUNDUP((S$1)/10,0)*10,[1]Hugst!$R$4:$W$4,0))))</f>
        <v>596.71456174648119</v>
      </c>
      <c r="T149">
        <f ca="1">IF($C149-T$1&lt;År1,0,S148*(1-VLOOKUP($A149,[1]Hugst!$R$5:$W$9,MATCH(ROUNDUP((T$1)/10,0)*10,[1]Hugst!$R$4:$W$4,0))))</f>
        <v>597.23440379914155</v>
      </c>
      <c r="U149">
        <f ca="1">IF($C149-U$1&lt;År1,0,T148*(1-VLOOKUP($A149,[1]Hugst!$R$5:$W$9,MATCH(ROUNDUP((U$1)/10,0)*10,[1]Hugst!$R$4:$W$4,0))))</f>
        <v>597.75685812343352</v>
      </c>
      <c r="V149">
        <f ca="1">IF($C149-V$1&lt;År1,0,U148*(1-VLOOKUP($A149,[1]Hugst!$R$5:$W$9,MATCH(ROUNDUP((V$1)/10,0)*10,[1]Hugst!$R$4:$W$4,0))))</f>
        <v>598.28193784633402</v>
      </c>
      <c r="W149">
        <f ca="1">IF($C149-W$1&lt;År1,0,V148*(1-VLOOKUP($A149,[1]Hugst!$R$5:$W$9,MATCH(ROUNDUP((W$1)/10,0)*10,[1]Hugst!$R$4:$W$4,0))))</f>
        <v>598.80965616080709</v>
      </c>
      <c r="X149">
        <f ca="1">IF($C149-X$1&lt;År1,0,W148*(1-VLOOKUP($A149,[1]Hugst!$R$5:$W$9,MATCH(ROUNDUP((X$1)/10,0)*10,[1]Hugst!$R$4:$W$4,0))))</f>
        <v>599.34002632610714</v>
      </c>
      <c r="Y149">
        <f ca="1">IF($C149-Y$1&lt;År1,0,X148*(1-VLOOKUP($A149,[1]Hugst!$R$5:$W$9,MATCH(ROUNDUP((Y$1)/10,0)*10,[1]Hugst!$R$4:$W$4,0))))</f>
        <v>599.87306166811823</v>
      </c>
      <c r="Z149">
        <f ca="1">IF($C149-Z$1&lt;År1,0,Y148*(1-VLOOKUP($A149,[1]Hugst!$R$5:$W$9,MATCH(ROUNDUP((Z$1)/10,0)*10,[1]Hugst!$R$4:$W$4,0))))</f>
        <v>600.40877557968702</v>
      </c>
      <c r="AA149">
        <f ca="1">IF($C149-AA$1&lt;År1,0,Z148*(1-VLOOKUP($A149,[1]Hugst!$R$5:$W$9,MATCH(ROUNDUP((AA$1)/10,0)*10,[1]Hugst!$R$4:$W$4,0))))</f>
        <v>600.94718152096243</v>
      </c>
      <c r="AB149">
        <f ca="1">IF($C149-AB$1&lt;År1,0,AA148*(1-VLOOKUP($A149,[1]Hugst!$R$5:$W$9,MATCH(ROUNDUP((AB$1)/10,0)*10,[1]Hugst!$R$4:$W$4,0))))</f>
        <v>601.48829301972796</v>
      </c>
      <c r="AC149">
        <f ca="1">IF($C149-AC$1&lt;År1,0,AB148*(1-VLOOKUP($A149,[1]Hugst!$R$5:$W$9,MATCH(ROUNDUP((AC$1)/10,0)*10,[1]Hugst!$R$4:$W$4,0))))</f>
        <v>602.03212367175934</v>
      </c>
      <c r="AD149">
        <f>IF($C149-AD$1&lt;År1,0,AC148*(1-VLOOKUP($A149,[1]Hugst!$R$5:$W$9,MATCH(ROUNDUP((AD$1)/10,0)*10,[1]Hugst!$R$4:$W$4,0))))</f>
        <v>0</v>
      </c>
      <c r="AE149">
        <f>IF($C149-AE$1&lt;År1,0,AD148*(1-VLOOKUP($A149,[1]Hugst!$R$5:$W$9,MATCH(ROUNDUP((AE$1)/10,0)*10,[1]Hugst!$R$4:$W$4,0))))</f>
        <v>0</v>
      </c>
      <c r="AF149">
        <f>IF($C149-AF$1&lt;År1,0,AE148*(1-VLOOKUP($A149,[1]Hugst!$R$5:$W$9,MATCH(ROUNDUP((AF$1)/10,0)*10,[1]Hugst!$R$4:$W$4,0))))</f>
        <v>0</v>
      </c>
      <c r="AG149">
        <f>IF($C149-AG$1&lt;År1,0,AF148*(1-VLOOKUP($A149,[1]Hugst!$R$5:$W$9,MATCH(ROUNDUP((AG$1)/10,0)*10,[1]Hugst!$R$4:$W$4,0))))</f>
        <v>0</v>
      </c>
      <c r="AH149">
        <f>IF($C149-AH$1&lt;År1,0,AG148*(1-VLOOKUP($A149,[1]Hugst!$R$5:$W$9,MATCH(ROUNDUP((AH$1)/10,0)*10,[1]Hugst!$R$4:$W$4,0))))</f>
        <v>0</v>
      </c>
      <c r="AI149">
        <f>IF($C149-AI$1&lt;År1,0,AH148*(1-VLOOKUP($A149,[1]Hugst!$R$5:$W$9,MATCH(ROUNDUP((AI$1)/10,0)*10,[1]Hugst!$R$4:$W$4,0))))</f>
        <v>0</v>
      </c>
      <c r="AJ149">
        <f>IF($C149-AJ$1&lt;År1,0,AI148*(1-VLOOKUP($A149,[1]Hugst!$R$5:$W$9,MATCH(ROUNDUP((AJ$1)/10,0)*10,[1]Hugst!$R$4:$W$4,0))))</f>
        <v>0</v>
      </c>
    </row>
    <row r="150" spans="1:36" x14ac:dyDescent="0.25">
      <c r="A150" t="s">
        <v>178</v>
      </c>
      <c r="B150" t="s">
        <v>23</v>
      </c>
      <c r="C150">
        <v>2044</v>
      </c>
      <c r="D150" cm="1">
        <f t="array" ref="D150">(IF(B150="Vestdanmark",Skovbrug!$C$22-(Skovbrug!$C$22)*(1-Skovbrug!$C$9)^(C150-Skovbrug!$B$12),Skovbrug!$F$22-(Skovbrug!$F$22)*(1-Skovbrug!$C$9)^(C150-Skovbrug!$B$12)))*VLOOKUP(A150,Skovbrug!$A$13:$D$17,IF('Skovbrug-alder'!C150&lt;=År2,3,4),FALSE)
-IF(C150&gt;2020,SUM(INDEX($C$1:$D$311,MATCH(1,(2020=$C$1:$C$311)*(B150=$B$1:$B$311)*(A150=$A$1:$A$311),0),2):D149),0)</f>
        <v>96.437871347915006</v>
      </c>
      <c r="E150">
        <f t="shared" ca="1" si="3"/>
        <v>0</v>
      </c>
      <c r="F150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367.73416764421137</v>
      </c>
      <c r="G150">
        <f ca="1">IF($C150-G$1&lt;År1,0,F149*(1-VLOOKUP($A150,[1]Hugst!$R$5:$W$9,MATCH(ROUNDUP((G$1)/10,0)*10,[1]Hugst!$R$4:$W$4,0))))</f>
        <v>368.21878006304479</v>
      </c>
      <c r="H150">
        <f ca="1">IF($C150-H$1&lt;År1,0,G149*(1-VLOOKUP($A150,[1]Hugst!$R$5:$W$9,MATCH(ROUNDUP((H$1)/10,0)*10,[1]Hugst!$R$4:$W$4,0))))</f>
        <v>368.70582772016525</v>
      </c>
      <c r="I150">
        <f ca="1">IF($C150-I$1&lt;År1,0,H149*(1-VLOOKUP($A150,[1]Hugst!$R$5:$W$9,MATCH(ROUNDUP((I$1)/10,0)*10,[1]Hugst!$R$4:$W$4,0))))</f>
        <v>369.19532285294991</v>
      </c>
      <c r="J150">
        <f ca="1">IF($C150-J$1&lt;År1,0,I149*(1-VLOOKUP($A150,[1]Hugst!$R$5:$W$9,MATCH(ROUNDUP((J$1)/10,0)*10,[1]Hugst!$R$4:$W$4,0))))</f>
        <v>369.68727776026782</v>
      </c>
      <c r="K150">
        <f ca="1">IF($C150-K$1&lt;År1,0,J149*(1-VLOOKUP($A150,[1]Hugst!$R$5:$W$9,MATCH(ROUNDUP((K$1)/10,0)*10,[1]Hugst!$R$4:$W$4,0))))</f>
        <v>370.18170480279792</v>
      </c>
      <c r="L150">
        <f ca="1">IF($C150-L$1&lt;År1,0,K149*(1-VLOOKUP($A150,[1]Hugst!$R$5:$W$9,MATCH(ROUNDUP((L$1)/10,0)*10,[1]Hugst!$R$4:$W$4,0))))</f>
        <v>370.67861640333882</v>
      </c>
      <c r="M150">
        <f ca="1">IF($C150-M$1&lt;År1,0,L149*(1-VLOOKUP($A150,[1]Hugst!$R$5:$W$9,MATCH(ROUNDUP((M$1)/10,0)*10,[1]Hugst!$R$4:$W$4,0))))</f>
        <v>371.17802504708953</v>
      </c>
      <c r="N150">
        <f ca="1">IF($C150-N$1&lt;År1,0,M149*(1-VLOOKUP($A150,[1]Hugst!$R$5:$W$9,MATCH(ROUNDUP((N$1)/10,0)*10,[1]Hugst!$R$4:$W$4,0))))</f>
        <v>371.679943282019</v>
      </c>
      <c r="O150">
        <f ca="1">IF($C150-O$1&lt;År1,0,N149*(1-VLOOKUP($A150,[1]Hugst!$R$5:$W$9,MATCH(ROUNDUP((O$1)/10,0)*10,[1]Hugst!$R$4:$W$4,0))))</f>
        <v>372.18438371913368</v>
      </c>
      <c r="P150">
        <f ca="1">IF($C150-P$1&lt;År1,0,O149*(1-VLOOKUP($A150,[1]Hugst!$R$5:$W$9,MATCH(ROUNDUP((P$1)/10,0)*10,[1]Hugst!$R$4:$W$4,0))))</f>
        <v>372.69135903281409</v>
      </c>
      <c r="Q150">
        <f ca="1">IF($C150-Q$1&lt;År1,0,P149*(1-VLOOKUP($A150,[1]Hugst!$R$5:$W$9,MATCH(ROUNDUP((Q$1)/10,0)*10,[1]Hugst!$R$4:$W$4,0))))</f>
        <v>373.2008819611379</v>
      </c>
      <c r="R150">
        <f ca="1">IF($C150-R$1&lt;År1,0,Q149*(1-VLOOKUP($A150,[1]Hugst!$R$5:$W$9,MATCH(ROUNDUP((R$1)/10,0)*10,[1]Hugst!$R$4:$W$4,0))))</f>
        <v>373.71296530619003</v>
      </c>
      <c r="S150">
        <f ca="1">IF($C150-S$1&lt;År1,0,R149*(1-VLOOKUP($A150,[1]Hugst!$R$5:$W$9,MATCH(ROUNDUP((S$1)/10,0)*10,[1]Hugst!$R$4:$W$4,0))))</f>
        <v>374.22762193437535</v>
      </c>
      <c r="T150">
        <f ca="1">IF($C150-T$1&lt;År1,0,S149*(1-VLOOKUP($A150,[1]Hugst!$R$5:$W$9,MATCH(ROUNDUP((T$1)/10,0)*10,[1]Hugst!$R$4:$W$4,0))))</f>
        <v>596.71456174648119</v>
      </c>
      <c r="U150">
        <f ca="1">IF($C150-U$1&lt;År1,0,T149*(1-VLOOKUP($A150,[1]Hugst!$R$5:$W$9,MATCH(ROUNDUP((U$1)/10,0)*10,[1]Hugst!$R$4:$W$4,0))))</f>
        <v>597.23440379914155</v>
      </c>
      <c r="V150">
        <f ca="1">IF($C150-V$1&lt;År1,0,U149*(1-VLOOKUP($A150,[1]Hugst!$R$5:$W$9,MATCH(ROUNDUP((V$1)/10,0)*10,[1]Hugst!$R$4:$W$4,0))))</f>
        <v>597.75685812343352</v>
      </c>
      <c r="W150">
        <f ca="1">IF($C150-W$1&lt;År1,0,V149*(1-VLOOKUP($A150,[1]Hugst!$R$5:$W$9,MATCH(ROUNDUP((W$1)/10,0)*10,[1]Hugst!$R$4:$W$4,0))))</f>
        <v>598.28193784633402</v>
      </c>
      <c r="X150">
        <f ca="1">IF($C150-X$1&lt;År1,0,W149*(1-VLOOKUP($A150,[1]Hugst!$R$5:$W$9,MATCH(ROUNDUP((X$1)/10,0)*10,[1]Hugst!$R$4:$W$4,0))))</f>
        <v>598.80965616080709</v>
      </c>
      <c r="Y150">
        <f ca="1">IF($C150-Y$1&lt;År1,0,X149*(1-VLOOKUP($A150,[1]Hugst!$R$5:$W$9,MATCH(ROUNDUP((Y$1)/10,0)*10,[1]Hugst!$R$4:$W$4,0))))</f>
        <v>599.34002632610714</v>
      </c>
      <c r="Z150">
        <f ca="1">IF($C150-Z$1&lt;År1,0,Y149*(1-VLOOKUP($A150,[1]Hugst!$R$5:$W$9,MATCH(ROUNDUP((Z$1)/10,0)*10,[1]Hugst!$R$4:$W$4,0))))</f>
        <v>599.87306166811823</v>
      </c>
      <c r="AA150">
        <f ca="1">IF($C150-AA$1&lt;År1,0,Z149*(1-VLOOKUP($A150,[1]Hugst!$R$5:$W$9,MATCH(ROUNDUP((AA$1)/10,0)*10,[1]Hugst!$R$4:$W$4,0))))</f>
        <v>600.40877557968702</v>
      </c>
      <c r="AB150">
        <f ca="1">IF($C150-AB$1&lt;År1,0,AA149*(1-VLOOKUP($A150,[1]Hugst!$R$5:$W$9,MATCH(ROUNDUP((AB$1)/10,0)*10,[1]Hugst!$R$4:$W$4,0))))</f>
        <v>600.94718152096243</v>
      </c>
      <c r="AC150">
        <f ca="1">IF($C150-AC$1&lt;År1,0,AB149*(1-VLOOKUP($A150,[1]Hugst!$R$5:$W$9,MATCH(ROUNDUP((AC$1)/10,0)*10,[1]Hugst!$R$4:$W$4,0))))</f>
        <v>601.48829301972796</v>
      </c>
      <c r="AD150">
        <f ca="1">IF($C150-AD$1&lt;År1,0,AC149*(1-VLOOKUP($A150,[1]Hugst!$R$5:$W$9,MATCH(ROUNDUP((AD$1)/10,0)*10,[1]Hugst!$R$4:$W$4,0))))</f>
        <v>602.03212367175934</v>
      </c>
      <c r="AE150">
        <f>IF($C150-AE$1&lt;År1,0,AD149*(1-VLOOKUP($A150,[1]Hugst!$R$5:$W$9,MATCH(ROUNDUP((AE$1)/10,0)*10,[1]Hugst!$R$4:$W$4,0))))</f>
        <v>0</v>
      </c>
      <c r="AF150">
        <f>IF($C150-AF$1&lt;År1,0,AE149*(1-VLOOKUP($A150,[1]Hugst!$R$5:$W$9,MATCH(ROUNDUP((AF$1)/10,0)*10,[1]Hugst!$R$4:$W$4,0))))</f>
        <v>0</v>
      </c>
      <c r="AG150">
        <f>IF($C150-AG$1&lt;År1,0,AF149*(1-VLOOKUP($A150,[1]Hugst!$R$5:$W$9,MATCH(ROUNDUP((AG$1)/10,0)*10,[1]Hugst!$R$4:$W$4,0))))</f>
        <v>0</v>
      </c>
      <c r="AH150">
        <f>IF($C150-AH$1&lt;År1,0,AG149*(1-VLOOKUP($A150,[1]Hugst!$R$5:$W$9,MATCH(ROUNDUP((AH$1)/10,0)*10,[1]Hugst!$R$4:$W$4,0))))</f>
        <v>0</v>
      </c>
      <c r="AI150">
        <f>IF($C150-AI$1&lt;År1,0,AH149*(1-VLOOKUP($A150,[1]Hugst!$R$5:$W$9,MATCH(ROUNDUP((AI$1)/10,0)*10,[1]Hugst!$R$4:$W$4,0))))</f>
        <v>0</v>
      </c>
      <c r="AJ150">
        <f>IF($C150-AJ$1&lt;År1,0,AI149*(1-VLOOKUP($A150,[1]Hugst!$R$5:$W$9,MATCH(ROUNDUP((AJ$1)/10,0)*10,[1]Hugst!$R$4:$W$4,0))))</f>
        <v>0</v>
      </c>
    </row>
    <row r="151" spans="1:36" x14ac:dyDescent="0.25">
      <c r="A151" t="s">
        <v>178</v>
      </c>
      <c r="B151" t="s">
        <v>23</v>
      </c>
      <c r="C151">
        <v>2045</v>
      </c>
      <c r="D151" cm="1">
        <f t="array" ref="D151">(IF(B151="Vestdanmark",Skovbrug!$C$22-(Skovbrug!$C$22)*(1-Skovbrug!$C$9)^(C151-Skovbrug!$B$12),Skovbrug!$F$22-(Skovbrug!$F$22)*(1-Skovbrug!$C$9)^(C151-Skovbrug!$B$12)))*VLOOKUP(A151,Skovbrug!$A$13:$D$17,IF('Skovbrug-alder'!C151&lt;=År2,3,4),FALSE)
-IF(C151&gt;2020,SUM(INDEX($C$1:$D$311,MATCH(1,(2020=$C$1:$C$311)*(B151=$B$1:$B$311)*(A151=$A$1:$A$311),0),2):D150),0)</f>
        <v>95.955681991175425</v>
      </c>
      <c r="E151">
        <f t="shared" ca="1" si="3"/>
        <v>0</v>
      </c>
      <c r="F151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367.25197828747179</v>
      </c>
      <c r="G151">
        <f ca="1">IF($C151-G$1&lt;År1,0,F150*(1-VLOOKUP($A151,[1]Hugst!$R$5:$W$9,MATCH(ROUNDUP((G$1)/10,0)*10,[1]Hugst!$R$4:$W$4,0))))</f>
        <v>367.73416764421137</v>
      </c>
      <c r="H151">
        <f ca="1">IF($C151-H$1&lt;År1,0,G150*(1-VLOOKUP($A151,[1]Hugst!$R$5:$W$9,MATCH(ROUNDUP((H$1)/10,0)*10,[1]Hugst!$R$4:$W$4,0))))</f>
        <v>368.21878006304479</v>
      </c>
      <c r="I151">
        <f ca="1">IF($C151-I$1&lt;År1,0,H150*(1-VLOOKUP($A151,[1]Hugst!$R$5:$W$9,MATCH(ROUNDUP((I$1)/10,0)*10,[1]Hugst!$R$4:$W$4,0))))</f>
        <v>368.70582772016525</v>
      </c>
      <c r="J151">
        <f ca="1">IF($C151-J$1&lt;År1,0,I150*(1-VLOOKUP($A151,[1]Hugst!$R$5:$W$9,MATCH(ROUNDUP((J$1)/10,0)*10,[1]Hugst!$R$4:$W$4,0))))</f>
        <v>369.19532285294991</v>
      </c>
      <c r="K151">
        <f ca="1">IF($C151-K$1&lt;År1,0,J150*(1-VLOOKUP($A151,[1]Hugst!$R$5:$W$9,MATCH(ROUNDUP((K$1)/10,0)*10,[1]Hugst!$R$4:$W$4,0))))</f>
        <v>369.68727776026782</v>
      </c>
      <c r="L151">
        <f ca="1">IF($C151-L$1&lt;År1,0,K150*(1-VLOOKUP($A151,[1]Hugst!$R$5:$W$9,MATCH(ROUNDUP((L$1)/10,0)*10,[1]Hugst!$R$4:$W$4,0))))</f>
        <v>370.18170480279792</v>
      </c>
      <c r="M151">
        <f ca="1">IF($C151-M$1&lt;År1,0,L150*(1-VLOOKUP($A151,[1]Hugst!$R$5:$W$9,MATCH(ROUNDUP((M$1)/10,0)*10,[1]Hugst!$R$4:$W$4,0))))</f>
        <v>370.67861640333882</v>
      </c>
      <c r="N151">
        <f ca="1">IF($C151-N$1&lt;År1,0,M150*(1-VLOOKUP($A151,[1]Hugst!$R$5:$W$9,MATCH(ROUNDUP((N$1)/10,0)*10,[1]Hugst!$R$4:$W$4,0))))</f>
        <v>371.17802504708953</v>
      </c>
      <c r="O151">
        <f ca="1">IF($C151-O$1&lt;År1,0,N150*(1-VLOOKUP($A151,[1]Hugst!$R$5:$W$9,MATCH(ROUNDUP((O$1)/10,0)*10,[1]Hugst!$R$4:$W$4,0))))</f>
        <v>371.679943282019</v>
      </c>
      <c r="P151">
        <f ca="1">IF($C151-P$1&lt;År1,0,O150*(1-VLOOKUP($A151,[1]Hugst!$R$5:$W$9,MATCH(ROUNDUP((P$1)/10,0)*10,[1]Hugst!$R$4:$W$4,0))))</f>
        <v>372.18438371913368</v>
      </c>
      <c r="Q151">
        <f ca="1">IF($C151-Q$1&lt;År1,0,P150*(1-VLOOKUP($A151,[1]Hugst!$R$5:$W$9,MATCH(ROUNDUP((Q$1)/10,0)*10,[1]Hugst!$R$4:$W$4,0))))</f>
        <v>372.69135903281409</v>
      </c>
      <c r="R151">
        <f ca="1">IF($C151-R$1&lt;År1,0,Q150*(1-VLOOKUP($A151,[1]Hugst!$R$5:$W$9,MATCH(ROUNDUP((R$1)/10,0)*10,[1]Hugst!$R$4:$W$4,0))))</f>
        <v>373.2008819611379</v>
      </c>
      <c r="S151">
        <f ca="1">IF($C151-S$1&lt;År1,0,R150*(1-VLOOKUP($A151,[1]Hugst!$R$5:$W$9,MATCH(ROUNDUP((S$1)/10,0)*10,[1]Hugst!$R$4:$W$4,0))))</f>
        <v>373.71296530619003</v>
      </c>
      <c r="T151">
        <f ca="1">IF($C151-T$1&lt;År1,0,S150*(1-VLOOKUP($A151,[1]Hugst!$R$5:$W$9,MATCH(ROUNDUP((T$1)/10,0)*10,[1]Hugst!$R$4:$W$4,0))))</f>
        <v>374.22762193437535</v>
      </c>
      <c r="U151">
        <f ca="1">IF($C151-U$1&lt;År1,0,T150*(1-VLOOKUP($A151,[1]Hugst!$R$5:$W$9,MATCH(ROUNDUP((U$1)/10,0)*10,[1]Hugst!$R$4:$W$4,0))))</f>
        <v>596.71456174648119</v>
      </c>
      <c r="V151">
        <f ca="1">IF($C151-V$1&lt;År1,0,U150*(1-VLOOKUP($A151,[1]Hugst!$R$5:$W$9,MATCH(ROUNDUP((V$1)/10,0)*10,[1]Hugst!$R$4:$W$4,0))))</f>
        <v>597.23440379914155</v>
      </c>
      <c r="W151">
        <f ca="1">IF($C151-W$1&lt;År1,0,V150*(1-VLOOKUP($A151,[1]Hugst!$R$5:$W$9,MATCH(ROUNDUP((W$1)/10,0)*10,[1]Hugst!$R$4:$W$4,0))))</f>
        <v>597.75685812343352</v>
      </c>
      <c r="X151">
        <f ca="1">IF($C151-X$1&lt;År1,0,W150*(1-VLOOKUP($A151,[1]Hugst!$R$5:$W$9,MATCH(ROUNDUP((X$1)/10,0)*10,[1]Hugst!$R$4:$W$4,0))))</f>
        <v>598.28193784633402</v>
      </c>
      <c r="Y151">
        <f ca="1">IF($C151-Y$1&lt;År1,0,X150*(1-VLOOKUP($A151,[1]Hugst!$R$5:$W$9,MATCH(ROUNDUP((Y$1)/10,0)*10,[1]Hugst!$R$4:$W$4,0))))</f>
        <v>598.80965616080709</v>
      </c>
      <c r="Z151">
        <f ca="1">IF($C151-Z$1&lt;År1,0,Y150*(1-VLOOKUP($A151,[1]Hugst!$R$5:$W$9,MATCH(ROUNDUP((Z$1)/10,0)*10,[1]Hugst!$R$4:$W$4,0))))</f>
        <v>599.34002632610714</v>
      </c>
      <c r="AA151">
        <f ca="1">IF($C151-AA$1&lt;År1,0,Z150*(1-VLOOKUP($A151,[1]Hugst!$R$5:$W$9,MATCH(ROUNDUP((AA$1)/10,0)*10,[1]Hugst!$R$4:$W$4,0))))</f>
        <v>599.87306166811823</v>
      </c>
      <c r="AB151">
        <f ca="1">IF($C151-AB$1&lt;År1,0,AA150*(1-VLOOKUP($A151,[1]Hugst!$R$5:$W$9,MATCH(ROUNDUP((AB$1)/10,0)*10,[1]Hugst!$R$4:$W$4,0))))</f>
        <v>600.40877557968702</v>
      </c>
      <c r="AC151">
        <f ca="1">IF($C151-AC$1&lt;År1,0,AB150*(1-VLOOKUP($A151,[1]Hugst!$R$5:$W$9,MATCH(ROUNDUP((AC$1)/10,0)*10,[1]Hugst!$R$4:$W$4,0))))</f>
        <v>600.94718152096243</v>
      </c>
      <c r="AD151">
        <f ca="1">IF($C151-AD$1&lt;År1,0,AC150*(1-VLOOKUP($A151,[1]Hugst!$R$5:$W$9,MATCH(ROUNDUP((AD$1)/10,0)*10,[1]Hugst!$R$4:$W$4,0))))</f>
        <v>601.48829301972796</v>
      </c>
      <c r="AE151">
        <f ca="1">IF($C151-AE$1&lt;År1,0,AD150*(1-VLOOKUP($A151,[1]Hugst!$R$5:$W$9,MATCH(ROUNDUP((AE$1)/10,0)*10,[1]Hugst!$R$4:$W$4,0))))</f>
        <v>602.03212367175934</v>
      </c>
      <c r="AF151">
        <f>IF($C151-AF$1&lt;År1,0,AE150*(1-VLOOKUP($A151,[1]Hugst!$R$5:$W$9,MATCH(ROUNDUP((AF$1)/10,0)*10,[1]Hugst!$R$4:$W$4,0))))</f>
        <v>0</v>
      </c>
      <c r="AG151">
        <f>IF($C151-AG$1&lt;År1,0,AF150*(1-VLOOKUP($A151,[1]Hugst!$R$5:$W$9,MATCH(ROUNDUP((AG$1)/10,0)*10,[1]Hugst!$R$4:$W$4,0))))</f>
        <v>0</v>
      </c>
      <c r="AH151">
        <f>IF($C151-AH$1&lt;År1,0,AG150*(1-VLOOKUP($A151,[1]Hugst!$R$5:$W$9,MATCH(ROUNDUP((AH$1)/10,0)*10,[1]Hugst!$R$4:$W$4,0))))</f>
        <v>0</v>
      </c>
      <c r="AI151">
        <f>IF($C151-AI$1&lt;År1,0,AH150*(1-VLOOKUP($A151,[1]Hugst!$R$5:$W$9,MATCH(ROUNDUP((AI$1)/10,0)*10,[1]Hugst!$R$4:$W$4,0))))</f>
        <v>0</v>
      </c>
      <c r="AJ151">
        <f>IF($C151-AJ$1&lt;År1,0,AI150*(1-VLOOKUP($A151,[1]Hugst!$R$5:$W$9,MATCH(ROUNDUP((AJ$1)/10,0)*10,[1]Hugst!$R$4:$W$4,0))))</f>
        <v>0</v>
      </c>
    </row>
    <row r="152" spans="1:36" x14ac:dyDescent="0.25">
      <c r="A152" t="s">
        <v>178</v>
      </c>
      <c r="B152" t="s">
        <v>23</v>
      </c>
      <c r="C152">
        <v>2046</v>
      </c>
      <c r="D152" cm="1">
        <f t="array" ref="D152">(IF(B152="Vestdanmark",Skovbrug!$C$22-(Skovbrug!$C$22)*(1-Skovbrug!$C$9)^(C152-Skovbrug!$B$12),Skovbrug!$F$22-(Skovbrug!$F$22)*(1-Skovbrug!$C$9)^(C152-Skovbrug!$B$12)))*VLOOKUP(A152,Skovbrug!$A$13:$D$17,IF('Skovbrug-alder'!C152&lt;=År2,3,4),FALSE)
-IF(C152&gt;2020,SUM(INDEX($C$1:$D$311,MATCH(1,(2020=$C$1:$C$311)*(B152=$B$1:$B$311)*(A152=$A$1:$A$311),0),2):D151),0)</f>
        <v>95.47590358122261</v>
      </c>
      <c r="E152">
        <f t="shared" ca="1" si="3"/>
        <v>0</v>
      </c>
      <c r="F152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366.77219987751897</v>
      </c>
      <c r="G152">
        <f ca="1">IF($C152-G$1&lt;År1,0,F151*(1-VLOOKUP($A152,[1]Hugst!$R$5:$W$9,MATCH(ROUNDUP((G$1)/10,0)*10,[1]Hugst!$R$4:$W$4,0))))</f>
        <v>367.25197828747179</v>
      </c>
      <c r="H152">
        <f ca="1">IF($C152-H$1&lt;År1,0,G151*(1-VLOOKUP($A152,[1]Hugst!$R$5:$W$9,MATCH(ROUNDUP((H$1)/10,0)*10,[1]Hugst!$R$4:$W$4,0))))</f>
        <v>367.73416764421137</v>
      </c>
      <c r="I152">
        <f ca="1">IF($C152-I$1&lt;År1,0,H151*(1-VLOOKUP($A152,[1]Hugst!$R$5:$W$9,MATCH(ROUNDUP((I$1)/10,0)*10,[1]Hugst!$R$4:$W$4,0))))</f>
        <v>368.21878006304479</v>
      </c>
      <c r="J152">
        <f ca="1">IF($C152-J$1&lt;År1,0,I151*(1-VLOOKUP($A152,[1]Hugst!$R$5:$W$9,MATCH(ROUNDUP((J$1)/10,0)*10,[1]Hugst!$R$4:$W$4,0))))</f>
        <v>368.70582772016525</v>
      </c>
      <c r="K152">
        <f ca="1">IF($C152-K$1&lt;År1,0,J151*(1-VLOOKUP($A152,[1]Hugst!$R$5:$W$9,MATCH(ROUNDUP((K$1)/10,0)*10,[1]Hugst!$R$4:$W$4,0))))</f>
        <v>369.19532285294991</v>
      </c>
      <c r="L152">
        <f ca="1">IF($C152-L$1&lt;År1,0,K151*(1-VLOOKUP($A152,[1]Hugst!$R$5:$W$9,MATCH(ROUNDUP((L$1)/10,0)*10,[1]Hugst!$R$4:$W$4,0))))</f>
        <v>369.68727776026782</v>
      </c>
      <c r="M152">
        <f ca="1">IF($C152-M$1&lt;År1,0,L151*(1-VLOOKUP($A152,[1]Hugst!$R$5:$W$9,MATCH(ROUNDUP((M$1)/10,0)*10,[1]Hugst!$R$4:$W$4,0))))</f>
        <v>370.18170480279792</v>
      </c>
      <c r="N152">
        <f ca="1">IF($C152-N$1&lt;År1,0,M151*(1-VLOOKUP($A152,[1]Hugst!$R$5:$W$9,MATCH(ROUNDUP((N$1)/10,0)*10,[1]Hugst!$R$4:$W$4,0))))</f>
        <v>370.67861640333882</v>
      </c>
      <c r="O152">
        <f ca="1">IF($C152-O$1&lt;År1,0,N151*(1-VLOOKUP($A152,[1]Hugst!$R$5:$W$9,MATCH(ROUNDUP((O$1)/10,0)*10,[1]Hugst!$R$4:$W$4,0))))</f>
        <v>371.17802504708953</v>
      </c>
      <c r="P152">
        <f ca="1">IF($C152-P$1&lt;År1,0,O151*(1-VLOOKUP($A152,[1]Hugst!$R$5:$W$9,MATCH(ROUNDUP((P$1)/10,0)*10,[1]Hugst!$R$4:$W$4,0))))</f>
        <v>371.679943282019</v>
      </c>
      <c r="Q152">
        <f ca="1">IF($C152-Q$1&lt;År1,0,P151*(1-VLOOKUP($A152,[1]Hugst!$R$5:$W$9,MATCH(ROUNDUP((Q$1)/10,0)*10,[1]Hugst!$R$4:$W$4,0))))</f>
        <v>372.18438371913368</v>
      </c>
      <c r="R152">
        <f ca="1">IF($C152-R$1&lt;År1,0,Q151*(1-VLOOKUP($A152,[1]Hugst!$R$5:$W$9,MATCH(ROUNDUP((R$1)/10,0)*10,[1]Hugst!$R$4:$W$4,0))))</f>
        <v>372.69135903281409</v>
      </c>
      <c r="S152">
        <f ca="1">IF($C152-S$1&lt;År1,0,R151*(1-VLOOKUP($A152,[1]Hugst!$R$5:$W$9,MATCH(ROUNDUP((S$1)/10,0)*10,[1]Hugst!$R$4:$W$4,0))))</f>
        <v>373.2008819611379</v>
      </c>
      <c r="T152">
        <f ca="1">IF($C152-T$1&lt;År1,0,S151*(1-VLOOKUP($A152,[1]Hugst!$R$5:$W$9,MATCH(ROUNDUP((T$1)/10,0)*10,[1]Hugst!$R$4:$W$4,0))))</f>
        <v>373.71296530619003</v>
      </c>
      <c r="U152">
        <f ca="1">IF($C152-U$1&lt;År1,0,T151*(1-VLOOKUP($A152,[1]Hugst!$R$5:$W$9,MATCH(ROUNDUP((U$1)/10,0)*10,[1]Hugst!$R$4:$W$4,0))))</f>
        <v>374.22762193437535</v>
      </c>
      <c r="V152">
        <f ca="1">IF($C152-V$1&lt;År1,0,U151*(1-VLOOKUP($A152,[1]Hugst!$R$5:$W$9,MATCH(ROUNDUP((V$1)/10,0)*10,[1]Hugst!$R$4:$W$4,0))))</f>
        <v>596.71456174648119</v>
      </c>
      <c r="W152">
        <f ca="1">IF($C152-W$1&lt;År1,0,V151*(1-VLOOKUP($A152,[1]Hugst!$R$5:$W$9,MATCH(ROUNDUP((W$1)/10,0)*10,[1]Hugst!$R$4:$W$4,0))))</f>
        <v>597.23440379914155</v>
      </c>
      <c r="X152">
        <f ca="1">IF($C152-X$1&lt;År1,0,W151*(1-VLOOKUP($A152,[1]Hugst!$R$5:$W$9,MATCH(ROUNDUP((X$1)/10,0)*10,[1]Hugst!$R$4:$W$4,0))))</f>
        <v>597.75685812343352</v>
      </c>
      <c r="Y152">
        <f ca="1">IF($C152-Y$1&lt;År1,0,X151*(1-VLOOKUP($A152,[1]Hugst!$R$5:$W$9,MATCH(ROUNDUP((Y$1)/10,0)*10,[1]Hugst!$R$4:$W$4,0))))</f>
        <v>598.28193784633402</v>
      </c>
      <c r="Z152">
        <f ca="1">IF($C152-Z$1&lt;År1,0,Y151*(1-VLOOKUP($A152,[1]Hugst!$R$5:$W$9,MATCH(ROUNDUP((Z$1)/10,0)*10,[1]Hugst!$R$4:$W$4,0))))</f>
        <v>598.80965616080709</v>
      </c>
      <c r="AA152">
        <f ca="1">IF($C152-AA$1&lt;År1,0,Z151*(1-VLOOKUP($A152,[1]Hugst!$R$5:$W$9,MATCH(ROUNDUP((AA$1)/10,0)*10,[1]Hugst!$R$4:$W$4,0))))</f>
        <v>599.34002632610714</v>
      </c>
      <c r="AB152">
        <f ca="1">IF($C152-AB$1&lt;År1,0,AA151*(1-VLOOKUP($A152,[1]Hugst!$R$5:$W$9,MATCH(ROUNDUP((AB$1)/10,0)*10,[1]Hugst!$R$4:$W$4,0))))</f>
        <v>599.87306166811823</v>
      </c>
      <c r="AC152">
        <f ca="1">IF($C152-AC$1&lt;År1,0,AB151*(1-VLOOKUP($A152,[1]Hugst!$R$5:$W$9,MATCH(ROUNDUP((AC$1)/10,0)*10,[1]Hugst!$R$4:$W$4,0))))</f>
        <v>600.40877557968702</v>
      </c>
      <c r="AD152">
        <f ca="1">IF($C152-AD$1&lt;År1,0,AC151*(1-VLOOKUP($A152,[1]Hugst!$R$5:$W$9,MATCH(ROUNDUP((AD$1)/10,0)*10,[1]Hugst!$R$4:$W$4,0))))</f>
        <v>600.94718152096243</v>
      </c>
      <c r="AE152">
        <f ca="1">IF($C152-AE$1&lt;År1,0,AD151*(1-VLOOKUP($A152,[1]Hugst!$R$5:$W$9,MATCH(ROUNDUP((AE$1)/10,0)*10,[1]Hugst!$R$4:$W$4,0))))</f>
        <v>601.48829301972796</v>
      </c>
      <c r="AF152">
        <f ca="1">IF($C152-AF$1&lt;År1,0,AE151*(1-VLOOKUP($A152,[1]Hugst!$R$5:$W$9,MATCH(ROUNDUP((AF$1)/10,0)*10,[1]Hugst!$R$4:$W$4,0))))</f>
        <v>602.03212367175934</v>
      </c>
      <c r="AG152">
        <f>IF($C152-AG$1&lt;År1,0,AF151*(1-VLOOKUP($A152,[1]Hugst!$R$5:$W$9,MATCH(ROUNDUP((AG$1)/10,0)*10,[1]Hugst!$R$4:$W$4,0))))</f>
        <v>0</v>
      </c>
      <c r="AH152">
        <f>IF($C152-AH$1&lt;År1,0,AG151*(1-VLOOKUP($A152,[1]Hugst!$R$5:$W$9,MATCH(ROUNDUP((AH$1)/10,0)*10,[1]Hugst!$R$4:$W$4,0))))</f>
        <v>0</v>
      </c>
      <c r="AI152">
        <f>IF($C152-AI$1&lt;År1,0,AH151*(1-VLOOKUP($A152,[1]Hugst!$R$5:$W$9,MATCH(ROUNDUP((AI$1)/10,0)*10,[1]Hugst!$R$4:$W$4,0))))</f>
        <v>0</v>
      </c>
      <c r="AJ152">
        <f>IF($C152-AJ$1&lt;År1,0,AI151*(1-VLOOKUP($A152,[1]Hugst!$R$5:$W$9,MATCH(ROUNDUP((AJ$1)/10,0)*10,[1]Hugst!$R$4:$W$4,0))))</f>
        <v>0</v>
      </c>
    </row>
    <row r="153" spans="1:36" x14ac:dyDescent="0.25">
      <c r="A153" t="s">
        <v>178</v>
      </c>
      <c r="B153" t="s">
        <v>23</v>
      </c>
      <c r="C153">
        <v>2047</v>
      </c>
      <c r="D153" cm="1">
        <f t="array" ref="D153">(IF(B153="Vestdanmark",Skovbrug!$C$22-(Skovbrug!$C$22)*(1-Skovbrug!$C$9)^(C153-Skovbrug!$B$12),Skovbrug!$F$22-(Skovbrug!$F$22)*(1-Skovbrug!$C$9)^(C153-Skovbrug!$B$12)))*VLOOKUP(A153,Skovbrug!$A$13:$D$17,IF('Skovbrug-alder'!C153&lt;=År2,3,4),FALSE)
-IF(C153&gt;2020,SUM(INDEX($C$1:$D$311,MATCH(1,(2020=$C$1:$C$311)*(B153=$B$1:$B$311)*(A153=$A$1:$A$311),0),2):D152),0)</f>
        <v>94.99852406331047</v>
      </c>
      <c r="E153">
        <f t="shared" ca="1" si="3"/>
        <v>0</v>
      </c>
      <c r="F153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366.29482035960683</v>
      </c>
      <c r="G153">
        <f ca="1">IF($C153-G$1&lt;År1,0,F152*(1-VLOOKUP($A153,[1]Hugst!$R$5:$W$9,MATCH(ROUNDUP((G$1)/10,0)*10,[1]Hugst!$R$4:$W$4,0))))</f>
        <v>366.77219987751897</v>
      </c>
      <c r="H153">
        <f ca="1">IF($C153-H$1&lt;År1,0,G152*(1-VLOOKUP($A153,[1]Hugst!$R$5:$W$9,MATCH(ROUNDUP((H$1)/10,0)*10,[1]Hugst!$R$4:$W$4,0))))</f>
        <v>367.25197828747179</v>
      </c>
      <c r="I153">
        <f ca="1">IF($C153-I$1&lt;År1,0,H152*(1-VLOOKUP($A153,[1]Hugst!$R$5:$W$9,MATCH(ROUNDUP((I$1)/10,0)*10,[1]Hugst!$R$4:$W$4,0))))</f>
        <v>367.73416764421137</v>
      </c>
      <c r="J153">
        <f ca="1">IF($C153-J$1&lt;År1,0,I152*(1-VLOOKUP($A153,[1]Hugst!$R$5:$W$9,MATCH(ROUNDUP((J$1)/10,0)*10,[1]Hugst!$R$4:$W$4,0))))</f>
        <v>368.21878006304479</v>
      </c>
      <c r="K153">
        <f ca="1">IF($C153-K$1&lt;År1,0,J152*(1-VLOOKUP($A153,[1]Hugst!$R$5:$W$9,MATCH(ROUNDUP((K$1)/10,0)*10,[1]Hugst!$R$4:$W$4,0))))</f>
        <v>368.70582772016525</v>
      </c>
      <c r="L153">
        <f ca="1">IF($C153-L$1&lt;År1,0,K152*(1-VLOOKUP($A153,[1]Hugst!$R$5:$W$9,MATCH(ROUNDUP((L$1)/10,0)*10,[1]Hugst!$R$4:$W$4,0))))</f>
        <v>369.19532285294991</v>
      </c>
      <c r="M153">
        <f ca="1">IF($C153-M$1&lt;År1,0,L152*(1-VLOOKUP($A153,[1]Hugst!$R$5:$W$9,MATCH(ROUNDUP((M$1)/10,0)*10,[1]Hugst!$R$4:$W$4,0))))</f>
        <v>369.68727776026782</v>
      </c>
      <c r="N153">
        <f ca="1">IF($C153-N$1&lt;År1,0,M152*(1-VLOOKUP($A153,[1]Hugst!$R$5:$W$9,MATCH(ROUNDUP((N$1)/10,0)*10,[1]Hugst!$R$4:$W$4,0))))</f>
        <v>370.18170480279792</v>
      </c>
      <c r="O153">
        <f ca="1">IF($C153-O$1&lt;År1,0,N152*(1-VLOOKUP($A153,[1]Hugst!$R$5:$W$9,MATCH(ROUNDUP((O$1)/10,0)*10,[1]Hugst!$R$4:$W$4,0))))</f>
        <v>370.67861640333882</v>
      </c>
      <c r="P153">
        <f ca="1">IF($C153-P$1&lt;År1,0,O152*(1-VLOOKUP($A153,[1]Hugst!$R$5:$W$9,MATCH(ROUNDUP((P$1)/10,0)*10,[1]Hugst!$R$4:$W$4,0))))</f>
        <v>371.17802504708953</v>
      </c>
      <c r="Q153">
        <f ca="1">IF($C153-Q$1&lt;År1,0,P152*(1-VLOOKUP($A153,[1]Hugst!$R$5:$W$9,MATCH(ROUNDUP((Q$1)/10,0)*10,[1]Hugst!$R$4:$W$4,0))))</f>
        <v>371.679943282019</v>
      </c>
      <c r="R153">
        <f ca="1">IF($C153-R$1&lt;År1,0,Q152*(1-VLOOKUP($A153,[1]Hugst!$R$5:$W$9,MATCH(ROUNDUP((R$1)/10,0)*10,[1]Hugst!$R$4:$W$4,0))))</f>
        <v>372.18438371913368</v>
      </c>
      <c r="S153">
        <f ca="1">IF($C153-S$1&lt;År1,0,R152*(1-VLOOKUP($A153,[1]Hugst!$R$5:$W$9,MATCH(ROUNDUP((S$1)/10,0)*10,[1]Hugst!$R$4:$W$4,0))))</f>
        <v>372.69135903281409</v>
      </c>
      <c r="T153">
        <f ca="1">IF($C153-T$1&lt;År1,0,S152*(1-VLOOKUP($A153,[1]Hugst!$R$5:$W$9,MATCH(ROUNDUP((T$1)/10,0)*10,[1]Hugst!$R$4:$W$4,0))))</f>
        <v>373.2008819611379</v>
      </c>
      <c r="U153">
        <f ca="1">IF($C153-U$1&lt;År1,0,T152*(1-VLOOKUP($A153,[1]Hugst!$R$5:$W$9,MATCH(ROUNDUP((U$1)/10,0)*10,[1]Hugst!$R$4:$W$4,0))))</f>
        <v>373.71296530619003</v>
      </c>
      <c r="V153">
        <f ca="1">IF($C153-V$1&lt;År1,0,U152*(1-VLOOKUP($A153,[1]Hugst!$R$5:$W$9,MATCH(ROUNDUP((V$1)/10,0)*10,[1]Hugst!$R$4:$W$4,0))))</f>
        <v>374.22762193437535</v>
      </c>
      <c r="W153">
        <f ca="1">IF($C153-W$1&lt;År1,0,V152*(1-VLOOKUP($A153,[1]Hugst!$R$5:$W$9,MATCH(ROUNDUP((W$1)/10,0)*10,[1]Hugst!$R$4:$W$4,0))))</f>
        <v>596.71456174648119</v>
      </c>
      <c r="X153">
        <f ca="1">IF($C153-X$1&lt;År1,0,W152*(1-VLOOKUP($A153,[1]Hugst!$R$5:$W$9,MATCH(ROUNDUP((X$1)/10,0)*10,[1]Hugst!$R$4:$W$4,0))))</f>
        <v>597.23440379914155</v>
      </c>
      <c r="Y153">
        <f ca="1">IF($C153-Y$1&lt;År1,0,X152*(1-VLOOKUP($A153,[1]Hugst!$R$5:$W$9,MATCH(ROUNDUP((Y$1)/10,0)*10,[1]Hugst!$R$4:$W$4,0))))</f>
        <v>597.75685812343352</v>
      </c>
      <c r="Z153">
        <f ca="1">IF($C153-Z$1&lt;År1,0,Y152*(1-VLOOKUP($A153,[1]Hugst!$R$5:$W$9,MATCH(ROUNDUP((Z$1)/10,0)*10,[1]Hugst!$R$4:$W$4,0))))</f>
        <v>598.28193784633402</v>
      </c>
      <c r="AA153">
        <f ca="1">IF($C153-AA$1&lt;År1,0,Z152*(1-VLOOKUP($A153,[1]Hugst!$R$5:$W$9,MATCH(ROUNDUP((AA$1)/10,0)*10,[1]Hugst!$R$4:$W$4,0))))</f>
        <v>598.80965616080709</v>
      </c>
      <c r="AB153">
        <f ca="1">IF($C153-AB$1&lt;År1,0,AA152*(1-VLOOKUP($A153,[1]Hugst!$R$5:$W$9,MATCH(ROUNDUP((AB$1)/10,0)*10,[1]Hugst!$R$4:$W$4,0))))</f>
        <v>599.34002632610714</v>
      </c>
      <c r="AC153">
        <f ca="1">IF($C153-AC$1&lt;År1,0,AB152*(1-VLOOKUP($A153,[1]Hugst!$R$5:$W$9,MATCH(ROUNDUP((AC$1)/10,0)*10,[1]Hugst!$R$4:$W$4,0))))</f>
        <v>599.87306166811823</v>
      </c>
      <c r="AD153">
        <f ca="1">IF($C153-AD$1&lt;År1,0,AC152*(1-VLOOKUP($A153,[1]Hugst!$R$5:$W$9,MATCH(ROUNDUP((AD$1)/10,0)*10,[1]Hugst!$R$4:$W$4,0))))</f>
        <v>600.40877557968702</v>
      </c>
      <c r="AE153">
        <f ca="1">IF($C153-AE$1&lt;År1,0,AD152*(1-VLOOKUP($A153,[1]Hugst!$R$5:$W$9,MATCH(ROUNDUP((AE$1)/10,0)*10,[1]Hugst!$R$4:$W$4,0))))</f>
        <v>600.94718152096243</v>
      </c>
      <c r="AF153">
        <f ca="1">IF($C153-AF$1&lt;År1,0,AE152*(1-VLOOKUP($A153,[1]Hugst!$R$5:$W$9,MATCH(ROUNDUP((AF$1)/10,0)*10,[1]Hugst!$R$4:$W$4,0))))</f>
        <v>601.48829301972796</v>
      </c>
      <c r="AG153">
        <f ca="1">IF($C153-AG$1&lt;År1,0,AF152*(1-VLOOKUP($A153,[1]Hugst!$R$5:$W$9,MATCH(ROUNDUP((AG$1)/10,0)*10,[1]Hugst!$R$4:$W$4,0))))</f>
        <v>602.03212367175934</v>
      </c>
      <c r="AH153">
        <f>IF($C153-AH$1&lt;År1,0,AG152*(1-VLOOKUP($A153,[1]Hugst!$R$5:$W$9,MATCH(ROUNDUP((AH$1)/10,0)*10,[1]Hugst!$R$4:$W$4,0))))</f>
        <v>0</v>
      </c>
      <c r="AI153">
        <f>IF($C153-AI$1&lt;År1,0,AH152*(1-VLOOKUP($A153,[1]Hugst!$R$5:$W$9,MATCH(ROUNDUP((AI$1)/10,0)*10,[1]Hugst!$R$4:$W$4,0))))</f>
        <v>0</v>
      </c>
      <c r="AJ153">
        <f>IF($C153-AJ$1&lt;År1,0,AI152*(1-VLOOKUP($A153,[1]Hugst!$R$5:$W$9,MATCH(ROUNDUP((AJ$1)/10,0)*10,[1]Hugst!$R$4:$W$4,0))))</f>
        <v>0</v>
      </c>
    </row>
    <row r="154" spans="1:36" x14ac:dyDescent="0.25">
      <c r="A154" t="s">
        <v>178</v>
      </c>
      <c r="B154" t="s">
        <v>23</v>
      </c>
      <c r="C154">
        <v>2048</v>
      </c>
      <c r="D154" cm="1">
        <f t="array" ref="D154">(IF(B154="Vestdanmark",Skovbrug!$C$22-(Skovbrug!$C$22)*(1-Skovbrug!$C$9)^(C154-Skovbrug!$B$12),Skovbrug!$F$22-(Skovbrug!$F$22)*(1-Skovbrug!$C$9)^(C154-Skovbrug!$B$12)))*VLOOKUP(A154,Skovbrug!$A$13:$D$17,IF('Skovbrug-alder'!C154&lt;=År2,3,4),FALSE)
-IF(C154&gt;2020,SUM(INDEX($C$1:$D$311,MATCH(1,(2020=$C$1:$C$311)*(B154=$B$1:$B$311)*(A154=$A$1:$A$311),0),2):D153),0)</f>
        <v>94.523531442996955</v>
      </c>
      <c r="E154">
        <f t="shared" ca="1" si="3"/>
        <v>0</v>
      </c>
      <c r="F154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365.81982773929332</v>
      </c>
      <c r="G154">
        <f ca="1">IF($C154-G$1&lt;År1,0,F153*(1-VLOOKUP($A154,[1]Hugst!$R$5:$W$9,MATCH(ROUNDUP((G$1)/10,0)*10,[1]Hugst!$R$4:$W$4,0))))</f>
        <v>366.29482035960683</v>
      </c>
      <c r="H154">
        <f ca="1">IF($C154-H$1&lt;År1,0,G153*(1-VLOOKUP($A154,[1]Hugst!$R$5:$W$9,MATCH(ROUNDUP((H$1)/10,0)*10,[1]Hugst!$R$4:$W$4,0))))</f>
        <v>366.77219987751897</v>
      </c>
      <c r="I154">
        <f ca="1">IF($C154-I$1&lt;År1,0,H153*(1-VLOOKUP($A154,[1]Hugst!$R$5:$W$9,MATCH(ROUNDUP((I$1)/10,0)*10,[1]Hugst!$R$4:$W$4,0))))</f>
        <v>367.25197828747179</v>
      </c>
      <c r="J154">
        <f ca="1">IF($C154-J$1&lt;År1,0,I153*(1-VLOOKUP($A154,[1]Hugst!$R$5:$W$9,MATCH(ROUNDUP((J$1)/10,0)*10,[1]Hugst!$R$4:$W$4,0))))</f>
        <v>367.73416764421137</v>
      </c>
      <c r="K154">
        <f ca="1">IF($C154-K$1&lt;År1,0,J153*(1-VLOOKUP($A154,[1]Hugst!$R$5:$W$9,MATCH(ROUNDUP((K$1)/10,0)*10,[1]Hugst!$R$4:$W$4,0))))</f>
        <v>368.21878006304479</v>
      </c>
      <c r="L154">
        <f ca="1">IF($C154-L$1&lt;År1,0,K153*(1-VLOOKUP($A154,[1]Hugst!$R$5:$W$9,MATCH(ROUNDUP((L$1)/10,0)*10,[1]Hugst!$R$4:$W$4,0))))</f>
        <v>368.70582772016525</v>
      </c>
      <c r="M154">
        <f ca="1">IF($C154-M$1&lt;År1,0,L153*(1-VLOOKUP($A154,[1]Hugst!$R$5:$W$9,MATCH(ROUNDUP((M$1)/10,0)*10,[1]Hugst!$R$4:$W$4,0))))</f>
        <v>369.19532285294991</v>
      </c>
      <c r="N154">
        <f ca="1">IF($C154-N$1&lt;År1,0,M153*(1-VLOOKUP($A154,[1]Hugst!$R$5:$W$9,MATCH(ROUNDUP((N$1)/10,0)*10,[1]Hugst!$R$4:$W$4,0))))</f>
        <v>369.68727776026782</v>
      </c>
      <c r="O154">
        <f ca="1">IF($C154-O$1&lt;År1,0,N153*(1-VLOOKUP($A154,[1]Hugst!$R$5:$W$9,MATCH(ROUNDUP((O$1)/10,0)*10,[1]Hugst!$R$4:$W$4,0))))</f>
        <v>370.18170480279792</v>
      </c>
      <c r="P154">
        <f ca="1">IF($C154-P$1&lt;År1,0,O153*(1-VLOOKUP($A154,[1]Hugst!$R$5:$W$9,MATCH(ROUNDUP((P$1)/10,0)*10,[1]Hugst!$R$4:$W$4,0))))</f>
        <v>370.67861640333882</v>
      </c>
      <c r="Q154">
        <f ca="1">IF($C154-Q$1&lt;År1,0,P153*(1-VLOOKUP($A154,[1]Hugst!$R$5:$W$9,MATCH(ROUNDUP((Q$1)/10,0)*10,[1]Hugst!$R$4:$W$4,0))))</f>
        <v>371.17802504708953</v>
      </c>
      <c r="R154">
        <f ca="1">IF($C154-R$1&lt;År1,0,Q153*(1-VLOOKUP($A154,[1]Hugst!$R$5:$W$9,MATCH(ROUNDUP((R$1)/10,0)*10,[1]Hugst!$R$4:$W$4,0))))</f>
        <v>371.679943282019</v>
      </c>
      <c r="S154">
        <f ca="1">IF($C154-S$1&lt;År1,0,R153*(1-VLOOKUP($A154,[1]Hugst!$R$5:$W$9,MATCH(ROUNDUP((S$1)/10,0)*10,[1]Hugst!$R$4:$W$4,0))))</f>
        <v>372.18438371913368</v>
      </c>
      <c r="T154">
        <f ca="1">IF($C154-T$1&lt;År1,0,S153*(1-VLOOKUP($A154,[1]Hugst!$R$5:$W$9,MATCH(ROUNDUP((T$1)/10,0)*10,[1]Hugst!$R$4:$W$4,0))))</f>
        <v>372.69135903281409</v>
      </c>
      <c r="U154">
        <f ca="1">IF($C154-U$1&lt;År1,0,T153*(1-VLOOKUP($A154,[1]Hugst!$R$5:$W$9,MATCH(ROUNDUP((U$1)/10,0)*10,[1]Hugst!$R$4:$W$4,0))))</f>
        <v>373.2008819611379</v>
      </c>
      <c r="V154">
        <f ca="1">IF($C154-V$1&lt;År1,0,U153*(1-VLOOKUP($A154,[1]Hugst!$R$5:$W$9,MATCH(ROUNDUP((V$1)/10,0)*10,[1]Hugst!$R$4:$W$4,0))))</f>
        <v>373.71296530619003</v>
      </c>
      <c r="W154">
        <f ca="1">IF($C154-W$1&lt;År1,0,V153*(1-VLOOKUP($A154,[1]Hugst!$R$5:$W$9,MATCH(ROUNDUP((W$1)/10,0)*10,[1]Hugst!$R$4:$W$4,0))))</f>
        <v>374.22762193437535</v>
      </c>
      <c r="X154">
        <f ca="1">IF($C154-X$1&lt;År1,0,W153*(1-VLOOKUP($A154,[1]Hugst!$R$5:$W$9,MATCH(ROUNDUP((X$1)/10,0)*10,[1]Hugst!$R$4:$W$4,0))))</f>
        <v>596.71456174648119</v>
      </c>
      <c r="Y154">
        <f ca="1">IF($C154-Y$1&lt;År1,0,X153*(1-VLOOKUP($A154,[1]Hugst!$R$5:$W$9,MATCH(ROUNDUP((Y$1)/10,0)*10,[1]Hugst!$R$4:$W$4,0))))</f>
        <v>597.23440379914155</v>
      </c>
      <c r="Z154">
        <f ca="1">IF($C154-Z$1&lt;År1,0,Y153*(1-VLOOKUP($A154,[1]Hugst!$R$5:$W$9,MATCH(ROUNDUP((Z$1)/10,0)*10,[1]Hugst!$R$4:$W$4,0))))</f>
        <v>597.75685812343352</v>
      </c>
      <c r="AA154">
        <f ca="1">IF($C154-AA$1&lt;År1,0,Z153*(1-VLOOKUP($A154,[1]Hugst!$R$5:$W$9,MATCH(ROUNDUP((AA$1)/10,0)*10,[1]Hugst!$R$4:$W$4,0))))</f>
        <v>598.28193784633402</v>
      </c>
      <c r="AB154">
        <f ca="1">IF($C154-AB$1&lt;År1,0,AA153*(1-VLOOKUP($A154,[1]Hugst!$R$5:$W$9,MATCH(ROUNDUP((AB$1)/10,0)*10,[1]Hugst!$R$4:$W$4,0))))</f>
        <v>598.80965616080709</v>
      </c>
      <c r="AC154">
        <f ca="1">IF($C154-AC$1&lt;År1,0,AB153*(1-VLOOKUP($A154,[1]Hugst!$R$5:$W$9,MATCH(ROUNDUP((AC$1)/10,0)*10,[1]Hugst!$R$4:$W$4,0))))</f>
        <v>599.34002632610714</v>
      </c>
      <c r="AD154">
        <f ca="1">IF($C154-AD$1&lt;År1,0,AC153*(1-VLOOKUP($A154,[1]Hugst!$R$5:$W$9,MATCH(ROUNDUP((AD$1)/10,0)*10,[1]Hugst!$R$4:$W$4,0))))</f>
        <v>599.87306166811823</v>
      </c>
      <c r="AE154">
        <f ca="1">IF($C154-AE$1&lt;År1,0,AD153*(1-VLOOKUP($A154,[1]Hugst!$R$5:$W$9,MATCH(ROUNDUP((AE$1)/10,0)*10,[1]Hugst!$R$4:$W$4,0))))</f>
        <v>600.40877557968702</v>
      </c>
      <c r="AF154">
        <f ca="1">IF($C154-AF$1&lt;År1,0,AE153*(1-VLOOKUP($A154,[1]Hugst!$R$5:$W$9,MATCH(ROUNDUP((AF$1)/10,0)*10,[1]Hugst!$R$4:$W$4,0))))</f>
        <v>600.94718152096243</v>
      </c>
      <c r="AG154">
        <f ca="1">IF($C154-AG$1&lt;År1,0,AF153*(1-VLOOKUP($A154,[1]Hugst!$R$5:$W$9,MATCH(ROUNDUP((AG$1)/10,0)*10,[1]Hugst!$R$4:$W$4,0))))</f>
        <v>601.48829301972796</v>
      </c>
      <c r="AH154">
        <f ca="1">IF($C154-AH$1&lt;År1,0,AG153*(1-VLOOKUP($A154,[1]Hugst!$R$5:$W$9,MATCH(ROUNDUP((AH$1)/10,0)*10,[1]Hugst!$R$4:$W$4,0))))</f>
        <v>602.03212367175934</v>
      </c>
      <c r="AI154">
        <f>IF($C154-AI$1&lt;År1,0,AH153*(1-VLOOKUP($A154,[1]Hugst!$R$5:$W$9,MATCH(ROUNDUP((AI$1)/10,0)*10,[1]Hugst!$R$4:$W$4,0))))</f>
        <v>0</v>
      </c>
      <c r="AJ154">
        <f>IF($C154-AJ$1&lt;År1,0,AI153*(1-VLOOKUP($A154,[1]Hugst!$R$5:$W$9,MATCH(ROUNDUP((AJ$1)/10,0)*10,[1]Hugst!$R$4:$W$4,0))))</f>
        <v>0</v>
      </c>
    </row>
    <row r="155" spans="1:36" x14ac:dyDescent="0.25">
      <c r="A155" t="s">
        <v>178</v>
      </c>
      <c r="B155" t="s">
        <v>23</v>
      </c>
      <c r="C155">
        <v>2049</v>
      </c>
      <c r="D155" cm="1">
        <f t="array" ref="D155">(IF(B155="Vestdanmark",Skovbrug!$C$22-(Skovbrug!$C$22)*(1-Skovbrug!$C$9)^(C155-Skovbrug!$B$12),Skovbrug!$F$22-(Skovbrug!$F$22)*(1-Skovbrug!$C$9)^(C155-Skovbrug!$B$12)))*VLOOKUP(A155,Skovbrug!$A$13:$D$17,IF('Skovbrug-alder'!C155&lt;=År2,3,4),FALSE)
-IF(C155&gt;2020,SUM(INDEX($C$1:$D$311,MATCH(1,(2020=$C$1:$C$311)*(B155=$B$1:$B$311)*(A155=$A$1:$A$311),0),2):D154),0)</f>
        <v>94.050913785782086</v>
      </c>
      <c r="E155">
        <f t="shared" ca="1" si="3"/>
        <v>0</v>
      </c>
      <c r="F155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365.34721008207845</v>
      </c>
      <c r="G155">
        <f ca="1">IF($C155-G$1&lt;År1,0,F154*(1-VLOOKUP($A155,[1]Hugst!$R$5:$W$9,MATCH(ROUNDUP((G$1)/10,0)*10,[1]Hugst!$R$4:$W$4,0))))</f>
        <v>365.81982773929332</v>
      </c>
      <c r="H155">
        <f ca="1">IF($C155-H$1&lt;År1,0,G154*(1-VLOOKUP($A155,[1]Hugst!$R$5:$W$9,MATCH(ROUNDUP((H$1)/10,0)*10,[1]Hugst!$R$4:$W$4,0))))</f>
        <v>366.29482035960683</v>
      </c>
      <c r="I155">
        <f ca="1">IF($C155-I$1&lt;År1,0,H154*(1-VLOOKUP($A155,[1]Hugst!$R$5:$W$9,MATCH(ROUNDUP((I$1)/10,0)*10,[1]Hugst!$R$4:$W$4,0))))</f>
        <v>366.77219987751897</v>
      </c>
      <c r="J155">
        <f ca="1">IF($C155-J$1&lt;År1,0,I154*(1-VLOOKUP($A155,[1]Hugst!$R$5:$W$9,MATCH(ROUNDUP((J$1)/10,0)*10,[1]Hugst!$R$4:$W$4,0))))</f>
        <v>367.25197828747179</v>
      </c>
      <c r="K155">
        <f ca="1">IF($C155-K$1&lt;År1,0,J154*(1-VLOOKUP($A155,[1]Hugst!$R$5:$W$9,MATCH(ROUNDUP((K$1)/10,0)*10,[1]Hugst!$R$4:$W$4,0))))</f>
        <v>367.73416764421137</v>
      </c>
      <c r="L155">
        <f ca="1">IF($C155-L$1&lt;År1,0,K154*(1-VLOOKUP($A155,[1]Hugst!$R$5:$W$9,MATCH(ROUNDUP((L$1)/10,0)*10,[1]Hugst!$R$4:$W$4,0))))</f>
        <v>368.21878006304479</v>
      </c>
      <c r="M155">
        <f ca="1">IF($C155-M$1&lt;År1,0,L154*(1-VLOOKUP($A155,[1]Hugst!$R$5:$W$9,MATCH(ROUNDUP((M$1)/10,0)*10,[1]Hugst!$R$4:$W$4,0))))</f>
        <v>368.70582772016525</v>
      </c>
      <c r="N155">
        <f ca="1">IF($C155-N$1&lt;År1,0,M154*(1-VLOOKUP($A155,[1]Hugst!$R$5:$W$9,MATCH(ROUNDUP((N$1)/10,0)*10,[1]Hugst!$R$4:$W$4,0))))</f>
        <v>369.19532285294991</v>
      </c>
      <c r="O155">
        <f ca="1">IF($C155-O$1&lt;År1,0,N154*(1-VLOOKUP($A155,[1]Hugst!$R$5:$W$9,MATCH(ROUNDUP((O$1)/10,0)*10,[1]Hugst!$R$4:$W$4,0))))</f>
        <v>369.68727776026782</v>
      </c>
      <c r="P155">
        <f ca="1">IF($C155-P$1&lt;År1,0,O154*(1-VLOOKUP($A155,[1]Hugst!$R$5:$W$9,MATCH(ROUNDUP((P$1)/10,0)*10,[1]Hugst!$R$4:$W$4,0))))</f>
        <v>370.18170480279792</v>
      </c>
      <c r="Q155">
        <f ca="1">IF($C155-Q$1&lt;År1,0,P154*(1-VLOOKUP($A155,[1]Hugst!$R$5:$W$9,MATCH(ROUNDUP((Q$1)/10,0)*10,[1]Hugst!$R$4:$W$4,0))))</f>
        <v>370.67861640333882</v>
      </c>
      <c r="R155">
        <f ca="1">IF($C155-R$1&lt;År1,0,Q154*(1-VLOOKUP($A155,[1]Hugst!$R$5:$W$9,MATCH(ROUNDUP((R$1)/10,0)*10,[1]Hugst!$R$4:$W$4,0))))</f>
        <v>371.17802504708953</v>
      </c>
      <c r="S155">
        <f ca="1">IF($C155-S$1&lt;År1,0,R154*(1-VLOOKUP($A155,[1]Hugst!$R$5:$W$9,MATCH(ROUNDUP((S$1)/10,0)*10,[1]Hugst!$R$4:$W$4,0))))</f>
        <v>371.679943282019</v>
      </c>
      <c r="T155">
        <f ca="1">IF($C155-T$1&lt;År1,0,S154*(1-VLOOKUP($A155,[1]Hugst!$R$5:$W$9,MATCH(ROUNDUP((T$1)/10,0)*10,[1]Hugst!$R$4:$W$4,0))))</f>
        <v>372.18438371913368</v>
      </c>
      <c r="U155">
        <f ca="1">IF($C155-U$1&lt;År1,0,T154*(1-VLOOKUP($A155,[1]Hugst!$R$5:$W$9,MATCH(ROUNDUP((U$1)/10,0)*10,[1]Hugst!$R$4:$W$4,0))))</f>
        <v>372.69135903281409</v>
      </c>
      <c r="V155">
        <f ca="1">IF($C155-V$1&lt;År1,0,U154*(1-VLOOKUP($A155,[1]Hugst!$R$5:$W$9,MATCH(ROUNDUP((V$1)/10,0)*10,[1]Hugst!$R$4:$W$4,0))))</f>
        <v>373.2008819611379</v>
      </c>
      <c r="W155">
        <f ca="1">IF($C155-W$1&lt;År1,0,V154*(1-VLOOKUP($A155,[1]Hugst!$R$5:$W$9,MATCH(ROUNDUP((W$1)/10,0)*10,[1]Hugst!$R$4:$W$4,0))))</f>
        <v>373.71296530619003</v>
      </c>
      <c r="X155">
        <f ca="1">IF($C155-X$1&lt;År1,0,W154*(1-VLOOKUP($A155,[1]Hugst!$R$5:$W$9,MATCH(ROUNDUP((X$1)/10,0)*10,[1]Hugst!$R$4:$W$4,0))))</f>
        <v>374.22762193437535</v>
      </c>
      <c r="Y155">
        <f ca="1">IF($C155-Y$1&lt;År1,0,X154*(1-VLOOKUP($A155,[1]Hugst!$R$5:$W$9,MATCH(ROUNDUP((Y$1)/10,0)*10,[1]Hugst!$R$4:$W$4,0))))</f>
        <v>596.71456174648119</v>
      </c>
      <c r="Z155">
        <f ca="1">IF($C155-Z$1&lt;År1,0,Y154*(1-VLOOKUP($A155,[1]Hugst!$R$5:$W$9,MATCH(ROUNDUP((Z$1)/10,0)*10,[1]Hugst!$R$4:$W$4,0))))</f>
        <v>597.23440379914155</v>
      </c>
      <c r="AA155">
        <f ca="1">IF($C155-AA$1&lt;År1,0,Z154*(1-VLOOKUP($A155,[1]Hugst!$R$5:$W$9,MATCH(ROUNDUP((AA$1)/10,0)*10,[1]Hugst!$R$4:$W$4,0))))</f>
        <v>597.75685812343352</v>
      </c>
      <c r="AB155">
        <f ca="1">IF($C155-AB$1&lt;År1,0,AA154*(1-VLOOKUP($A155,[1]Hugst!$R$5:$W$9,MATCH(ROUNDUP((AB$1)/10,0)*10,[1]Hugst!$R$4:$W$4,0))))</f>
        <v>598.28193784633402</v>
      </c>
      <c r="AC155">
        <f ca="1">IF($C155-AC$1&lt;År1,0,AB154*(1-VLOOKUP($A155,[1]Hugst!$R$5:$W$9,MATCH(ROUNDUP((AC$1)/10,0)*10,[1]Hugst!$R$4:$W$4,0))))</f>
        <v>598.80965616080709</v>
      </c>
      <c r="AD155">
        <f ca="1">IF($C155-AD$1&lt;År1,0,AC154*(1-VLOOKUP($A155,[1]Hugst!$R$5:$W$9,MATCH(ROUNDUP((AD$1)/10,0)*10,[1]Hugst!$R$4:$W$4,0))))</f>
        <v>599.34002632610714</v>
      </c>
      <c r="AE155">
        <f ca="1">IF($C155-AE$1&lt;År1,0,AD154*(1-VLOOKUP($A155,[1]Hugst!$R$5:$W$9,MATCH(ROUNDUP((AE$1)/10,0)*10,[1]Hugst!$R$4:$W$4,0))))</f>
        <v>599.87306166811823</v>
      </c>
      <c r="AF155">
        <f ca="1">IF($C155-AF$1&lt;År1,0,AE154*(1-VLOOKUP($A155,[1]Hugst!$R$5:$W$9,MATCH(ROUNDUP((AF$1)/10,0)*10,[1]Hugst!$R$4:$W$4,0))))</f>
        <v>600.40877557968702</v>
      </c>
      <c r="AG155">
        <f ca="1">IF($C155-AG$1&lt;År1,0,AF154*(1-VLOOKUP($A155,[1]Hugst!$R$5:$W$9,MATCH(ROUNDUP((AG$1)/10,0)*10,[1]Hugst!$R$4:$W$4,0))))</f>
        <v>600.94718152096243</v>
      </c>
      <c r="AH155">
        <f ca="1">IF($C155-AH$1&lt;År1,0,AG154*(1-VLOOKUP($A155,[1]Hugst!$R$5:$W$9,MATCH(ROUNDUP((AH$1)/10,0)*10,[1]Hugst!$R$4:$W$4,0))))</f>
        <v>601.48829301972796</v>
      </c>
      <c r="AI155">
        <f ca="1">IF($C155-AI$1&lt;År1,0,AH154*(1-VLOOKUP($A155,[1]Hugst!$R$5:$W$9,MATCH(ROUNDUP((AI$1)/10,0)*10,[1]Hugst!$R$4:$W$4,0))))</f>
        <v>602.03212367175934</v>
      </c>
      <c r="AJ155">
        <f>IF($C155-AJ$1&lt;År1,0,AI154*(1-VLOOKUP($A155,[1]Hugst!$R$5:$W$9,MATCH(ROUNDUP((AJ$1)/10,0)*10,[1]Hugst!$R$4:$W$4,0))))</f>
        <v>0</v>
      </c>
    </row>
    <row r="156" spans="1:36" x14ac:dyDescent="0.25">
      <c r="A156" t="s">
        <v>178</v>
      </c>
      <c r="B156" t="s">
        <v>23</v>
      </c>
      <c r="C156">
        <v>2050</v>
      </c>
      <c r="D156" cm="1">
        <f t="array" ref="D156">(IF(B156="Vestdanmark",Skovbrug!$C$22-(Skovbrug!$C$22)*(1-Skovbrug!$C$9)^(C156-Skovbrug!$B$12),Skovbrug!$F$22-(Skovbrug!$F$22)*(1-Skovbrug!$C$9)^(C156-Skovbrug!$B$12)))*VLOOKUP(A156,Skovbrug!$A$13:$D$17,IF('Skovbrug-alder'!C156&lt;=År2,3,4),FALSE)
-IF(C156&gt;2020,SUM(INDEX($C$1:$D$311,MATCH(1,(2020=$C$1:$C$311)*(B156=$B$1:$B$311)*(A156=$A$1:$A$311),0),2):D155),0)</f>
        <v>93.580659216854656</v>
      </c>
      <c r="E156">
        <f t="shared" ca="1" si="3"/>
        <v>1.0946038612219127</v>
      </c>
      <c r="F156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365.97155937437293</v>
      </c>
      <c r="G156">
        <f ca="1">IF($C156-G$1&lt;År1,0,F155*(1-VLOOKUP($A156,[1]Hugst!$R$5:$W$9,MATCH(ROUNDUP((G$1)/10,0)*10,[1]Hugst!$R$4:$W$4,0))))</f>
        <v>365.34721008207845</v>
      </c>
      <c r="H156">
        <f ca="1">IF($C156-H$1&lt;År1,0,G155*(1-VLOOKUP($A156,[1]Hugst!$R$5:$W$9,MATCH(ROUNDUP((H$1)/10,0)*10,[1]Hugst!$R$4:$W$4,0))))</f>
        <v>365.81982773929332</v>
      </c>
      <c r="I156">
        <f ca="1">IF($C156-I$1&lt;År1,0,H155*(1-VLOOKUP($A156,[1]Hugst!$R$5:$W$9,MATCH(ROUNDUP((I$1)/10,0)*10,[1]Hugst!$R$4:$W$4,0))))</f>
        <v>366.29482035960683</v>
      </c>
      <c r="J156">
        <f ca="1">IF($C156-J$1&lt;År1,0,I155*(1-VLOOKUP($A156,[1]Hugst!$R$5:$W$9,MATCH(ROUNDUP((J$1)/10,0)*10,[1]Hugst!$R$4:$W$4,0))))</f>
        <v>366.77219987751897</v>
      </c>
      <c r="K156">
        <f ca="1">IF($C156-K$1&lt;År1,0,J155*(1-VLOOKUP($A156,[1]Hugst!$R$5:$W$9,MATCH(ROUNDUP((K$1)/10,0)*10,[1]Hugst!$R$4:$W$4,0))))</f>
        <v>367.25197828747179</v>
      </c>
      <c r="L156">
        <f ca="1">IF($C156-L$1&lt;År1,0,K155*(1-VLOOKUP($A156,[1]Hugst!$R$5:$W$9,MATCH(ROUNDUP((L$1)/10,0)*10,[1]Hugst!$R$4:$W$4,0))))</f>
        <v>367.73416764421137</v>
      </c>
      <c r="M156">
        <f ca="1">IF($C156-M$1&lt;År1,0,L155*(1-VLOOKUP($A156,[1]Hugst!$R$5:$W$9,MATCH(ROUNDUP((M$1)/10,0)*10,[1]Hugst!$R$4:$W$4,0))))</f>
        <v>368.21878006304479</v>
      </c>
      <c r="N156">
        <f ca="1">IF($C156-N$1&lt;År1,0,M155*(1-VLOOKUP($A156,[1]Hugst!$R$5:$W$9,MATCH(ROUNDUP((N$1)/10,0)*10,[1]Hugst!$R$4:$W$4,0))))</f>
        <v>368.70582772016525</v>
      </c>
      <c r="O156">
        <f ca="1">IF($C156-O$1&lt;År1,0,N155*(1-VLOOKUP($A156,[1]Hugst!$R$5:$W$9,MATCH(ROUNDUP((O$1)/10,0)*10,[1]Hugst!$R$4:$W$4,0))))</f>
        <v>369.19532285294991</v>
      </c>
      <c r="P156">
        <f ca="1">IF($C156-P$1&lt;År1,0,O155*(1-VLOOKUP($A156,[1]Hugst!$R$5:$W$9,MATCH(ROUNDUP((P$1)/10,0)*10,[1]Hugst!$R$4:$W$4,0))))</f>
        <v>369.68727776026782</v>
      </c>
      <c r="Q156">
        <f ca="1">IF($C156-Q$1&lt;År1,0,P155*(1-VLOOKUP($A156,[1]Hugst!$R$5:$W$9,MATCH(ROUNDUP((Q$1)/10,0)*10,[1]Hugst!$R$4:$W$4,0))))</f>
        <v>370.18170480279792</v>
      </c>
      <c r="R156">
        <f ca="1">IF($C156-R$1&lt;År1,0,Q155*(1-VLOOKUP($A156,[1]Hugst!$R$5:$W$9,MATCH(ROUNDUP((R$1)/10,0)*10,[1]Hugst!$R$4:$W$4,0))))</f>
        <v>370.67861640333882</v>
      </c>
      <c r="S156">
        <f ca="1">IF($C156-S$1&lt;År1,0,R155*(1-VLOOKUP($A156,[1]Hugst!$R$5:$W$9,MATCH(ROUNDUP((S$1)/10,0)*10,[1]Hugst!$R$4:$W$4,0))))</f>
        <v>371.17802504708953</v>
      </c>
      <c r="T156">
        <f ca="1">IF($C156-T$1&lt;År1,0,S155*(1-VLOOKUP($A156,[1]Hugst!$R$5:$W$9,MATCH(ROUNDUP((T$1)/10,0)*10,[1]Hugst!$R$4:$W$4,0))))</f>
        <v>371.679943282019</v>
      </c>
      <c r="U156">
        <f ca="1">IF($C156-U$1&lt;År1,0,T155*(1-VLOOKUP($A156,[1]Hugst!$R$5:$W$9,MATCH(ROUNDUP((U$1)/10,0)*10,[1]Hugst!$R$4:$W$4,0))))</f>
        <v>372.18438371913368</v>
      </c>
      <c r="V156">
        <f ca="1">IF($C156-V$1&lt;År1,0,U155*(1-VLOOKUP($A156,[1]Hugst!$R$5:$W$9,MATCH(ROUNDUP((V$1)/10,0)*10,[1]Hugst!$R$4:$W$4,0))))</f>
        <v>372.69135903281409</v>
      </c>
      <c r="W156">
        <f ca="1">IF($C156-W$1&lt;År1,0,V155*(1-VLOOKUP($A156,[1]Hugst!$R$5:$W$9,MATCH(ROUNDUP((W$1)/10,0)*10,[1]Hugst!$R$4:$W$4,0))))</f>
        <v>373.2008819611379</v>
      </c>
      <c r="X156">
        <f ca="1">IF($C156-X$1&lt;År1,0,W155*(1-VLOOKUP($A156,[1]Hugst!$R$5:$W$9,MATCH(ROUNDUP((X$1)/10,0)*10,[1]Hugst!$R$4:$W$4,0))))</f>
        <v>373.71296530619003</v>
      </c>
      <c r="Y156">
        <f ca="1">IF($C156-Y$1&lt;År1,0,X155*(1-VLOOKUP($A156,[1]Hugst!$R$5:$W$9,MATCH(ROUNDUP((Y$1)/10,0)*10,[1]Hugst!$R$4:$W$4,0))))</f>
        <v>374.22762193437535</v>
      </c>
      <c r="Z156">
        <f ca="1">IF($C156-Z$1&lt;År1,0,Y155*(1-VLOOKUP($A156,[1]Hugst!$R$5:$W$9,MATCH(ROUNDUP((Z$1)/10,0)*10,[1]Hugst!$R$4:$W$4,0))))</f>
        <v>596.71456174648119</v>
      </c>
      <c r="AA156">
        <f ca="1">IF($C156-AA$1&lt;År1,0,Z155*(1-VLOOKUP($A156,[1]Hugst!$R$5:$W$9,MATCH(ROUNDUP((AA$1)/10,0)*10,[1]Hugst!$R$4:$W$4,0))))</f>
        <v>597.23440379914155</v>
      </c>
      <c r="AB156">
        <f ca="1">IF($C156-AB$1&lt;År1,0,AA155*(1-VLOOKUP($A156,[1]Hugst!$R$5:$W$9,MATCH(ROUNDUP((AB$1)/10,0)*10,[1]Hugst!$R$4:$W$4,0))))</f>
        <v>597.75685812343352</v>
      </c>
      <c r="AC156">
        <f ca="1">IF($C156-AC$1&lt;År1,0,AB155*(1-VLOOKUP($A156,[1]Hugst!$R$5:$W$9,MATCH(ROUNDUP((AC$1)/10,0)*10,[1]Hugst!$R$4:$W$4,0))))</f>
        <v>598.28193784633402</v>
      </c>
      <c r="AD156">
        <f ca="1">IF($C156-AD$1&lt;År1,0,AC155*(1-VLOOKUP($A156,[1]Hugst!$R$5:$W$9,MATCH(ROUNDUP((AD$1)/10,0)*10,[1]Hugst!$R$4:$W$4,0))))</f>
        <v>598.80965616080709</v>
      </c>
      <c r="AE156">
        <f ca="1">IF($C156-AE$1&lt;År1,0,AD155*(1-VLOOKUP($A156,[1]Hugst!$R$5:$W$9,MATCH(ROUNDUP((AE$1)/10,0)*10,[1]Hugst!$R$4:$W$4,0))))</f>
        <v>599.34002632610714</v>
      </c>
      <c r="AF156">
        <f ca="1">IF($C156-AF$1&lt;År1,0,AE155*(1-VLOOKUP($A156,[1]Hugst!$R$5:$W$9,MATCH(ROUNDUP((AF$1)/10,0)*10,[1]Hugst!$R$4:$W$4,0))))</f>
        <v>599.87306166811823</v>
      </c>
      <c r="AG156">
        <f ca="1">IF($C156-AG$1&lt;År1,0,AF155*(1-VLOOKUP($A156,[1]Hugst!$R$5:$W$9,MATCH(ROUNDUP((AG$1)/10,0)*10,[1]Hugst!$R$4:$W$4,0))))</f>
        <v>600.40877557968702</v>
      </c>
      <c r="AH156">
        <f ca="1">IF($C156-AH$1&lt;År1,0,AG155*(1-VLOOKUP($A156,[1]Hugst!$R$5:$W$9,MATCH(ROUNDUP((AH$1)/10,0)*10,[1]Hugst!$R$4:$W$4,0))))</f>
        <v>600.94718152096243</v>
      </c>
      <c r="AI156">
        <f ca="1">IF($C156-AI$1&lt;År1,0,AH155*(1-VLOOKUP($A156,[1]Hugst!$R$5:$W$9,MATCH(ROUNDUP((AI$1)/10,0)*10,[1]Hugst!$R$4:$W$4,0))))</f>
        <v>601.48829301972796</v>
      </c>
      <c r="AJ156">
        <f ca="1">IF($C156-AJ$1&lt;År1,0,AI155*(1-VLOOKUP($A156,[1]Hugst!$R$5:$W$9,MATCH(ROUNDUP((AJ$1)/10,0)*10,[1]Hugst!$R$4:$W$4,0))))</f>
        <v>600.93751981053799</v>
      </c>
    </row>
    <row r="157" spans="1:36" x14ac:dyDescent="0.25">
      <c r="A157" t="s">
        <v>178</v>
      </c>
      <c r="B157" t="s">
        <v>24</v>
      </c>
      <c r="C157">
        <v>2020</v>
      </c>
      <c r="D157" cm="1">
        <f t="array" ref="D157">(IF(B157="Vestdanmark",Skovbrug!$C$22-(Skovbrug!$C$22)*(1-Skovbrug!$C$9)^(C157-Skovbrug!$B$12),Skovbrug!$F$22-(Skovbrug!$F$22)*(1-Skovbrug!$C$9)^(C157-Skovbrug!$B$12)))*VLOOKUP(A157,Skovbrug!$A$13:$D$17,IF('Skovbrug-alder'!C157&lt;=År2,3,4),FALSE)
-IF(C157&gt;2020,SUM(INDEX($C$1:$D$311,MATCH(1,(2020=$C$1:$C$311)*(B157=$B$1:$B$311)*(A157=$A$1:$A$311),0),2):D156),0)</f>
        <v>31.83636959423384</v>
      </c>
      <c r="E157">
        <f t="shared" si="3"/>
        <v>0</v>
      </c>
      <c r="F157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106.75219451005873</v>
      </c>
      <c r="G157">
        <f>IF($C157-G$1&lt;År1,0,F156*(1-VLOOKUP($A157,[1]Hugst!$R$5:$W$9,MATCH(ROUNDUP((G$1)/10,0)*10,[1]Hugst!$R$4:$W$4,0))))</f>
        <v>0</v>
      </c>
      <c r="H157">
        <f>IF($C157-H$1&lt;År1,0,G156*(1-VLOOKUP($A157,[1]Hugst!$R$5:$W$9,MATCH(ROUNDUP((H$1)/10,0)*10,[1]Hugst!$R$4:$W$4,0))))</f>
        <v>0</v>
      </c>
      <c r="I157">
        <f>IF($C157-I$1&lt;År1,0,H156*(1-VLOOKUP($A157,[1]Hugst!$R$5:$W$9,MATCH(ROUNDUP((I$1)/10,0)*10,[1]Hugst!$R$4:$W$4,0))))</f>
        <v>0</v>
      </c>
      <c r="J157">
        <f>IF($C157-J$1&lt;År1,0,I156*(1-VLOOKUP($A157,[1]Hugst!$R$5:$W$9,MATCH(ROUNDUP((J$1)/10,0)*10,[1]Hugst!$R$4:$W$4,0))))</f>
        <v>0</v>
      </c>
      <c r="K157">
        <f>IF($C157-K$1&lt;År1,0,J156*(1-VLOOKUP($A157,[1]Hugst!$R$5:$W$9,MATCH(ROUNDUP((K$1)/10,0)*10,[1]Hugst!$R$4:$W$4,0))))</f>
        <v>0</v>
      </c>
      <c r="L157">
        <f>IF($C157-L$1&lt;År1,0,K156*(1-VLOOKUP($A157,[1]Hugst!$R$5:$W$9,MATCH(ROUNDUP((L$1)/10,0)*10,[1]Hugst!$R$4:$W$4,0))))</f>
        <v>0</v>
      </c>
      <c r="M157">
        <f>IF($C157-M$1&lt;År1,0,L156*(1-VLOOKUP($A157,[1]Hugst!$R$5:$W$9,MATCH(ROUNDUP((M$1)/10,0)*10,[1]Hugst!$R$4:$W$4,0))))</f>
        <v>0</v>
      </c>
      <c r="N157">
        <f>IF($C157-N$1&lt;År1,0,M156*(1-VLOOKUP($A157,[1]Hugst!$R$5:$W$9,MATCH(ROUNDUP((N$1)/10,0)*10,[1]Hugst!$R$4:$W$4,0))))</f>
        <v>0</v>
      </c>
      <c r="O157">
        <f>IF($C157-O$1&lt;År1,0,N156*(1-VLOOKUP($A157,[1]Hugst!$R$5:$W$9,MATCH(ROUNDUP((O$1)/10,0)*10,[1]Hugst!$R$4:$W$4,0))))</f>
        <v>0</v>
      </c>
      <c r="P157">
        <f>IF($C157-P$1&lt;År1,0,O156*(1-VLOOKUP($A157,[1]Hugst!$R$5:$W$9,MATCH(ROUNDUP((P$1)/10,0)*10,[1]Hugst!$R$4:$W$4,0))))</f>
        <v>0</v>
      </c>
      <c r="Q157">
        <f>IF($C157-Q$1&lt;År1,0,P156*(1-VLOOKUP($A157,[1]Hugst!$R$5:$W$9,MATCH(ROUNDUP((Q$1)/10,0)*10,[1]Hugst!$R$4:$W$4,0))))</f>
        <v>0</v>
      </c>
      <c r="R157">
        <f>IF($C157-R$1&lt;År1,0,Q156*(1-VLOOKUP($A157,[1]Hugst!$R$5:$W$9,MATCH(ROUNDUP((R$1)/10,0)*10,[1]Hugst!$R$4:$W$4,0))))</f>
        <v>0</v>
      </c>
      <c r="S157">
        <f>IF($C157-S$1&lt;År1,0,R156*(1-VLOOKUP($A157,[1]Hugst!$R$5:$W$9,MATCH(ROUNDUP((S$1)/10,0)*10,[1]Hugst!$R$4:$W$4,0))))</f>
        <v>0</v>
      </c>
      <c r="T157">
        <f>IF($C157-T$1&lt;År1,0,S156*(1-VLOOKUP($A157,[1]Hugst!$R$5:$W$9,MATCH(ROUNDUP((T$1)/10,0)*10,[1]Hugst!$R$4:$W$4,0))))</f>
        <v>0</v>
      </c>
      <c r="U157">
        <f>IF($C157-U$1&lt;År1,0,T156*(1-VLOOKUP($A157,[1]Hugst!$R$5:$W$9,MATCH(ROUNDUP((U$1)/10,0)*10,[1]Hugst!$R$4:$W$4,0))))</f>
        <v>0</v>
      </c>
      <c r="V157">
        <f>IF($C157-V$1&lt;År1,0,U156*(1-VLOOKUP($A157,[1]Hugst!$R$5:$W$9,MATCH(ROUNDUP((V$1)/10,0)*10,[1]Hugst!$R$4:$W$4,0))))</f>
        <v>0</v>
      </c>
      <c r="W157">
        <f>IF($C157-W$1&lt;År1,0,V156*(1-VLOOKUP($A157,[1]Hugst!$R$5:$W$9,MATCH(ROUNDUP((W$1)/10,0)*10,[1]Hugst!$R$4:$W$4,0))))</f>
        <v>0</v>
      </c>
      <c r="X157">
        <f>IF($C157-X$1&lt;År1,0,W156*(1-VLOOKUP($A157,[1]Hugst!$R$5:$W$9,MATCH(ROUNDUP((X$1)/10,0)*10,[1]Hugst!$R$4:$W$4,0))))</f>
        <v>0</v>
      </c>
      <c r="Y157">
        <f>IF($C157-Y$1&lt;År1,0,X156*(1-VLOOKUP($A157,[1]Hugst!$R$5:$W$9,MATCH(ROUNDUP((Y$1)/10,0)*10,[1]Hugst!$R$4:$W$4,0))))</f>
        <v>0</v>
      </c>
      <c r="Z157">
        <f>IF($C157-Z$1&lt;År1,0,Y156*(1-VLOOKUP($A157,[1]Hugst!$R$5:$W$9,MATCH(ROUNDUP((Z$1)/10,0)*10,[1]Hugst!$R$4:$W$4,0))))</f>
        <v>0</v>
      </c>
      <c r="AA157">
        <f>IF($C157-AA$1&lt;År1,0,Z156*(1-VLOOKUP($A157,[1]Hugst!$R$5:$W$9,MATCH(ROUNDUP((AA$1)/10,0)*10,[1]Hugst!$R$4:$W$4,0))))</f>
        <v>0</v>
      </c>
      <c r="AB157">
        <f>IF($C157-AB$1&lt;År1,0,AA156*(1-VLOOKUP($A157,[1]Hugst!$R$5:$W$9,MATCH(ROUNDUP((AB$1)/10,0)*10,[1]Hugst!$R$4:$W$4,0))))</f>
        <v>0</v>
      </c>
      <c r="AC157">
        <f>IF($C157-AC$1&lt;År1,0,AB156*(1-VLOOKUP($A157,[1]Hugst!$R$5:$W$9,MATCH(ROUNDUP((AC$1)/10,0)*10,[1]Hugst!$R$4:$W$4,0))))</f>
        <v>0</v>
      </c>
      <c r="AD157">
        <f>IF($C157-AD$1&lt;År1,0,AC156*(1-VLOOKUP($A157,[1]Hugst!$R$5:$W$9,MATCH(ROUNDUP((AD$1)/10,0)*10,[1]Hugst!$R$4:$W$4,0))))</f>
        <v>0</v>
      </c>
      <c r="AE157">
        <f>IF($C157-AE$1&lt;År1,0,AD156*(1-VLOOKUP($A157,[1]Hugst!$R$5:$W$9,MATCH(ROUNDUP((AE$1)/10,0)*10,[1]Hugst!$R$4:$W$4,0))))</f>
        <v>0</v>
      </c>
      <c r="AF157">
        <f>IF($C157-AF$1&lt;År1,0,AE156*(1-VLOOKUP($A157,[1]Hugst!$R$5:$W$9,MATCH(ROUNDUP((AF$1)/10,0)*10,[1]Hugst!$R$4:$W$4,0))))</f>
        <v>0</v>
      </c>
      <c r="AG157">
        <f>IF($C157-AG$1&lt;År1,0,AF156*(1-VLOOKUP($A157,[1]Hugst!$R$5:$W$9,MATCH(ROUNDUP((AG$1)/10,0)*10,[1]Hugst!$R$4:$W$4,0))))</f>
        <v>0</v>
      </c>
      <c r="AH157">
        <f>IF($C157-AH$1&lt;År1,0,AG156*(1-VLOOKUP($A157,[1]Hugst!$R$5:$W$9,MATCH(ROUNDUP((AH$1)/10,0)*10,[1]Hugst!$R$4:$W$4,0))))</f>
        <v>0</v>
      </c>
      <c r="AI157">
        <f>IF($C157-AI$1&lt;År1,0,AH156*(1-VLOOKUP($A157,[1]Hugst!$R$5:$W$9,MATCH(ROUNDUP((AI$1)/10,0)*10,[1]Hugst!$R$4:$W$4,0))))</f>
        <v>0</v>
      </c>
      <c r="AJ157">
        <f>IF($C157-AJ$1&lt;År1,0,AI156*(1-VLOOKUP($A157,[1]Hugst!$R$5:$W$9,MATCH(ROUNDUP((AJ$1)/10,0)*10,[1]Hugst!$R$4:$W$4,0))))</f>
        <v>0</v>
      </c>
    </row>
    <row r="158" spans="1:36" x14ac:dyDescent="0.25">
      <c r="A158" t="s">
        <v>178</v>
      </c>
      <c r="B158" t="s">
        <v>24</v>
      </c>
      <c r="C158">
        <v>2021</v>
      </c>
      <c r="D158" cm="1">
        <f t="array" ref="D158">(IF(B158="Vestdanmark",Skovbrug!$C$22-(Skovbrug!$C$22)*(1-Skovbrug!$C$9)^(C158-Skovbrug!$B$12),Skovbrug!$F$22-(Skovbrug!$F$22)*(1-Skovbrug!$C$9)^(C158-Skovbrug!$B$12)))*VLOOKUP(A158,Skovbrug!$A$13:$D$17,IF('Skovbrug-alder'!C158&lt;=År2,3,4),FALSE)
-IF(C158&gt;2020,SUM(INDEX($C$1:$D$311,MATCH(1,(2020=$C$1:$C$311)*(B158=$B$1:$B$311)*(A158=$A$1:$A$311),0),2):D157),0)</f>
        <v>31.677187746262643</v>
      </c>
      <c r="E158">
        <f t="shared" ca="1" si="3"/>
        <v>0</v>
      </c>
      <c r="F15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106.59301266208753</v>
      </c>
      <c r="G158">
        <f ca="1">IF($C158-G$1&lt;År1,0,F157*(1-VLOOKUP($A158,[1]Hugst!$R$5:$W$9,MATCH(ROUNDUP((G$1)/10,0)*10,[1]Hugst!$R$4:$W$4,0))))</f>
        <v>106.75219451005873</v>
      </c>
      <c r="H158">
        <f>IF($C158-H$1&lt;År1,0,G157*(1-VLOOKUP($A158,[1]Hugst!$R$5:$W$9,MATCH(ROUNDUP((H$1)/10,0)*10,[1]Hugst!$R$4:$W$4,0))))</f>
        <v>0</v>
      </c>
      <c r="I158">
        <f>IF($C158-I$1&lt;År1,0,H157*(1-VLOOKUP($A158,[1]Hugst!$R$5:$W$9,MATCH(ROUNDUP((I$1)/10,0)*10,[1]Hugst!$R$4:$W$4,0))))</f>
        <v>0</v>
      </c>
      <c r="J158">
        <f>IF($C158-J$1&lt;År1,0,I157*(1-VLOOKUP($A158,[1]Hugst!$R$5:$W$9,MATCH(ROUNDUP((J$1)/10,0)*10,[1]Hugst!$R$4:$W$4,0))))</f>
        <v>0</v>
      </c>
      <c r="K158">
        <f>IF($C158-K$1&lt;År1,0,J157*(1-VLOOKUP($A158,[1]Hugst!$R$5:$W$9,MATCH(ROUNDUP((K$1)/10,0)*10,[1]Hugst!$R$4:$W$4,0))))</f>
        <v>0</v>
      </c>
      <c r="L158">
        <f>IF($C158-L$1&lt;År1,0,K157*(1-VLOOKUP($A158,[1]Hugst!$R$5:$W$9,MATCH(ROUNDUP((L$1)/10,0)*10,[1]Hugst!$R$4:$W$4,0))))</f>
        <v>0</v>
      </c>
      <c r="M158">
        <f>IF($C158-M$1&lt;År1,0,L157*(1-VLOOKUP($A158,[1]Hugst!$R$5:$W$9,MATCH(ROUNDUP((M$1)/10,0)*10,[1]Hugst!$R$4:$W$4,0))))</f>
        <v>0</v>
      </c>
      <c r="N158">
        <f>IF($C158-N$1&lt;År1,0,M157*(1-VLOOKUP($A158,[1]Hugst!$R$5:$W$9,MATCH(ROUNDUP((N$1)/10,0)*10,[1]Hugst!$R$4:$W$4,0))))</f>
        <v>0</v>
      </c>
      <c r="O158">
        <f>IF($C158-O$1&lt;År1,0,N157*(1-VLOOKUP($A158,[1]Hugst!$R$5:$W$9,MATCH(ROUNDUP((O$1)/10,0)*10,[1]Hugst!$R$4:$W$4,0))))</f>
        <v>0</v>
      </c>
      <c r="P158">
        <f>IF($C158-P$1&lt;År1,0,O157*(1-VLOOKUP($A158,[1]Hugst!$R$5:$W$9,MATCH(ROUNDUP((P$1)/10,0)*10,[1]Hugst!$R$4:$W$4,0))))</f>
        <v>0</v>
      </c>
      <c r="Q158">
        <f>IF($C158-Q$1&lt;År1,0,P157*(1-VLOOKUP($A158,[1]Hugst!$R$5:$W$9,MATCH(ROUNDUP((Q$1)/10,0)*10,[1]Hugst!$R$4:$W$4,0))))</f>
        <v>0</v>
      </c>
      <c r="R158">
        <f>IF($C158-R$1&lt;År1,0,Q157*(1-VLOOKUP($A158,[1]Hugst!$R$5:$W$9,MATCH(ROUNDUP((R$1)/10,0)*10,[1]Hugst!$R$4:$W$4,0))))</f>
        <v>0</v>
      </c>
      <c r="S158">
        <f>IF($C158-S$1&lt;År1,0,R157*(1-VLOOKUP($A158,[1]Hugst!$R$5:$W$9,MATCH(ROUNDUP((S$1)/10,0)*10,[1]Hugst!$R$4:$W$4,0))))</f>
        <v>0</v>
      </c>
      <c r="T158">
        <f>IF($C158-T$1&lt;År1,0,S157*(1-VLOOKUP($A158,[1]Hugst!$R$5:$W$9,MATCH(ROUNDUP((T$1)/10,0)*10,[1]Hugst!$R$4:$W$4,0))))</f>
        <v>0</v>
      </c>
      <c r="U158">
        <f>IF($C158-U$1&lt;År1,0,T157*(1-VLOOKUP($A158,[1]Hugst!$R$5:$W$9,MATCH(ROUNDUP((U$1)/10,0)*10,[1]Hugst!$R$4:$W$4,0))))</f>
        <v>0</v>
      </c>
      <c r="V158">
        <f>IF($C158-V$1&lt;År1,0,U157*(1-VLOOKUP($A158,[1]Hugst!$R$5:$W$9,MATCH(ROUNDUP((V$1)/10,0)*10,[1]Hugst!$R$4:$W$4,0))))</f>
        <v>0</v>
      </c>
      <c r="W158">
        <f>IF($C158-W$1&lt;År1,0,V157*(1-VLOOKUP($A158,[1]Hugst!$R$5:$W$9,MATCH(ROUNDUP((W$1)/10,0)*10,[1]Hugst!$R$4:$W$4,0))))</f>
        <v>0</v>
      </c>
      <c r="X158">
        <f>IF($C158-X$1&lt;År1,0,W157*(1-VLOOKUP($A158,[1]Hugst!$R$5:$W$9,MATCH(ROUNDUP((X$1)/10,0)*10,[1]Hugst!$R$4:$W$4,0))))</f>
        <v>0</v>
      </c>
      <c r="Y158">
        <f>IF($C158-Y$1&lt;År1,0,X157*(1-VLOOKUP($A158,[1]Hugst!$R$5:$W$9,MATCH(ROUNDUP((Y$1)/10,0)*10,[1]Hugst!$R$4:$W$4,0))))</f>
        <v>0</v>
      </c>
      <c r="Z158">
        <f>IF($C158-Z$1&lt;År1,0,Y157*(1-VLOOKUP($A158,[1]Hugst!$R$5:$W$9,MATCH(ROUNDUP((Z$1)/10,0)*10,[1]Hugst!$R$4:$W$4,0))))</f>
        <v>0</v>
      </c>
      <c r="AA158">
        <f>IF($C158-AA$1&lt;År1,0,Z157*(1-VLOOKUP($A158,[1]Hugst!$R$5:$W$9,MATCH(ROUNDUP((AA$1)/10,0)*10,[1]Hugst!$R$4:$W$4,0))))</f>
        <v>0</v>
      </c>
      <c r="AB158">
        <f>IF($C158-AB$1&lt;År1,0,AA157*(1-VLOOKUP($A158,[1]Hugst!$R$5:$W$9,MATCH(ROUNDUP((AB$1)/10,0)*10,[1]Hugst!$R$4:$W$4,0))))</f>
        <v>0</v>
      </c>
      <c r="AC158">
        <f>IF($C158-AC$1&lt;År1,0,AB157*(1-VLOOKUP($A158,[1]Hugst!$R$5:$W$9,MATCH(ROUNDUP((AC$1)/10,0)*10,[1]Hugst!$R$4:$W$4,0))))</f>
        <v>0</v>
      </c>
      <c r="AD158">
        <f>IF($C158-AD$1&lt;År1,0,AC157*(1-VLOOKUP($A158,[1]Hugst!$R$5:$W$9,MATCH(ROUNDUP((AD$1)/10,0)*10,[1]Hugst!$R$4:$W$4,0))))</f>
        <v>0</v>
      </c>
      <c r="AE158">
        <f>IF($C158-AE$1&lt;År1,0,AD157*(1-VLOOKUP($A158,[1]Hugst!$R$5:$W$9,MATCH(ROUNDUP((AE$1)/10,0)*10,[1]Hugst!$R$4:$W$4,0))))</f>
        <v>0</v>
      </c>
      <c r="AF158">
        <f>IF($C158-AF$1&lt;År1,0,AE157*(1-VLOOKUP($A158,[1]Hugst!$R$5:$W$9,MATCH(ROUNDUP((AF$1)/10,0)*10,[1]Hugst!$R$4:$W$4,0))))</f>
        <v>0</v>
      </c>
      <c r="AG158">
        <f>IF($C158-AG$1&lt;År1,0,AF157*(1-VLOOKUP($A158,[1]Hugst!$R$5:$W$9,MATCH(ROUNDUP((AG$1)/10,0)*10,[1]Hugst!$R$4:$W$4,0))))</f>
        <v>0</v>
      </c>
      <c r="AH158">
        <f>IF($C158-AH$1&lt;År1,0,AG157*(1-VLOOKUP($A158,[1]Hugst!$R$5:$W$9,MATCH(ROUNDUP((AH$1)/10,0)*10,[1]Hugst!$R$4:$W$4,0))))</f>
        <v>0</v>
      </c>
      <c r="AI158">
        <f>IF($C158-AI$1&lt;År1,0,AH157*(1-VLOOKUP($A158,[1]Hugst!$R$5:$W$9,MATCH(ROUNDUP((AI$1)/10,0)*10,[1]Hugst!$R$4:$W$4,0))))</f>
        <v>0</v>
      </c>
      <c r="AJ158">
        <f>IF($C158-AJ$1&lt;År1,0,AI157*(1-VLOOKUP($A158,[1]Hugst!$R$5:$W$9,MATCH(ROUNDUP((AJ$1)/10,0)*10,[1]Hugst!$R$4:$W$4,0))))</f>
        <v>0</v>
      </c>
    </row>
    <row r="159" spans="1:36" x14ac:dyDescent="0.25">
      <c r="A159" t="s">
        <v>178</v>
      </c>
      <c r="B159" t="s">
        <v>24</v>
      </c>
      <c r="C159">
        <v>2022</v>
      </c>
      <c r="D159" cm="1">
        <f t="array" ref="D159">(IF(B159="Vestdanmark",Skovbrug!$C$22-(Skovbrug!$C$22)*(1-Skovbrug!$C$9)^(C159-Skovbrug!$B$12),Skovbrug!$F$22-(Skovbrug!$F$22)*(1-Skovbrug!$C$9)^(C159-Skovbrug!$B$12)))*VLOOKUP(A159,Skovbrug!$A$13:$D$17,IF('Skovbrug-alder'!C159&lt;=År2,3,4),FALSE)
-IF(C159&gt;2020,SUM(INDEX($C$1:$D$311,MATCH(1,(2020=$C$1:$C$311)*(B159=$B$1:$B$311)*(A159=$A$1:$A$311),0),2):D158),0)</f>
        <v>31.518801807531425</v>
      </c>
      <c r="E159">
        <f t="shared" ca="1" si="3"/>
        <v>0</v>
      </c>
      <c r="F159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106.4346267233563</v>
      </c>
      <c r="G159">
        <f ca="1">IF($C159-G$1&lt;År1,0,F158*(1-VLOOKUP($A159,[1]Hugst!$R$5:$W$9,MATCH(ROUNDUP((G$1)/10,0)*10,[1]Hugst!$R$4:$W$4,0))))</f>
        <v>106.59301266208753</v>
      </c>
      <c r="H159">
        <f ca="1">IF($C159-H$1&lt;År1,0,G158*(1-VLOOKUP($A159,[1]Hugst!$R$5:$W$9,MATCH(ROUNDUP((H$1)/10,0)*10,[1]Hugst!$R$4:$W$4,0))))</f>
        <v>106.75219451005873</v>
      </c>
      <c r="I159">
        <f>IF($C159-I$1&lt;År1,0,H158*(1-VLOOKUP($A159,[1]Hugst!$R$5:$W$9,MATCH(ROUNDUP((I$1)/10,0)*10,[1]Hugst!$R$4:$W$4,0))))</f>
        <v>0</v>
      </c>
      <c r="J159">
        <f>IF($C159-J$1&lt;År1,0,I158*(1-VLOOKUP($A159,[1]Hugst!$R$5:$W$9,MATCH(ROUNDUP((J$1)/10,0)*10,[1]Hugst!$R$4:$W$4,0))))</f>
        <v>0</v>
      </c>
      <c r="K159">
        <f>IF($C159-K$1&lt;År1,0,J158*(1-VLOOKUP($A159,[1]Hugst!$R$5:$W$9,MATCH(ROUNDUP((K$1)/10,0)*10,[1]Hugst!$R$4:$W$4,0))))</f>
        <v>0</v>
      </c>
      <c r="L159">
        <f>IF($C159-L$1&lt;År1,0,K158*(1-VLOOKUP($A159,[1]Hugst!$R$5:$W$9,MATCH(ROUNDUP((L$1)/10,0)*10,[1]Hugst!$R$4:$W$4,0))))</f>
        <v>0</v>
      </c>
      <c r="M159">
        <f>IF($C159-M$1&lt;År1,0,L158*(1-VLOOKUP($A159,[1]Hugst!$R$5:$W$9,MATCH(ROUNDUP((M$1)/10,0)*10,[1]Hugst!$R$4:$W$4,0))))</f>
        <v>0</v>
      </c>
      <c r="N159">
        <f>IF($C159-N$1&lt;År1,0,M158*(1-VLOOKUP($A159,[1]Hugst!$R$5:$W$9,MATCH(ROUNDUP((N$1)/10,0)*10,[1]Hugst!$R$4:$W$4,0))))</f>
        <v>0</v>
      </c>
      <c r="O159">
        <f>IF($C159-O$1&lt;År1,0,N158*(1-VLOOKUP($A159,[1]Hugst!$R$5:$W$9,MATCH(ROUNDUP((O$1)/10,0)*10,[1]Hugst!$R$4:$W$4,0))))</f>
        <v>0</v>
      </c>
      <c r="P159">
        <f>IF($C159-P$1&lt;År1,0,O158*(1-VLOOKUP($A159,[1]Hugst!$R$5:$W$9,MATCH(ROUNDUP((P$1)/10,0)*10,[1]Hugst!$R$4:$W$4,0))))</f>
        <v>0</v>
      </c>
      <c r="Q159">
        <f>IF($C159-Q$1&lt;År1,0,P158*(1-VLOOKUP($A159,[1]Hugst!$R$5:$W$9,MATCH(ROUNDUP((Q$1)/10,0)*10,[1]Hugst!$R$4:$W$4,0))))</f>
        <v>0</v>
      </c>
      <c r="R159">
        <f>IF($C159-R$1&lt;År1,0,Q158*(1-VLOOKUP($A159,[1]Hugst!$R$5:$W$9,MATCH(ROUNDUP((R$1)/10,0)*10,[1]Hugst!$R$4:$W$4,0))))</f>
        <v>0</v>
      </c>
      <c r="S159">
        <f>IF($C159-S$1&lt;År1,0,R158*(1-VLOOKUP($A159,[1]Hugst!$R$5:$W$9,MATCH(ROUNDUP((S$1)/10,0)*10,[1]Hugst!$R$4:$W$4,0))))</f>
        <v>0</v>
      </c>
      <c r="T159">
        <f>IF($C159-T$1&lt;År1,0,S158*(1-VLOOKUP($A159,[1]Hugst!$R$5:$W$9,MATCH(ROUNDUP((T$1)/10,0)*10,[1]Hugst!$R$4:$W$4,0))))</f>
        <v>0</v>
      </c>
      <c r="U159">
        <f>IF($C159-U$1&lt;År1,0,T158*(1-VLOOKUP($A159,[1]Hugst!$R$5:$W$9,MATCH(ROUNDUP((U$1)/10,0)*10,[1]Hugst!$R$4:$W$4,0))))</f>
        <v>0</v>
      </c>
      <c r="V159">
        <f>IF($C159-V$1&lt;År1,0,U158*(1-VLOOKUP($A159,[1]Hugst!$R$5:$W$9,MATCH(ROUNDUP((V$1)/10,0)*10,[1]Hugst!$R$4:$W$4,0))))</f>
        <v>0</v>
      </c>
      <c r="W159">
        <f>IF($C159-W$1&lt;År1,0,V158*(1-VLOOKUP($A159,[1]Hugst!$R$5:$W$9,MATCH(ROUNDUP((W$1)/10,0)*10,[1]Hugst!$R$4:$W$4,0))))</f>
        <v>0</v>
      </c>
      <c r="X159">
        <f>IF($C159-X$1&lt;År1,0,W158*(1-VLOOKUP($A159,[1]Hugst!$R$5:$W$9,MATCH(ROUNDUP((X$1)/10,0)*10,[1]Hugst!$R$4:$W$4,0))))</f>
        <v>0</v>
      </c>
      <c r="Y159">
        <f>IF($C159-Y$1&lt;År1,0,X158*(1-VLOOKUP($A159,[1]Hugst!$R$5:$W$9,MATCH(ROUNDUP((Y$1)/10,0)*10,[1]Hugst!$R$4:$W$4,0))))</f>
        <v>0</v>
      </c>
      <c r="Z159">
        <f>IF($C159-Z$1&lt;År1,0,Y158*(1-VLOOKUP($A159,[1]Hugst!$R$5:$W$9,MATCH(ROUNDUP((Z$1)/10,0)*10,[1]Hugst!$R$4:$W$4,0))))</f>
        <v>0</v>
      </c>
      <c r="AA159">
        <f>IF($C159-AA$1&lt;År1,0,Z158*(1-VLOOKUP($A159,[1]Hugst!$R$5:$W$9,MATCH(ROUNDUP((AA$1)/10,0)*10,[1]Hugst!$R$4:$W$4,0))))</f>
        <v>0</v>
      </c>
      <c r="AB159">
        <f>IF($C159-AB$1&lt;År1,0,AA158*(1-VLOOKUP($A159,[1]Hugst!$R$5:$W$9,MATCH(ROUNDUP((AB$1)/10,0)*10,[1]Hugst!$R$4:$W$4,0))))</f>
        <v>0</v>
      </c>
      <c r="AC159">
        <f>IF($C159-AC$1&lt;År1,0,AB158*(1-VLOOKUP($A159,[1]Hugst!$R$5:$W$9,MATCH(ROUNDUP((AC$1)/10,0)*10,[1]Hugst!$R$4:$W$4,0))))</f>
        <v>0</v>
      </c>
      <c r="AD159">
        <f>IF($C159-AD$1&lt;År1,0,AC158*(1-VLOOKUP($A159,[1]Hugst!$R$5:$W$9,MATCH(ROUNDUP((AD$1)/10,0)*10,[1]Hugst!$R$4:$W$4,0))))</f>
        <v>0</v>
      </c>
      <c r="AE159">
        <f>IF($C159-AE$1&lt;År1,0,AD158*(1-VLOOKUP($A159,[1]Hugst!$R$5:$W$9,MATCH(ROUNDUP((AE$1)/10,0)*10,[1]Hugst!$R$4:$W$4,0))))</f>
        <v>0</v>
      </c>
      <c r="AF159">
        <f>IF($C159-AF$1&lt;År1,0,AE158*(1-VLOOKUP($A159,[1]Hugst!$R$5:$W$9,MATCH(ROUNDUP((AF$1)/10,0)*10,[1]Hugst!$R$4:$W$4,0))))</f>
        <v>0</v>
      </c>
      <c r="AG159">
        <f>IF($C159-AG$1&lt;År1,0,AF158*(1-VLOOKUP($A159,[1]Hugst!$R$5:$W$9,MATCH(ROUNDUP((AG$1)/10,0)*10,[1]Hugst!$R$4:$W$4,0))))</f>
        <v>0</v>
      </c>
      <c r="AH159">
        <f>IF($C159-AH$1&lt;År1,0,AG158*(1-VLOOKUP($A159,[1]Hugst!$R$5:$W$9,MATCH(ROUNDUP((AH$1)/10,0)*10,[1]Hugst!$R$4:$W$4,0))))</f>
        <v>0</v>
      </c>
      <c r="AI159">
        <f>IF($C159-AI$1&lt;År1,0,AH158*(1-VLOOKUP($A159,[1]Hugst!$R$5:$W$9,MATCH(ROUNDUP((AI$1)/10,0)*10,[1]Hugst!$R$4:$W$4,0))))</f>
        <v>0</v>
      </c>
      <c r="AJ159">
        <f>IF($C159-AJ$1&lt;År1,0,AI158*(1-VLOOKUP($A159,[1]Hugst!$R$5:$W$9,MATCH(ROUNDUP((AJ$1)/10,0)*10,[1]Hugst!$R$4:$W$4,0))))</f>
        <v>0</v>
      </c>
    </row>
    <row r="160" spans="1:36" x14ac:dyDescent="0.25">
      <c r="A160" t="s">
        <v>178</v>
      </c>
      <c r="B160" t="s">
        <v>24</v>
      </c>
      <c r="C160">
        <v>2023</v>
      </c>
      <c r="D160" cm="1">
        <f t="array" ref="D160">(IF(B160="Vestdanmark",Skovbrug!$C$22-(Skovbrug!$C$22)*(1-Skovbrug!$C$9)^(C160-Skovbrug!$B$12),Skovbrug!$F$22-(Skovbrug!$F$22)*(1-Skovbrug!$C$9)^(C160-Skovbrug!$B$12)))*VLOOKUP(A160,Skovbrug!$A$13:$D$17,IF('Skovbrug-alder'!C160&lt;=År2,3,4),FALSE)
-IF(C160&gt;2020,SUM(INDEX($C$1:$D$311,MATCH(1,(2020=$C$1:$C$311)*(B160=$B$1:$B$311)*(A160=$A$1:$A$311),0),2):D159),0)</f>
        <v>31.36120779849297</v>
      </c>
      <c r="E160">
        <f t="shared" ca="1" si="3"/>
        <v>0</v>
      </c>
      <c r="F160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106.27703271431785</v>
      </c>
      <c r="G160">
        <f ca="1">IF($C160-G$1&lt;År1,0,F159*(1-VLOOKUP($A160,[1]Hugst!$R$5:$W$9,MATCH(ROUNDUP((G$1)/10,0)*10,[1]Hugst!$R$4:$W$4,0))))</f>
        <v>106.4346267233563</v>
      </c>
      <c r="H160">
        <f ca="1">IF($C160-H$1&lt;År1,0,G159*(1-VLOOKUP($A160,[1]Hugst!$R$5:$W$9,MATCH(ROUNDUP((H$1)/10,0)*10,[1]Hugst!$R$4:$W$4,0))))</f>
        <v>106.59301266208753</v>
      </c>
      <c r="I160">
        <f ca="1">IF($C160-I$1&lt;År1,0,H159*(1-VLOOKUP($A160,[1]Hugst!$R$5:$W$9,MATCH(ROUNDUP((I$1)/10,0)*10,[1]Hugst!$R$4:$W$4,0))))</f>
        <v>106.75219451005873</v>
      </c>
      <c r="J160">
        <f>IF($C160-J$1&lt;År1,0,I159*(1-VLOOKUP($A160,[1]Hugst!$R$5:$W$9,MATCH(ROUNDUP((J$1)/10,0)*10,[1]Hugst!$R$4:$W$4,0))))</f>
        <v>0</v>
      </c>
      <c r="K160">
        <f>IF($C160-K$1&lt;År1,0,J159*(1-VLOOKUP($A160,[1]Hugst!$R$5:$W$9,MATCH(ROUNDUP((K$1)/10,0)*10,[1]Hugst!$R$4:$W$4,0))))</f>
        <v>0</v>
      </c>
      <c r="L160">
        <f>IF($C160-L$1&lt;År1,0,K159*(1-VLOOKUP($A160,[1]Hugst!$R$5:$W$9,MATCH(ROUNDUP((L$1)/10,0)*10,[1]Hugst!$R$4:$W$4,0))))</f>
        <v>0</v>
      </c>
      <c r="M160">
        <f>IF($C160-M$1&lt;År1,0,L159*(1-VLOOKUP($A160,[1]Hugst!$R$5:$W$9,MATCH(ROUNDUP((M$1)/10,0)*10,[1]Hugst!$R$4:$W$4,0))))</f>
        <v>0</v>
      </c>
      <c r="N160">
        <f>IF($C160-N$1&lt;År1,0,M159*(1-VLOOKUP($A160,[1]Hugst!$R$5:$W$9,MATCH(ROUNDUP((N$1)/10,0)*10,[1]Hugst!$R$4:$W$4,0))))</f>
        <v>0</v>
      </c>
      <c r="O160">
        <f>IF($C160-O$1&lt;År1,0,N159*(1-VLOOKUP($A160,[1]Hugst!$R$5:$W$9,MATCH(ROUNDUP((O$1)/10,0)*10,[1]Hugst!$R$4:$W$4,0))))</f>
        <v>0</v>
      </c>
      <c r="P160">
        <f>IF($C160-P$1&lt;År1,0,O159*(1-VLOOKUP($A160,[1]Hugst!$R$5:$W$9,MATCH(ROUNDUP((P$1)/10,0)*10,[1]Hugst!$R$4:$W$4,0))))</f>
        <v>0</v>
      </c>
      <c r="Q160">
        <f>IF($C160-Q$1&lt;År1,0,P159*(1-VLOOKUP($A160,[1]Hugst!$R$5:$W$9,MATCH(ROUNDUP((Q$1)/10,0)*10,[1]Hugst!$R$4:$W$4,0))))</f>
        <v>0</v>
      </c>
      <c r="R160">
        <f>IF($C160-R$1&lt;År1,0,Q159*(1-VLOOKUP($A160,[1]Hugst!$R$5:$W$9,MATCH(ROUNDUP((R$1)/10,0)*10,[1]Hugst!$R$4:$W$4,0))))</f>
        <v>0</v>
      </c>
      <c r="S160">
        <f>IF($C160-S$1&lt;År1,0,R159*(1-VLOOKUP($A160,[1]Hugst!$R$5:$W$9,MATCH(ROUNDUP((S$1)/10,0)*10,[1]Hugst!$R$4:$W$4,0))))</f>
        <v>0</v>
      </c>
      <c r="T160">
        <f>IF($C160-T$1&lt;År1,0,S159*(1-VLOOKUP($A160,[1]Hugst!$R$5:$W$9,MATCH(ROUNDUP((T$1)/10,0)*10,[1]Hugst!$R$4:$W$4,0))))</f>
        <v>0</v>
      </c>
      <c r="U160">
        <f>IF($C160-U$1&lt;År1,0,T159*(1-VLOOKUP($A160,[1]Hugst!$R$5:$W$9,MATCH(ROUNDUP((U$1)/10,0)*10,[1]Hugst!$R$4:$W$4,0))))</f>
        <v>0</v>
      </c>
      <c r="V160">
        <f>IF($C160-V$1&lt;År1,0,U159*(1-VLOOKUP($A160,[1]Hugst!$R$5:$W$9,MATCH(ROUNDUP((V$1)/10,0)*10,[1]Hugst!$R$4:$W$4,0))))</f>
        <v>0</v>
      </c>
      <c r="W160">
        <f>IF($C160-W$1&lt;År1,0,V159*(1-VLOOKUP($A160,[1]Hugst!$R$5:$W$9,MATCH(ROUNDUP((W$1)/10,0)*10,[1]Hugst!$R$4:$W$4,0))))</f>
        <v>0</v>
      </c>
      <c r="X160">
        <f>IF($C160-X$1&lt;År1,0,W159*(1-VLOOKUP($A160,[1]Hugst!$R$5:$W$9,MATCH(ROUNDUP((X$1)/10,0)*10,[1]Hugst!$R$4:$W$4,0))))</f>
        <v>0</v>
      </c>
      <c r="Y160">
        <f>IF($C160-Y$1&lt;År1,0,X159*(1-VLOOKUP($A160,[1]Hugst!$R$5:$W$9,MATCH(ROUNDUP((Y$1)/10,0)*10,[1]Hugst!$R$4:$W$4,0))))</f>
        <v>0</v>
      </c>
      <c r="Z160">
        <f>IF($C160-Z$1&lt;År1,0,Y159*(1-VLOOKUP($A160,[1]Hugst!$R$5:$W$9,MATCH(ROUNDUP((Z$1)/10,0)*10,[1]Hugst!$R$4:$W$4,0))))</f>
        <v>0</v>
      </c>
      <c r="AA160">
        <f>IF($C160-AA$1&lt;År1,0,Z159*(1-VLOOKUP($A160,[1]Hugst!$R$5:$W$9,MATCH(ROUNDUP((AA$1)/10,0)*10,[1]Hugst!$R$4:$W$4,0))))</f>
        <v>0</v>
      </c>
      <c r="AB160">
        <f>IF($C160-AB$1&lt;År1,0,AA159*(1-VLOOKUP($A160,[1]Hugst!$R$5:$W$9,MATCH(ROUNDUP((AB$1)/10,0)*10,[1]Hugst!$R$4:$W$4,0))))</f>
        <v>0</v>
      </c>
      <c r="AC160">
        <f>IF($C160-AC$1&lt;År1,0,AB159*(1-VLOOKUP($A160,[1]Hugst!$R$5:$W$9,MATCH(ROUNDUP((AC$1)/10,0)*10,[1]Hugst!$R$4:$W$4,0))))</f>
        <v>0</v>
      </c>
      <c r="AD160">
        <f>IF($C160-AD$1&lt;År1,0,AC159*(1-VLOOKUP($A160,[1]Hugst!$R$5:$W$9,MATCH(ROUNDUP((AD$1)/10,0)*10,[1]Hugst!$R$4:$W$4,0))))</f>
        <v>0</v>
      </c>
      <c r="AE160">
        <f>IF($C160-AE$1&lt;År1,0,AD159*(1-VLOOKUP($A160,[1]Hugst!$R$5:$W$9,MATCH(ROUNDUP((AE$1)/10,0)*10,[1]Hugst!$R$4:$W$4,0))))</f>
        <v>0</v>
      </c>
      <c r="AF160">
        <f>IF($C160-AF$1&lt;År1,0,AE159*(1-VLOOKUP($A160,[1]Hugst!$R$5:$W$9,MATCH(ROUNDUP((AF$1)/10,0)*10,[1]Hugst!$R$4:$W$4,0))))</f>
        <v>0</v>
      </c>
      <c r="AG160">
        <f>IF($C160-AG$1&lt;År1,0,AF159*(1-VLOOKUP($A160,[1]Hugst!$R$5:$W$9,MATCH(ROUNDUP((AG$1)/10,0)*10,[1]Hugst!$R$4:$W$4,0))))</f>
        <v>0</v>
      </c>
      <c r="AH160">
        <f>IF($C160-AH$1&lt;År1,0,AG159*(1-VLOOKUP($A160,[1]Hugst!$R$5:$W$9,MATCH(ROUNDUP((AH$1)/10,0)*10,[1]Hugst!$R$4:$W$4,0))))</f>
        <v>0</v>
      </c>
      <c r="AI160">
        <f>IF($C160-AI$1&lt;År1,0,AH159*(1-VLOOKUP($A160,[1]Hugst!$R$5:$W$9,MATCH(ROUNDUP((AI$1)/10,0)*10,[1]Hugst!$R$4:$W$4,0))))</f>
        <v>0</v>
      </c>
      <c r="AJ160">
        <f>IF($C160-AJ$1&lt;År1,0,AI159*(1-VLOOKUP($A160,[1]Hugst!$R$5:$W$9,MATCH(ROUNDUP((AJ$1)/10,0)*10,[1]Hugst!$R$4:$W$4,0))))</f>
        <v>0</v>
      </c>
    </row>
    <row r="161" spans="1:36" x14ac:dyDescent="0.25">
      <c r="A161" t="s">
        <v>178</v>
      </c>
      <c r="B161" t="s">
        <v>24</v>
      </c>
      <c r="C161">
        <v>2024</v>
      </c>
      <c r="D161" cm="1">
        <f t="array" ref="D161">(IF(B161="Vestdanmark",Skovbrug!$C$22-(Skovbrug!$C$22)*(1-Skovbrug!$C$9)^(C161-Skovbrug!$B$12),Skovbrug!$F$22-(Skovbrug!$F$22)*(1-Skovbrug!$C$9)^(C161-Skovbrug!$B$12)))*VLOOKUP(A161,Skovbrug!$A$13:$D$17,IF('Skovbrug-alder'!C161&lt;=År2,3,4),FALSE)
-IF(C161&gt;2020,SUM(INDEX($C$1:$D$311,MATCH(1,(2020=$C$1:$C$311)*(B161=$B$1:$B$311)*(A161=$A$1:$A$311),0),2):D160),0)</f>
        <v>31.204401759501366</v>
      </c>
      <c r="E161">
        <f t="shared" ca="1" si="3"/>
        <v>0</v>
      </c>
      <c r="F161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106.12022667532625</v>
      </c>
      <c r="G161">
        <f ca="1">IF($C161-G$1&lt;År1,0,F160*(1-VLOOKUP($A161,[1]Hugst!$R$5:$W$9,MATCH(ROUNDUP((G$1)/10,0)*10,[1]Hugst!$R$4:$W$4,0))))</f>
        <v>106.27703271431785</v>
      </c>
      <c r="H161">
        <f ca="1">IF($C161-H$1&lt;År1,0,G160*(1-VLOOKUP($A161,[1]Hugst!$R$5:$W$9,MATCH(ROUNDUP((H$1)/10,0)*10,[1]Hugst!$R$4:$W$4,0))))</f>
        <v>106.4346267233563</v>
      </c>
      <c r="I161">
        <f ca="1">IF($C161-I$1&lt;År1,0,H160*(1-VLOOKUP($A161,[1]Hugst!$R$5:$W$9,MATCH(ROUNDUP((I$1)/10,0)*10,[1]Hugst!$R$4:$W$4,0))))</f>
        <v>106.59301266208753</v>
      </c>
      <c r="J161">
        <f ca="1">IF($C161-J$1&lt;År1,0,I160*(1-VLOOKUP($A161,[1]Hugst!$R$5:$W$9,MATCH(ROUNDUP((J$1)/10,0)*10,[1]Hugst!$R$4:$W$4,0))))</f>
        <v>106.75219451005873</v>
      </c>
      <c r="K161">
        <f>IF($C161-K$1&lt;År1,0,J160*(1-VLOOKUP($A161,[1]Hugst!$R$5:$W$9,MATCH(ROUNDUP((K$1)/10,0)*10,[1]Hugst!$R$4:$W$4,0))))</f>
        <v>0</v>
      </c>
      <c r="L161">
        <f>IF($C161-L$1&lt;År1,0,K160*(1-VLOOKUP($A161,[1]Hugst!$R$5:$W$9,MATCH(ROUNDUP((L$1)/10,0)*10,[1]Hugst!$R$4:$W$4,0))))</f>
        <v>0</v>
      </c>
      <c r="M161">
        <f>IF($C161-M$1&lt;År1,0,L160*(1-VLOOKUP($A161,[1]Hugst!$R$5:$W$9,MATCH(ROUNDUP((M$1)/10,0)*10,[1]Hugst!$R$4:$W$4,0))))</f>
        <v>0</v>
      </c>
      <c r="N161">
        <f>IF($C161-N$1&lt;År1,0,M160*(1-VLOOKUP($A161,[1]Hugst!$R$5:$W$9,MATCH(ROUNDUP((N$1)/10,0)*10,[1]Hugst!$R$4:$W$4,0))))</f>
        <v>0</v>
      </c>
      <c r="O161">
        <f>IF($C161-O$1&lt;År1,0,N160*(1-VLOOKUP($A161,[1]Hugst!$R$5:$W$9,MATCH(ROUNDUP((O$1)/10,0)*10,[1]Hugst!$R$4:$W$4,0))))</f>
        <v>0</v>
      </c>
      <c r="P161">
        <f>IF($C161-P$1&lt;År1,0,O160*(1-VLOOKUP($A161,[1]Hugst!$R$5:$W$9,MATCH(ROUNDUP((P$1)/10,0)*10,[1]Hugst!$R$4:$W$4,0))))</f>
        <v>0</v>
      </c>
      <c r="Q161">
        <f>IF($C161-Q$1&lt;År1,0,P160*(1-VLOOKUP($A161,[1]Hugst!$R$5:$W$9,MATCH(ROUNDUP((Q$1)/10,0)*10,[1]Hugst!$R$4:$W$4,0))))</f>
        <v>0</v>
      </c>
      <c r="R161">
        <f>IF($C161-R$1&lt;År1,0,Q160*(1-VLOOKUP($A161,[1]Hugst!$R$5:$W$9,MATCH(ROUNDUP((R$1)/10,0)*10,[1]Hugst!$R$4:$W$4,0))))</f>
        <v>0</v>
      </c>
      <c r="S161">
        <f>IF($C161-S$1&lt;År1,0,R160*(1-VLOOKUP($A161,[1]Hugst!$R$5:$W$9,MATCH(ROUNDUP((S$1)/10,0)*10,[1]Hugst!$R$4:$W$4,0))))</f>
        <v>0</v>
      </c>
      <c r="T161">
        <f>IF($C161-T$1&lt;År1,0,S160*(1-VLOOKUP($A161,[1]Hugst!$R$5:$W$9,MATCH(ROUNDUP((T$1)/10,0)*10,[1]Hugst!$R$4:$W$4,0))))</f>
        <v>0</v>
      </c>
      <c r="U161">
        <f>IF($C161-U$1&lt;År1,0,T160*(1-VLOOKUP($A161,[1]Hugst!$R$5:$W$9,MATCH(ROUNDUP((U$1)/10,0)*10,[1]Hugst!$R$4:$W$4,0))))</f>
        <v>0</v>
      </c>
      <c r="V161">
        <f>IF($C161-V$1&lt;År1,0,U160*(1-VLOOKUP($A161,[1]Hugst!$R$5:$W$9,MATCH(ROUNDUP((V$1)/10,0)*10,[1]Hugst!$R$4:$W$4,0))))</f>
        <v>0</v>
      </c>
      <c r="W161">
        <f>IF($C161-W$1&lt;År1,0,V160*(1-VLOOKUP($A161,[1]Hugst!$R$5:$W$9,MATCH(ROUNDUP((W$1)/10,0)*10,[1]Hugst!$R$4:$W$4,0))))</f>
        <v>0</v>
      </c>
      <c r="X161">
        <f>IF($C161-X$1&lt;År1,0,W160*(1-VLOOKUP($A161,[1]Hugst!$R$5:$W$9,MATCH(ROUNDUP((X$1)/10,0)*10,[1]Hugst!$R$4:$W$4,0))))</f>
        <v>0</v>
      </c>
      <c r="Y161">
        <f>IF($C161-Y$1&lt;År1,0,X160*(1-VLOOKUP($A161,[1]Hugst!$R$5:$W$9,MATCH(ROUNDUP((Y$1)/10,0)*10,[1]Hugst!$R$4:$W$4,0))))</f>
        <v>0</v>
      </c>
      <c r="Z161">
        <f>IF($C161-Z$1&lt;År1,0,Y160*(1-VLOOKUP($A161,[1]Hugst!$R$5:$W$9,MATCH(ROUNDUP((Z$1)/10,0)*10,[1]Hugst!$R$4:$W$4,0))))</f>
        <v>0</v>
      </c>
      <c r="AA161">
        <f>IF($C161-AA$1&lt;År1,0,Z160*(1-VLOOKUP($A161,[1]Hugst!$R$5:$W$9,MATCH(ROUNDUP((AA$1)/10,0)*10,[1]Hugst!$R$4:$W$4,0))))</f>
        <v>0</v>
      </c>
      <c r="AB161">
        <f>IF($C161-AB$1&lt;År1,0,AA160*(1-VLOOKUP($A161,[1]Hugst!$R$5:$W$9,MATCH(ROUNDUP((AB$1)/10,0)*10,[1]Hugst!$R$4:$W$4,0))))</f>
        <v>0</v>
      </c>
      <c r="AC161">
        <f>IF($C161-AC$1&lt;År1,0,AB160*(1-VLOOKUP($A161,[1]Hugst!$R$5:$W$9,MATCH(ROUNDUP((AC$1)/10,0)*10,[1]Hugst!$R$4:$W$4,0))))</f>
        <v>0</v>
      </c>
      <c r="AD161">
        <f>IF($C161-AD$1&lt;År1,0,AC160*(1-VLOOKUP($A161,[1]Hugst!$R$5:$W$9,MATCH(ROUNDUP((AD$1)/10,0)*10,[1]Hugst!$R$4:$W$4,0))))</f>
        <v>0</v>
      </c>
      <c r="AE161">
        <f>IF($C161-AE$1&lt;År1,0,AD160*(1-VLOOKUP($A161,[1]Hugst!$R$5:$W$9,MATCH(ROUNDUP((AE$1)/10,0)*10,[1]Hugst!$R$4:$W$4,0))))</f>
        <v>0</v>
      </c>
      <c r="AF161">
        <f>IF($C161-AF$1&lt;År1,0,AE160*(1-VLOOKUP($A161,[1]Hugst!$R$5:$W$9,MATCH(ROUNDUP((AF$1)/10,0)*10,[1]Hugst!$R$4:$W$4,0))))</f>
        <v>0</v>
      </c>
      <c r="AG161">
        <f>IF($C161-AG$1&lt;År1,0,AF160*(1-VLOOKUP($A161,[1]Hugst!$R$5:$W$9,MATCH(ROUNDUP((AG$1)/10,0)*10,[1]Hugst!$R$4:$W$4,0))))</f>
        <v>0</v>
      </c>
      <c r="AH161">
        <f>IF($C161-AH$1&lt;År1,0,AG160*(1-VLOOKUP($A161,[1]Hugst!$R$5:$W$9,MATCH(ROUNDUP((AH$1)/10,0)*10,[1]Hugst!$R$4:$W$4,0))))</f>
        <v>0</v>
      </c>
      <c r="AI161">
        <f>IF($C161-AI$1&lt;År1,0,AH160*(1-VLOOKUP($A161,[1]Hugst!$R$5:$W$9,MATCH(ROUNDUP((AI$1)/10,0)*10,[1]Hugst!$R$4:$W$4,0))))</f>
        <v>0</v>
      </c>
      <c r="AJ161">
        <f>IF($C161-AJ$1&lt;År1,0,AI160*(1-VLOOKUP($A161,[1]Hugst!$R$5:$W$9,MATCH(ROUNDUP((AJ$1)/10,0)*10,[1]Hugst!$R$4:$W$4,0))))</f>
        <v>0</v>
      </c>
    </row>
    <row r="162" spans="1:36" x14ac:dyDescent="0.25">
      <c r="A162" t="s">
        <v>178</v>
      </c>
      <c r="B162" t="s">
        <v>24</v>
      </c>
      <c r="C162">
        <v>2025</v>
      </c>
      <c r="D162" cm="1">
        <f t="array" ref="D162">(IF(B162="Vestdanmark",Skovbrug!$C$22-(Skovbrug!$C$22)*(1-Skovbrug!$C$9)^(C162-Skovbrug!$B$12),Skovbrug!$F$22-(Skovbrug!$F$22)*(1-Skovbrug!$C$9)^(C162-Skovbrug!$B$12)))*VLOOKUP(A162,Skovbrug!$A$13:$D$17,IF('Skovbrug-alder'!C162&lt;=År2,3,4),FALSE)
-IF(C162&gt;2020,SUM(INDEX($C$1:$D$311,MATCH(1,(2020=$C$1:$C$311)*(B162=$B$1:$B$311)*(A162=$A$1:$A$311),0),2):D161),0)</f>
        <v>31.048379750703305</v>
      </c>
      <c r="E162">
        <f t="shared" ca="1" si="3"/>
        <v>0</v>
      </c>
      <c r="F162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105.96420466652819</v>
      </c>
      <c r="G162">
        <f ca="1">IF($C162-G$1&lt;År1,0,F161*(1-VLOOKUP($A162,[1]Hugst!$R$5:$W$9,MATCH(ROUNDUP((G$1)/10,0)*10,[1]Hugst!$R$4:$W$4,0))))</f>
        <v>106.12022667532625</v>
      </c>
      <c r="H162">
        <f ca="1">IF($C162-H$1&lt;År1,0,G161*(1-VLOOKUP($A162,[1]Hugst!$R$5:$W$9,MATCH(ROUNDUP((H$1)/10,0)*10,[1]Hugst!$R$4:$W$4,0))))</f>
        <v>106.27703271431785</v>
      </c>
      <c r="I162">
        <f ca="1">IF($C162-I$1&lt;År1,0,H161*(1-VLOOKUP($A162,[1]Hugst!$R$5:$W$9,MATCH(ROUNDUP((I$1)/10,0)*10,[1]Hugst!$R$4:$W$4,0))))</f>
        <v>106.4346267233563</v>
      </c>
      <c r="J162">
        <f ca="1">IF($C162-J$1&lt;År1,0,I161*(1-VLOOKUP($A162,[1]Hugst!$R$5:$W$9,MATCH(ROUNDUP((J$1)/10,0)*10,[1]Hugst!$R$4:$W$4,0))))</f>
        <v>106.59301266208753</v>
      </c>
      <c r="K162">
        <f ca="1">IF($C162-K$1&lt;År1,0,J161*(1-VLOOKUP($A162,[1]Hugst!$R$5:$W$9,MATCH(ROUNDUP((K$1)/10,0)*10,[1]Hugst!$R$4:$W$4,0))))</f>
        <v>106.75219451005873</v>
      </c>
      <c r="L162">
        <f>IF($C162-L$1&lt;År1,0,K161*(1-VLOOKUP($A162,[1]Hugst!$R$5:$W$9,MATCH(ROUNDUP((L$1)/10,0)*10,[1]Hugst!$R$4:$W$4,0))))</f>
        <v>0</v>
      </c>
      <c r="M162">
        <f>IF($C162-M$1&lt;År1,0,L161*(1-VLOOKUP($A162,[1]Hugst!$R$5:$W$9,MATCH(ROUNDUP((M$1)/10,0)*10,[1]Hugst!$R$4:$W$4,0))))</f>
        <v>0</v>
      </c>
      <c r="N162">
        <f>IF($C162-N$1&lt;År1,0,M161*(1-VLOOKUP($A162,[1]Hugst!$R$5:$W$9,MATCH(ROUNDUP((N$1)/10,0)*10,[1]Hugst!$R$4:$W$4,0))))</f>
        <v>0</v>
      </c>
      <c r="O162">
        <f>IF($C162-O$1&lt;År1,0,N161*(1-VLOOKUP($A162,[1]Hugst!$R$5:$W$9,MATCH(ROUNDUP((O$1)/10,0)*10,[1]Hugst!$R$4:$W$4,0))))</f>
        <v>0</v>
      </c>
      <c r="P162">
        <f>IF($C162-P$1&lt;År1,0,O161*(1-VLOOKUP($A162,[1]Hugst!$R$5:$W$9,MATCH(ROUNDUP((P$1)/10,0)*10,[1]Hugst!$R$4:$W$4,0))))</f>
        <v>0</v>
      </c>
      <c r="Q162">
        <f>IF($C162-Q$1&lt;År1,0,P161*(1-VLOOKUP($A162,[1]Hugst!$R$5:$W$9,MATCH(ROUNDUP((Q$1)/10,0)*10,[1]Hugst!$R$4:$W$4,0))))</f>
        <v>0</v>
      </c>
      <c r="R162">
        <f>IF($C162-R$1&lt;År1,0,Q161*(1-VLOOKUP($A162,[1]Hugst!$R$5:$W$9,MATCH(ROUNDUP((R$1)/10,0)*10,[1]Hugst!$R$4:$W$4,0))))</f>
        <v>0</v>
      </c>
      <c r="S162">
        <f>IF($C162-S$1&lt;År1,0,R161*(1-VLOOKUP($A162,[1]Hugst!$R$5:$W$9,MATCH(ROUNDUP((S$1)/10,0)*10,[1]Hugst!$R$4:$W$4,0))))</f>
        <v>0</v>
      </c>
      <c r="T162">
        <f>IF($C162-T$1&lt;År1,0,S161*(1-VLOOKUP($A162,[1]Hugst!$R$5:$W$9,MATCH(ROUNDUP((T$1)/10,0)*10,[1]Hugst!$R$4:$W$4,0))))</f>
        <v>0</v>
      </c>
      <c r="U162">
        <f>IF($C162-U$1&lt;År1,0,T161*(1-VLOOKUP($A162,[1]Hugst!$R$5:$W$9,MATCH(ROUNDUP((U$1)/10,0)*10,[1]Hugst!$R$4:$W$4,0))))</f>
        <v>0</v>
      </c>
      <c r="V162">
        <f>IF($C162-V$1&lt;År1,0,U161*(1-VLOOKUP($A162,[1]Hugst!$R$5:$W$9,MATCH(ROUNDUP((V$1)/10,0)*10,[1]Hugst!$R$4:$W$4,0))))</f>
        <v>0</v>
      </c>
      <c r="W162">
        <f>IF($C162-W$1&lt;År1,0,V161*(1-VLOOKUP($A162,[1]Hugst!$R$5:$W$9,MATCH(ROUNDUP((W$1)/10,0)*10,[1]Hugst!$R$4:$W$4,0))))</f>
        <v>0</v>
      </c>
      <c r="X162">
        <f>IF($C162-X$1&lt;År1,0,W161*(1-VLOOKUP($A162,[1]Hugst!$R$5:$W$9,MATCH(ROUNDUP((X$1)/10,0)*10,[1]Hugst!$R$4:$W$4,0))))</f>
        <v>0</v>
      </c>
      <c r="Y162">
        <f>IF($C162-Y$1&lt;År1,0,X161*(1-VLOOKUP($A162,[1]Hugst!$R$5:$W$9,MATCH(ROUNDUP((Y$1)/10,0)*10,[1]Hugst!$R$4:$W$4,0))))</f>
        <v>0</v>
      </c>
      <c r="Z162">
        <f>IF($C162-Z$1&lt;År1,0,Y161*(1-VLOOKUP($A162,[1]Hugst!$R$5:$W$9,MATCH(ROUNDUP((Z$1)/10,0)*10,[1]Hugst!$R$4:$W$4,0))))</f>
        <v>0</v>
      </c>
      <c r="AA162">
        <f>IF($C162-AA$1&lt;År1,0,Z161*(1-VLOOKUP($A162,[1]Hugst!$R$5:$W$9,MATCH(ROUNDUP((AA$1)/10,0)*10,[1]Hugst!$R$4:$W$4,0))))</f>
        <v>0</v>
      </c>
      <c r="AB162">
        <f>IF($C162-AB$1&lt;År1,0,AA161*(1-VLOOKUP($A162,[1]Hugst!$R$5:$W$9,MATCH(ROUNDUP((AB$1)/10,0)*10,[1]Hugst!$R$4:$W$4,0))))</f>
        <v>0</v>
      </c>
      <c r="AC162">
        <f>IF($C162-AC$1&lt;År1,0,AB161*(1-VLOOKUP($A162,[1]Hugst!$R$5:$W$9,MATCH(ROUNDUP((AC$1)/10,0)*10,[1]Hugst!$R$4:$W$4,0))))</f>
        <v>0</v>
      </c>
      <c r="AD162">
        <f>IF($C162-AD$1&lt;År1,0,AC161*(1-VLOOKUP($A162,[1]Hugst!$R$5:$W$9,MATCH(ROUNDUP((AD$1)/10,0)*10,[1]Hugst!$R$4:$W$4,0))))</f>
        <v>0</v>
      </c>
      <c r="AE162">
        <f>IF($C162-AE$1&lt;År1,0,AD161*(1-VLOOKUP($A162,[1]Hugst!$R$5:$W$9,MATCH(ROUNDUP((AE$1)/10,0)*10,[1]Hugst!$R$4:$W$4,0))))</f>
        <v>0</v>
      </c>
      <c r="AF162">
        <f>IF($C162-AF$1&lt;År1,0,AE161*(1-VLOOKUP($A162,[1]Hugst!$R$5:$W$9,MATCH(ROUNDUP((AF$1)/10,0)*10,[1]Hugst!$R$4:$W$4,0))))</f>
        <v>0</v>
      </c>
      <c r="AG162">
        <f>IF($C162-AG$1&lt;År1,0,AF161*(1-VLOOKUP($A162,[1]Hugst!$R$5:$W$9,MATCH(ROUNDUP((AG$1)/10,0)*10,[1]Hugst!$R$4:$W$4,0))))</f>
        <v>0</v>
      </c>
      <c r="AH162">
        <f>IF($C162-AH$1&lt;År1,0,AG161*(1-VLOOKUP($A162,[1]Hugst!$R$5:$W$9,MATCH(ROUNDUP((AH$1)/10,0)*10,[1]Hugst!$R$4:$W$4,0))))</f>
        <v>0</v>
      </c>
      <c r="AI162">
        <f>IF($C162-AI$1&lt;År1,0,AH161*(1-VLOOKUP($A162,[1]Hugst!$R$5:$W$9,MATCH(ROUNDUP((AI$1)/10,0)*10,[1]Hugst!$R$4:$W$4,0))))</f>
        <v>0</v>
      </c>
      <c r="AJ162">
        <f>IF($C162-AJ$1&lt;År1,0,AI161*(1-VLOOKUP($A162,[1]Hugst!$R$5:$W$9,MATCH(ROUNDUP((AJ$1)/10,0)*10,[1]Hugst!$R$4:$W$4,0))))</f>
        <v>0</v>
      </c>
    </row>
    <row r="163" spans="1:36" x14ac:dyDescent="0.25">
      <c r="A163" t="s">
        <v>178</v>
      </c>
      <c r="B163" t="s">
        <v>24</v>
      </c>
      <c r="C163">
        <v>2026</v>
      </c>
      <c r="D163" cm="1">
        <f t="array" ref="D163">(IF(B163="Vestdanmark",Skovbrug!$C$22-(Skovbrug!$C$22)*(1-Skovbrug!$C$9)^(C163-Skovbrug!$B$12),Skovbrug!$F$22-(Skovbrug!$F$22)*(1-Skovbrug!$C$9)^(C163-Skovbrug!$B$12)))*VLOOKUP(A163,Skovbrug!$A$13:$D$17,IF('Skovbrug-alder'!C163&lt;=År2,3,4),FALSE)
-IF(C163&gt;2020,SUM(INDEX($C$1:$D$311,MATCH(1,(2020=$C$1:$C$311)*(B163=$B$1:$B$311)*(A163=$A$1:$A$311),0),2):D162),0)</f>
        <v>30.893137851951167</v>
      </c>
      <c r="E163">
        <f t="shared" ca="1" si="3"/>
        <v>0</v>
      </c>
      <c r="F163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105.80896276777605</v>
      </c>
      <c r="G163">
        <f ca="1">IF($C163-G$1&lt;År1,0,F162*(1-VLOOKUP($A163,[1]Hugst!$R$5:$W$9,MATCH(ROUNDUP((G$1)/10,0)*10,[1]Hugst!$R$4:$W$4,0))))</f>
        <v>105.96420466652819</v>
      </c>
      <c r="H163">
        <f ca="1">IF($C163-H$1&lt;År1,0,G162*(1-VLOOKUP($A163,[1]Hugst!$R$5:$W$9,MATCH(ROUNDUP((H$1)/10,0)*10,[1]Hugst!$R$4:$W$4,0))))</f>
        <v>106.12022667532625</v>
      </c>
      <c r="I163">
        <f ca="1">IF($C163-I$1&lt;År1,0,H162*(1-VLOOKUP($A163,[1]Hugst!$R$5:$W$9,MATCH(ROUNDUP((I$1)/10,0)*10,[1]Hugst!$R$4:$W$4,0))))</f>
        <v>106.27703271431785</v>
      </c>
      <c r="J163">
        <f ca="1">IF($C163-J$1&lt;År1,0,I162*(1-VLOOKUP($A163,[1]Hugst!$R$5:$W$9,MATCH(ROUNDUP((J$1)/10,0)*10,[1]Hugst!$R$4:$W$4,0))))</f>
        <v>106.4346267233563</v>
      </c>
      <c r="K163">
        <f ca="1">IF($C163-K$1&lt;År1,0,J162*(1-VLOOKUP($A163,[1]Hugst!$R$5:$W$9,MATCH(ROUNDUP((K$1)/10,0)*10,[1]Hugst!$R$4:$W$4,0))))</f>
        <v>106.59301266208753</v>
      </c>
      <c r="L163">
        <f ca="1">IF($C163-L$1&lt;År1,0,K162*(1-VLOOKUP($A163,[1]Hugst!$R$5:$W$9,MATCH(ROUNDUP((L$1)/10,0)*10,[1]Hugst!$R$4:$W$4,0))))</f>
        <v>106.75219451005873</v>
      </c>
      <c r="M163">
        <f>IF($C163-M$1&lt;År1,0,L162*(1-VLOOKUP($A163,[1]Hugst!$R$5:$W$9,MATCH(ROUNDUP((M$1)/10,0)*10,[1]Hugst!$R$4:$W$4,0))))</f>
        <v>0</v>
      </c>
      <c r="N163">
        <f>IF($C163-N$1&lt;År1,0,M162*(1-VLOOKUP($A163,[1]Hugst!$R$5:$W$9,MATCH(ROUNDUP((N$1)/10,0)*10,[1]Hugst!$R$4:$W$4,0))))</f>
        <v>0</v>
      </c>
      <c r="O163">
        <f>IF($C163-O$1&lt;År1,0,N162*(1-VLOOKUP($A163,[1]Hugst!$R$5:$W$9,MATCH(ROUNDUP((O$1)/10,0)*10,[1]Hugst!$R$4:$W$4,0))))</f>
        <v>0</v>
      </c>
      <c r="P163">
        <f>IF($C163-P$1&lt;År1,0,O162*(1-VLOOKUP($A163,[1]Hugst!$R$5:$W$9,MATCH(ROUNDUP((P$1)/10,0)*10,[1]Hugst!$R$4:$W$4,0))))</f>
        <v>0</v>
      </c>
      <c r="Q163">
        <f>IF($C163-Q$1&lt;År1,0,P162*(1-VLOOKUP($A163,[1]Hugst!$R$5:$W$9,MATCH(ROUNDUP((Q$1)/10,0)*10,[1]Hugst!$R$4:$W$4,0))))</f>
        <v>0</v>
      </c>
      <c r="R163">
        <f>IF($C163-R$1&lt;År1,0,Q162*(1-VLOOKUP($A163,[1]Hugst!$R$5:$W$9,MATCH(ROUNDUP((R$1)/10,0)*10,[1]Hugst!$R$4:$W$4,0))))</f>
        <v>0</v>
      </c>
      <c r="S163">
        <f>IF($C163-S$1&lt;År1,0,R162*(1-VLOOKUP($A163,[1]Hugst!$R$5:$W$9,MATCH(ROUNDUP((S$1)/10,0)*10,[1]Hugst!$R$4:$W$4,0))))</f>
        <v>0</v>
      </c>
      <c r="T163">
        <f>IF($C163-T$1&lt;År1,0,S162*(1-VLOOKUP($A163,[1]Hugst!$R$5:$W$9,MATCH(ROUNDUP((T$1)/10,0)*10,[1]Hugst!$R$4:$W$4,0))))</f>
        <v>0</v>
      </c>
      <c r="U163">
        <f>IF($C163-U$1&lt;År1,0,T162*(1-VLOOKUP($A163,[1]Hugst!$R$5:$W$9,MATCH(ROUNDUP((U$1)/10,0)*10,[1]Hugst!$R$4:$W$4,0))))</f>
        <v>0</v>
      </c>
      <c r="V163">
        <f>IF($C163-V$1&lt;År1,0,U162*(1-VLOOKUP($A163,[1]Hugst!$R$5:$W$9,MATCH(ROUNDUP((V$1)/10,0)*10,[1]Hugst!$R$4:$W$4,0))))</f>
        <v>0</v>
      </c>
      <c r="W163">
        <f>IF($C163-W$1&lt;År1,0,V162*(1-VLOOKUP($A163,[1]Hugst!$R$5:$W$9,MATCH(ROUNDUP((W$1)/10,0)*10,[1]Hugst!$R$4:$W$4,0))))</f>
        <v>0</v>
      </c>
      <c r="X163">
        <f>IF($C163-X$1&lt;År1,0,W162*(1-VLOOKUP($A163,[1]Hugst!$R$5:$W$9,MATCH(ROUNDUP((X$1)/10,0)*10,[1]Hugst!$R$4:$W$4,0))))</f>
        <v>0</v>
      </c>
      <c r="Y163">
        <f>IF($C163-Y$1&lt;År1,0,X162*(1-VLOOKUP($A163,[1]Hugst!$R$5:$W$9,MATCH(ROUNDUP((Y$1)/10,0)*10,[1]Hugst!$R$4:$W$4,0))))</f>
        <v>0</v>
      </c>
      <c r="Z163">
        <f>IF($C163-Z$1&lt;År1,0,Y162*(1-VLOOKUP($A163,[1]Hugst!$R$5:$W$9,MATCH(ROUNDUP((Z$1)/10,0)*10,[1]Hugst!$R$4:$W$4,0))))</f>
        <v>0</v>
      </c>
      <c r="AA163">
        <f>IF($C163-AA$1&lt;År1,0,Z162*(1-VLOOKUP($A163,[1]Hugst!$R$5:$W$9,MATCH(ROUNDUP((AA$1)/10,0)*10,[1]Hugst!$R$4:$W$4,0))))</f>
        <v>0</v>
      </c>
      <c r="AB163">
        <f>IF($C163-AB$1&lt;År1,0,AA162*(1-VLOOKUP($A163,[1]Hugst!$R$5:$W$9,MATCH(ROUNDUP((AB$1)/10,0)*10,[1]Hugst!$R$4:$W$4,0))))</f>
        <v>0</v>
      </c>
      <c r="AC163">
        <f>IF($C163-AC$1&lt;År1,0,AB162*(1-VLOOKUP($A163,[1]Hugst!$R$5:$W$9,MATCH(ROUNDUP((AC$1)/10,0)*10,[1]Hugst!$R$4:$W$4,0))))</f>
        <v>0</v>
      </c>
      <c r="AD163">
        <f>IF($C163-AD$1&lt;År1,0,AC162*(1-VLOOKUP($A163,[1]Hugst!$R$5:$W$9,MATCH(ROUNDUP((AD$1)/10,0)*10,[1]Hugst!$R$4:$W$4,0))))</f>
        <v>0</v>
      </c>
      <c r="AE163">
        <f>IF($C163-AE$1&lt;År1,0,AD162*(1-VLOOKUP($A163,[1]Hugst!$R$5:$W$9,MATCH(ROUNDUP((AE$1)/10,0)*10,[1]Hugst!$R$4:$W$4,0))))</f>
        <v>0</v>
      </c>
      <c r="AF163">
        <f>IF($C163-AF$1&lt;År1,0,AE162*(1-VLOOKUP($A163,[1]Hugst!$R$5:$W$9,MATCH(ROUNDUP((AF$1)/10,0)*10,[1]Hugst!$R$4:$W$4,0))))</f>
        <v>0</v>
      </c>
      <c r="AG163">
        <f>IF($C163-AG$1&lt;År1,0,AF162*(1-VLOOKUP($A163,[1]Hugst!$R$5:$W$9,MATCH(ROUNDUP((AG$1)/10,0)*10,[1]Hugst!$R$4:$W$4,0))))</f>
        <v>0</v>
      </c>
      <c r="AH163">
        <f>IF($C163-AH$1&lt;År1,0,AG162*(1-VLOOKUP($A163,[1]Hugst!$R$5:$W$9,MATCH(ROUNDUP((AH$1)/10,0)*10,[1]Hugst!$R$4:$W$4,0))))</f>
        <v>0</v>
      </c>
      <c r="AI163">
        <f>IF($C163-AI$1&lt;År1,0,AH162*(1-VLOOKUP($A163,[1]Hugst!$R$5:$W$9,MATCH(ROUNDUP((AI$1)/10,0)*10,[1]Hugst!$R$4:$W$4,0))))</f>
        <v>0</v>
      </c>
      <c r="AJ163">
        <f>IF($C163-AJ$1&lt;År1,0,AI162*(1-VLOOKUP($A163,[1]Hugst!$R$5:$W$9,MATCH(ROUNDUP((AJ$1)/10,0)*10,[1]Hugst!$R$4:$W$4,0))))</f>
        <v>0</v>
      </c>
    </row>
    <row r="164" spans="1:36" x14ac:dyDescent="0.25">
      <c r="A164" t="s">
        <v>178</v>
      </c>
      <c r="B164" t="s">
        <v>24</v>
      </c>
      <c r="C164">
        <v>2027</v>
      </c>
      <c r="D164" cm="1">
        <f t="array" ref="D164">(IF(B164="Vestdanmark",Skovbrug!$C$22-(Skovbrug!$C$22)*(1-Skovbrug!$C$9)^(C164-Skovbrug!$B$12),Skovbrug!$F$22-(Skovbrug!$F$22)*(1-Skovbrug!$C$9)^(C164-Skovbrug!$B$12)))*VLOOKUP(A164,Skovbrug!$A$13:$D$17,IF('Skovbrug-alder'!C164&lt;=År2,3,4),FALSE)
-IF(C164&gt;2020,SUM(INDEX($C$1:$D$311,MATCH(1,(2020=$C$1:$C$311)*(B164=$B$1:$B$311)*(A164=$A$1:$A$311),0),2):D163),0)</f>
        <v>30.738672162689909</v>
      </c>
      <c r="E164">
        <f t="shared" ca="1" si="3"/>
        <v>0</v>
      </c>
      <c r="F164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105.65449707851479</v>
      </c>
      <c r="G164">
        <f ca="1">IF($C164-G$1&lt;År1,0,F163*(1-VLOOKUP($A164,[1]Hugst!$R$5:$W$9,MATCH(ROUNDUP((G$1)/10,0)*10,[1]Hugst!$R$4:$W$4,0))))</f>
        <v>105.80896276777605</v>
      </c>
      <c r="H164">
        <f ca="1">IF($C164-H$1&lt;År1,0,G163*(1-VLOOKUP($A164,[1]Hugst!$R$5:$W$9,MATCH(ROUNDUP((H$1)/10,0)*10,[1]Hugst!$R$4:$W$4,0))))</f>
        <v>105.96420466652819</v>
      </c>
      <c r="I164">
        <f ca="1">IF($C164-I$1&lt;År1,0,H163*(1-VLOOKUP($A164,[1]Hugst!$R$5:$W$9,MATCH(ROUNDUP((I$1)/10,0)*10,[1]Hugst!$R$4:$W$4,0))))</f>
        <v>106.12022667532625</v>
      </c>
      <c r="J164">
        <f ca="1">IF($C164-J$1&lt;År1,0,I163*(1-VLOOKUP($A164,[1]Hugst!$R$5:$W$9,MATCH(ROUNDUP((J$1)/10,0)*10,[1]Hugst!$R$4:$W$4,0))))</f>
        <v>106.27703271431785</v>
      </c>
      <c r="K164">
        <f ca="1">IF($C164-K$1&lt;År1,0,J163*(1-VLOOKUP($A164,[1]Hugst!$R$5:$W$9,MATCH(ROUNDUP((K$1)/10,0)*10,[1]Hugst!$R$4:$W$4,0))))</f>
        <v>106.4346267233563</v>
      </c>
      <c r="L164">
        <f ca="1">IF($C164-L$1&lt;År1,0,K163*(1-VLOOKUP($A164,[1]Hugst!$R$5:$W$9,MATCH(ROUNDUP((L$1)/10,0)*10,[1]Hugst!$R$4:$W$4,0))))</f>
        <v>106.59301266208753</v>
      </c>
      <c r="M164">
        <f ca="1">IF($C164-M$1&lt;År1,0,L163*(1-VLOOKUP($A164,[1]Hugst!$R$5:$W$9,MATCH(ROUNDUP((M$1)/10,0)*10,[1]Hugst!$R$4:$W$4,0))))</f>
        <v>106.75219451005873</v>
      </c>
      <c r="N164">
        <f>IF($C164-N$1&lt;År1,0,M163*(1-VLOOKUP($A164,[1]Hugst!$R$5:$W$9,MATCH(ROUNDUP((N$1)/10,0)*10,[1]Hugst!$R$4:$W$4,0))))</f>
        <v>0</v>
      </c>
      <c r="O164">
        <f>IF($C164-O$1&lt;År1,0,N163*(1-VLOOKUP($A164,[1]Hugst!$R$5:$W$9,MATCH(ROUNDUP((O$1)/10,0)*10,[1]Hugst!$R$4:$W$4,0))))</f>
        <v>0</v>
      </c>
      <c r="P164">
        <f>IF($C164-P$1&lt;År1,0,O163*(1-VLOOKUP($A164,[1]Hugst!$R$5:$W$9,MATCH(ROUNDUP((P$1)/10,0)*10,[1]Hugst!$R$4:$W$4,0))))</f>
        <v>0</v>
      </c>
      <c r="Q164">
        <f>IF($C164-Q$1&lt;År1,0,P163*(1-VLOOKUP($A164,[1]Hugst!$R$5:$W$9,MATCH(ROUNDUP((Q$1)/10,0)*10,[1]Hugst!$R$4:$W$4,0))))</f>
        <v>0</v>
      </c>
      <c r="R164">
        <f>IF($C164-R$1&lt;År1,0,Q163*(1-VLOOKUP($A164,[1]Hugst!$R$5:$W$9,MATCH(ROUNDUP((R$1)/10,0)*10,[1]Hugst!$R$4:$W$4,0))))</f>
        <v>0</v>
      </c>
      <c r="S164">
        <f>IF($C164-S$1&lt;År1,0,R163*(1-VLOOKUP($A164,[1]Hugst!$R$5:$W$9,MATCH(ROUNDUP((S$1)/10,0)*10,[1]Hugst!$R$4:$W$4,0))))</f>
        <v>0</v>
      </c>
      <c r="T164">
        <f>IF($C164-T$1&lt;År1,0,S163*(1-VLOOKUP($A164,[1]Hugst!$R$5:$W$9,MATCH(ROUNDUP((T$1)/10,0)*10,[1]Hugst!$R$4:$W$4,0))))</f>
        <v>0</v>
      </c>
      <c r="U164">
        <f>IF($C164-U$1&lt;År1,0,T163*(1-VLOOKUP($A164,[1]Hugst!$R$5:$W$9,MATCH(ROUNDUP((U$1)/10,0)*10,[1]Hugst!$R$4:$W$4,0))))</f>
        <v>0</v>
      </c>
      <c r="V164">
        <f>IF($C164-V$1&lt;År1,0,U163*(1-VLOOKUP($A164,[1]Hugst!$R$5:$W$9,MATCH(ROUNDUP((V$1)/10,0)*10,[1]Hugst!$R$4:$W$4,0))))</f>
        <v>0</v>
      </c>
      <c r="W164">
        <f>IF($C164-W$1&lt;År1,0,V163*(1-VLOOKUP($A164,[1]Hugst!$R$5:$W$9,MATCH(ROUNDUP((W$1)/10,0)*10,[1]Hugst!$R$4:$W$4,0))))</f>
        <v>0</v>
      </c>
      <c r="X164">
        <f>IF($C164-X$1&lt;År1,0,W163*(1-VLOOKUP($A164,[1]Hugst!$R$5:$W$9,MATCH(ROUNDUP((X$1)/10,0)*10,[1]Hugst!$R$4:$W$4,0))))</f>
        <v>0</v>
      </c>
      <c r="Y164">
        <f>IF($C164-Y$1&lt;År1,0,X163*(1-VLOOKUP($A164,[1]Hugst!$R$5:$W$9,MATCH(ROUNDUP((Y$1)/10,0)*10,[1]Hugst!$R$4:$W$4,0))))</f>
        <v>0</v>
      </c>
      <c r="Z164">
        <f>IF($C164-Z$1&lt;År1,0,Y163*(1-VLOOKUP($A164,[1]Hugst!$R$5:$W$9,MATCH(ROUNDUP((Z$1)/10,0)*10,[1]Hugst!$R$4:$W$4,0))))</f>
        <v>0</v>
      </c>
      <c r="AA164">
        <f>IF($C164-AA$1&lt;År1,0,Z163*(1-VLOOKUP($A164,[1]Hugst!$R$5:$W$9,MATCH(ROUNDUP((AA$1)/10,0)*10,[1]Hugst!$R$4:$W$4,0))))</f>
        <v>0</v>
      </c>
      <c r="AB164">
        <f>IF($C164-AB$1&lt;År1,0,AA163*(1-VLOOKUP($A164,[1]Hugst!$R$5:$W$9,MATCH(ROUNDUP((AB$1)/10,0)*10,[1]Hugst!$R$4:$W$4,0))))</f>
        <v>0</v>
      </c>
      <c r="AC164">
        <f>IF($C164-AC$1&lt;År1,0,AB163*(1-VLOOKUP($A164,[1]Hugst!$R$5:$W$9,MATCH(ROUNDUP((AC$1)/10,0)*10,[1]Hugst!$R$4:$W$4,0))))</f>
        <v>0</v>
      </c>
      <c r="AD164">
        <f>IF($C164-AD$1&lt;År1,0,AC163*(1-VLOOKUP($A164,[1]Hugst!$R$5:$W$9,MATCH(ROUNDUP((AD$1)/10,0)*10,[1]Hugst!$R$4:$W$4,0))))</f>
        <v>0</v>
      </c>
      <c r="AE164">
        <f>IF($C164-AE$1&lt;År1,0,AD163*(1-VLOOKUP($A164,[1]Hugst!$R$5:$W$9,MATCH(ROUNDUP((AE$1)/10,0)*10,[1]Hugst!$R$4:$W$4,0))))</f>
        <v>0</v>
      </c>
      <c r="AF164">
        <f>IF($C164-AF$1&lt;År1,0,AE163*(1-VLOOKUP($A164,[1]Hugst!$R$5:$W$9,MATCH(ROUNDUP((AF$1)/10,0)*10,[1]Hugst!$R$4:$W$4,0))))</f>
        <v>0</v>
      </c>
      <c r="AG164">
        <f>IF($C164-AG$1&lt;År1,0,AF163*(1-VLOOKUP($A164,[1]Hugst!$R$5:$W$9,MATCH(ROUNDUP((AG$1)/10,0)*10,[1]Hugst!$R$4:$W$4,0))))</f>
        <v>0</v>
      </c>
      <c r="AH164">
        <f>IF($C164-AH$1&lt;År1,0,AG163*(1-VLOOKUP($A164,[1]Hugst!$R$5:$W$9,MATCH(ROUNDUP((AH$1)/10,0)*10,[1]Hugst!$R$4:$W$4,0))))</f>
        <v>0</v>
      </c>
      <c r="AI164">
        <f>IF($C164-AI$1&lt;År1,0,AH163*(1-VLOOKUP($A164,[1]Hugst!$R$5:$W$9,MATCH(ROUNDUP((AI$1)/10,0)*10,[1]Hugst!$R$4:$W$4,0))))</f>
        <v>0</v>
      </c>
      <c r="AJ164">
        <f>IF($C164-AJ$1&lt;År1,0,AI163*(1-VLOOKUP($A164,[1]Hugst!$R$5:$W$9,MATCH(ROUNDUP((AJ$1)/10,0)*10,[1]Hugst!$R$4:$W$4,0))))</f>
        <v>0</v>
      </c>
    </row>
    <row r="165" spans="1:36" x14ac:dyDescent="0.25">
      <c r="A165" t="s">
        <v>178</v>
      </c>
      <c r="B165" t="s">
        <v>24</v>
      </c>
      <c r="C165">
        <v>2028</v>
      </c>
      <c r="D165" cm="1">
        <f t="array" ref="D165">(IF(B165="Vestdanmark",Skovbrug!$C$22-(Skovbrug!$C$22)*(1-Skovbrug!$C$9)^(C165-Skovbrug!$B$12),Skovbrug!$F$22-(Skovbrug!$F$22)*(1-Skovbrug!$C$9)^(C165-Skovbrug!$B$12)))*VLOOKUP(A165,Skovbrug!$A$13:$D$17,IF('Skovbrug-alder'!C165&lt;=År2,3,4),FALSE)
-IF(C165&gt;2020,SUM(INDEX($C$1:$D$311,MATCH(1,(2020=$C$1:$C$311)*(B165=$B$1:$B$311)*(A165=$A$1:$A$311),0),2):D164),0)</f>
        <v>30.584978801877185</v>
      </c>
      <c r="E165">
        <f t="shared" ca="1" si="3"/>
        <v>0</v>
      </c>
      <c r="F165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105.50080371770207</v>
      </c>
      <c r="G165">
        <f ca="1">IF($C165-G$1&lt;År1,0,F164*(1-VLOOKUP($A165,[1]Hugst!$R$5:$W$9,MATCH(ROUNDUP((G$1)/10,0)*10,[1]Hugst!$R$4:$W$4,0))))</f>
        <v>105.65449707851479</v>
      </c>
      <c r="H165">
        <f ca="1">IF($C165-H$1&lt;År1,0,G164*(1-VLOOKUP($A165,[1]Hugst!$R$5:$W$9,MATCH(ROUNDUP((H$1)/10,0)*10,[1]Hugst!$R$4:$W$4,0))))</f>
        <v>105.80896276777605</v>
      </c>
      <c r="I165">
        <f ca="1">IF($C165-I$1&lt;År1,0,H164*(1-VLOOKUP($A165,[1]Hugst!$R$5:$W$9,MATCH(ROUNDUP((I$1)/10,0)*10,[1]Hugst!$R$4:$W$4,0))))</f>
        <v>105.96420466652819</v>
      </c>
      <c r="J165">
        <f ca="1">IF($C165-J$1&lt;År1,0,I164*(1-VLOOKUP($A165,[1]Hugst!$R$5:$W$9,MATCH(ROUNDUP((J$1)/10,0)*10,[1]Hugst!$R$4:$W$4,0))))</f>
        <v>106.12022667532625</v>
      </c>
      <c r="K165">
        <f ca="1">IF($C165-K$1&lt;År1,0,J164*(1-VLOOKUP($A165,[1]Hugst!$R$5:$W$9,MATCH(ROUNDUP((K$1)/10,0)*10,[1]Hugst!$R$4:$W$4,0))))</f>
        <v>106.27703271431785</v>
      </c>
      <c r="L165">
        <f ca="1">IF($C165-L$1&lt;År1,0,K164*(1-VLOOKUP($A165,[1]Hugst!$R$5:$W$9,MATCH(ROUNDUP((L$1)/10,0)*10,[1]Hugst!$R$4:$W$4,0))))</f>
        <v>106.4346267233563</v>
      </c>
      <c r="M165">
        <f ca="1">IF($C165-M$1&lt;År1,0,L164*(1-VLOOKUP($A165,[1]Hugst!$R$5:$W$9,MATCH(ROUNDUP((M$1)/10,0)*10,[1]Hugst!$R$4:$W$4,0))))</f>
        <v>106.59301266208753</v>
      </c>
      <c r="N165">
        <f ca="1">IF($C165-N$1&lt;År1,0,M164*(1-VLOOKUP($A165,[1]Hugst!$R$5:$W$9,MATCH(ROUNDUP((N$1)/10,0)*10,[1]Hugst!$R$4:$W$4,0))))</f>
        <v>106.75219451005873</v>
      </c>
      <c r="O165">
        <f>IF($C165-O$1&lt;År1,0,N164*(1-VLOOKUP($A165,[1]Hugst!$R$5:$W$9,MATCH(ROUNDUP((O$1)/10,0)*10,[1]Hugst!$R$4:$W$4,0))))</f>
        <v>0</v>
      </c>
      <c r="P165">
        <f>IF($C165-P$1&lt;År1,0,O164*(1-VLOOKUP($A165,[1]Hugst!$R$5:$W$9,MATCH(ROUNDUP((P$1)/10,0)*10,[1]Hugst!$R$4:$W$4,0))))</f>
        <v>0</v>
      </c>
      <c r="Q165">
        <f>IF($C165-Q$1&lt;År1,0,P164*(1-VLOOKUP($A165,[1]Hugst!$R$5:$W$9,MATCH(ROUNDUP((Q$1)/10,0)*10,[1]Hugst!$R$4:$W$4,0))))</f>
        <v>0</v>
      </c>
      <c r="R165">
        <f>IF($C165-R$1&lt;År1,0,Q164*(1-VLOOKUP($A165,[1]Hugst!$R$5:$W$9,MATCH(ROUNDUP((R$1)/10,0)*10,[1]Hugst!$R$4:$W$4,0))))</f>
        <v>0</v>
      </c>
      <c r="S165">
        <f>IF($C165-S$1&lt;År1,0,R164*(1-VLOOKUP($A165,[1]Hugst!$R$5:$W$9,MATCH(ROUNDUP((S$1)/10,0)*10,[1]Hugst!$R$4:$W$4,0))))</f>
        <v>0</v>
      </c>
      <c r="T165">
        <f>IF($C165-T$1&lt;År1,0,S164*(1-VLOOKUP($A165,[1]Hugst!$R$5:$W$9,MATCH(ROUNDUP((T$1)/10,0)*10,[1]Hugst!$R$4:$W$4,0))))</f>
        <v>0</v>
      </c>
      <c r="U165">
        <f>IF($C165-U$1&lt;År1,0,T164*(1-VLOOKUP($A165,[1]Hugst!$R$5:$W$9,MATCH(ROUNDUP((U$1)/10,0)*10,[1]Hugst!$R$4:$W$4,0))))</f>
        <v>0</v>
      </c>
      <c r="V165">
        <f>IF($C165-V$1&lt;År1,0,U164*(1-VLOOKUP($A165,[1]Hugst!$R$5:$W$9,MATCH(ROUNDUP((V$1)/10,0)*10,[1]Hugst!$R$4:$W$4,0))))</f>
        <v>0</v>
      </c>
      <c r="W165">
        <f>IF($C165-W$1&lt;År1,0,V164*(1-VLOOKUP($A165,[1]Hugst!$R$5:$W$9,MATCH(ROUNDUP((W$1)/10,0)*10,[1]Hugst!$R$4:$W$4,0))))</f>
        <v>0</v>
      </c>
      <c r="X165">
        <f>IF($C165-X$1&lt;År1,0,W164*(1-VLOOKUP($A165,[1]Hugst!$R$5:$W$9,MATCH(ROUNDUP((X$1)/10,0)*10,[1]Hugst!$R$4:$W$4,0))))</f>
        <v>0</v>
      </c>
      <c r="Y165">
        <f>IF($C165-Y$1&lt;År1,0,X164*(1-VLOOKUP($A165,[1]Hugst!$R$5:$W$9,MATCH(ROUNDUP((Y$1)/10,0)*10,[1]Hugst!$R$4:$W$4,0))))</f>
        <v>0</v>
      </c>
      <c r="Z165">
        <f>IF($C165-Z$1&lt;År1,0,Y164*(1-VLOOKUP($A165,[1]Hugst!$R$5:$W$9,MATCH(ROUNDUP((Z$1)/10,0)*10,[1]Hugst!$R$4:$W$4,0))))</f>
        <v>0</v>
      </c>
      <c r="AA165">
        <f>IF($C165-AA$1&lt;År1,0,Z164*(1-VLOOKUP($A165,[1]Hugst!$R$5:$W$9,MATCH(ROUNDUP((AA$1)/10,0)*10,[1]Hugst!$R$4:$W$4,0))))</f>
        <v>0</v>
      </c>
      <c r="AB165">
        <f>IF($C165-AB$1&lt;År1,0,AA164*(1-VLOOKUP($A165,[1]Hugst!$R$5:$W$9,MATCH(ROUNDUP((AB$1)/10,0)*10,[1]Hugst!$R$4:$W$4,0))))</f>
        <v>0</v>
      </c>
      <c r="AC165">
        <f>IF($C165-AC$1&lt;År1,0,AB164*(1-VLOOKUP($A165,[1]Hugst!$R$5:$W$9,MATCH(ROUNDUP((AC$1)/10,0)*10,[1]Hugst!$R$4:$W$4,0))))</f>
        <v>0</v>
      </c>
      <c r="AD165">
        <f>IF($C165-AD$1&lt;År1,0,AC164*(1-VLOOKUP($A165,[1]Hugst!$R$5:$W$9,MATCH(ROUNDUP((AD$1)/10,0)*10,[1]Hugst!$R$4:$W$4,0))))</f>
        <v>0</v>
      </c>
      <c r="AE165">
        <f>IF($C165-AE$1&lt;År1,0,AD164*(1-VLOOKUP($A165,[1]Hugst!$R$5:$W$9,MATCH(ROUNDUP((AE$1)/10,0)*10,[1]Hugst!$R$4:$W$4,0))))</f>
        <v>0</v>
      </c>
      <c r="AF165">
        <f>IF($C165-AF$1&lt;År1,0,AE164*(1-VLOOKUP($A165,[1]Hugst!$R$5:$W$9,MATCH(ROUNDUP((AF$1)/10,0)*10,[1]Hugst!$R$4:$W$4,0))))</f>
        <v>0</v>
      </c>
      <c r="AG165">
        <f>IF($C165-AG$1&lt;År1,0,AF164*(1-VLOOKUP($A165,[1]Hugst!$R$5:$W$9,MATCH(ROUNDUP((AG$1)/10,0)*10,[1]Hugst!$R$4:$W$4,0))))</f>
        <v>0</v>
      </c>
      <c r="AH165">
        <f>IF($C165-AH$1&lt;År1,0,AG164*(1-VLOOKUP($A165,[1]Hugst!$R$5:$W$9,MATCH(ROUNDUP((AH$1)/10,0)*10,[1]Hugst!$R$4:$W$4,0))))</f>
        <v>0</v>
      </c>
      <c r="AI165">
        <f>IF($C165-AI$1&lt;År1,0,AH164*(1-VLOOKUP($A165,[1]Hugst!$R$5:$W$9,MATCH(ROUNDUP((AI$1)/10,0)*10,[1]Hugst!$R$4:$W$4,0))))</f>
        <v>0</v>
      </c>
      <c r="AJ165">
        <f>IF($C165-AJ$1&lt;År1,0,AI164*(1-VLOOKUP($A165,[1]Hugst!$R$5:$W$9,MATCH(ROUNDUP((AJ$1)/10,0)*10,[1]Hugst!$R$4:$W$4,0))))</f>
        <v>0</v>
      </c>
    </row>
    <row r="166" spans="1:36" x14ac:dyDescent="0.25">
      <c r="A166" t="s">
        <v>178</v>
      </c>
      <c r="B166" t="s">
        <v>24</v>
      </c>
      <c r="C166">
        <v>2029</v>
      </c>
      <c r="D166" cm="1">
        <f t="array" ref="D166">(IF(B166="Vestdanmark",Skovbrug!$C$22-(Skovbrug!$C$22)*(1-Skovbrug!$C$9)^(C166-Skovbrug!$B$12),Skovbrug!$F$22-(Skovbrug!$F$22)*(1-Skovbrug!$C$9)^(C166-Skovbrug!$B$12)))*VLOOKUP(A166,Skovbrug!$A$13:$D$17,IF('Skovbrug-alder'!C166&lt;=År2,3,4),FALSE)
-IF(C166&gt;2020,SUM(INDEX($C$1:$D$311,MATCH(1,(2020=$C$1:$C$311)*(B166=$B$1:$B$311)*(A166=$A$1:$A$311),0),2):D165),0)</f>
        <v>30.432053907867498</v>
      </c>
      <c r="E166">
        <f t="shared" ca="1" si="3"/>
        <v>0</v>
      </c>
      <c r="F166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105.34787882369238</v>
      </c>
      <c r="G166">
        <f ca="1">IF($C166-G$1&lt;År1,0,F165*(1-VLOOKUP($A166,[1]Hugst!$R$5:$W$9,MATCH(ROUNDUP((G$1)/10,0)*10,[1]Hugst!$R$4:$W$4,0))))</f>
        <v>105.50080371770207</v>
      </c>
      <c r="H166">
        <f ca="1">IF($C166-H$1&lt;År1,0,G165*(1-VLOOKUP($A166,[1]Hugst!$R$5:$W$9,MATCH(ROUNDUP((H$1)/10,0)*10,[1]Hugst!$R$4:$W$4,0))))</f>
        <v>105.65449707851479</v>
      </c>
      <c r="I166">
        <f ca="1">IF($C166-I$1&lt;År1,0,H165*(1-VLOOKUP($A166,[1]Hugst!$R$5:$W$9,MATCH(ROUNDUP((I$1)/10,0)*10,[1]Hugst!$R$4:$W$4,0))))</f>
        <v>105.80896276777605</v>
      </c>
      <c r="J166">
        <f ca="1">IF($C166-J$1&lt;År1,0,I165*(1-VLOOKUP($A166,[1]Hugst!$R$5:$W$9,MATCH(ROUNDUP((J$1)/10,0)*10,[1]Hugst!$R$4:$W$4,0))))</f>
        <v>105.96420466652819</v>
      </c>
      <c r="K166">
        <f ca="1">IF($C166-K$1&lt;År1,0,J165*(1-VLOOKUP($A166,[1]Hugst!$R$5:$W$9,MATCH(ROUNDUP((K$1)/10,0)*10,[1]Hugst!$R$4:$W$4,0))))</f>
        <v>106.12022667532625</v>
      </c>
      <c r="L166">
        <f ca="1">IF($C166-L$1&lt;År1,0,K165*(1-VLOOKUP($A166,[1]Hugst!$R$5:$W$9,MATCH(ROUNDUP((L$1)/10,0)*10,[1]Hugst!$R$4:$W$4,0))))</f>
        <v>106.27703271431785</v>
      </c>
      <c r="M166">
        <f ca="1">IF($C166-M$1&lt;År1,0,L165*(1-VLOOKUP($A166,[1]Hugst!$R$5:$W$9,MATCH(ROUNDUP((M$1)/10,0)*10,[1]Hugst!$R$4:$W$4,0))))</f>
        <v>106.4346267233563</v>
      </c>
      <c r="N166">
        <f ca="1">IF($C166-N$1&lt;År1,0,M165*(1-VLOOKUP($A166,[1]Hugst!$R$5:$W$9,MATCH(ROUNDUP((N$1)/10,0)*10,[1]Hugst!$R$4:$W$4,0))))</f>
        <v>106.59301266208753</v>
      </c>
      <c r="O166">
        <f ca="1">IF($C166-O$1&lt;År1,0,N165*(1-VLOOKUP($A166,[1]Hugst!$R$5:$W$9,MATCH(ROUNDUP((O$1)/10,0)*10,[1]Hugst!$R$4:$W$4,0))))</f>
        <v>106.75219451005873</v>
      </c>
      <c r="P166">
        <f>IF($C166-P$1&lt;År1,0,O165*(1-VLOOKUP($A166,[1]Hugst!$R$5:$W$9,MATCH(ROUNDUP((P$1)/10,0)*10,[1]Hugst!$R$4:$W$4,0))))</f>
        <v>0</v>
      </c>
      <c r="Q166">
        <f>IF($C166-Q$1&lt;År1,0,P165*(1-VLOOKUP($A166,[1]Hugst!$R$5:$W$9,MATCH(ROUNDUP((Q$1)/10,0)*10,[1]Hugst!$R$4:$W$4,0))))</f>
        <v>0</v>
      </c>
      <c r="R166">
        <f>IF($C166-R$1&lt;År1,0,Q165*(1-VLOOKUP($A166,[1]Hugst!$R$5:$W$9,MATCH(ROUNDUP((R$1)/10,0)*10,[1]Hugst!$R$4:$W$4,0))))</f>
        <v>0</v>
      </c>
      <c r="S166">
        <f>IF($C166-S$1&lt;År1,0,R165*(1-VLOOKUP($A166,[1]Hugst!$R$5:$W$9,MATCH(ROUNDUP((S$1)/10,0)*10,[1]Hugst!$R$4:$W$4,0))))</f>
        <v>0</v>
      </c>
      <c r="T166">
        <f>IF($C166-T$1&lt;År1,0,S165*(1-VLOOKUP($A166,[1]Hugst!$R$5:$W$9,MATCH(ROUNDUP((T$1)/10,0)*10,[1]Hugst!$R$4:$W$4,0))))</f>
        <v>0</v>
      </c>
      <c r="U166">
        <f>IF($C166-U$1&lt;År1,0,T165*(1-VLOOKUP($A166,[1]Hugst!$R$5:$W$9,MATCH(ROUNDUP((U$1)/10,0)*10,[1]Hugst!$R$4:$W$4,0))))</f>
        <v>0</v>
      </c>
      <c r="V166">
        <f>IF($C166-V$1&lt;År1,0,U165*(1-VLOOKUP($A166,[1]Hugst!$R$5:$W$9,MATCH(ROUNDUP((V$1)/10,0)*10,[1]Hugst!$R$4:$W$4,0))))</f>
        <v>0</v>
      </c>
      <c r="W166">
        <f>IF($C166-W$1&lt;År1,0,V165*(1-VLOOKUP($A166,[1]Hugst!$R$5:$W$9,MATCH(ROUNDUP((W$1)/10,0)*10,[1]Hugst!$R$4:$W$4,0))))</f>
        <v>0</v>
      </c>
      <c r="X166">
        <f>IF($C166-X$1&lt;År1,0,W165*(1-VLOOKUP($A166,[1]Hugst!$R$5:$W$9,MATCH(ROUNDUP((X$1)/10,0)*10,[1]Hugst!$R$4:$W$4,0))))</f>
        <v>0</v>
      </c>
      <c r="Y166">
        <f>IF($C166-Y$1&lt;År1,0,X165*(1-VLOOKUP($A166,[1]Hugst!$R$5:$W$9,MATCH(ROUNDUP((Y$1)/10,0)*10,[1]Hugst!$R$4:$W$4,0))))</f>
        <v>0</v>
      </c>
      <c r="Z166">
        <f>IF($C166-Z$1&lt;År1,0,Y165*(1-VLOOKUP($A166,[1]Hugst!$R$5:$W$9,MATCH(ROUNDUP((Z$1)/10,0)*10,[1]Hugst!$R$4:$W$4,0))))</f>
        <v>0</v>
      </c>
      <c r="AA166">
        <f>IF($C166-AA$1&lt;År1,0,Z165*(1-VLOOKUP($A166,[1]Hugst!$R$5:$W$9,MATCH(ROUNDUP((AA$1)/10,0)*10,[1]Hugst!$R$4:$W$4,0))))</f>
        <v>0</v>
      </c>
      <c r="AB166">
        <f>IF($C166-AB$1&lt;År1,0,AA165*(1-VLOOKUP($A166,[1]Hugst!$R$5:$W$9,MATCH(ROUNDUP((AB$1)/10,0)*10,[1]Hugst!$R$4:$W$4,0))))</f>
        <v>0</v>
      </c>
      <c r="AC166">
        <f>IF($C166-AC$1&lt;År1,0,AB165*(1-VLOOKUP($A166,[1]Hugst!$R$5:$W$9,MATCH(ROUNDUP((AC$1)/10,0)*10,[1]Hugst!$R$4:$W$4,0))))</f>
        <v>0</v>
      </c>
      <c r="AD166">
        <f>IF($C166-AD$1&lt;År1,0,AC165*(1-VLOOKUP($A166,[1]Hugst!$R$5:$W$9,MATCH(ROUNDUP((AD$1)/10,0)*10,[1]Hugst!$R$4:$W$4,0))))</f>
        <v>0</v>
      </c>
      <c r="AE166">
        <f>IF($C166-AE$1&lt;År1,0,AD165*(1-VLOOKUP($A166,[1]Hugst!$R$5:$W$9,MATCH(ROUNDUP((AE$1)/10,0)*10,[1]Hugst!$R$4:$W$4,0))))</f>
        <v>0</v>
      </c>
      <c r="AF166">
        <f>IF($C166-AF$1&lt;År1,0,AE165*(1-VLOOKUP($A166,[1]Hugst!$R$5:$W$9,MATCH(ROUNDUP((AF$1)/10,0)*10,[1]Hugst!$R$4:$W$4,0))))</f>
        <v>0</v>
      </c>
      <c r="AG166">
        <f>IF($C166-AG$1&lt;År1,0,AF165*(1-VLOOKUP($A166,[1]Hugst!$R$5:$W$9,MATCH(ROUNDUP((AG$1)/10,0)*10,[1]Hugst!$R$4:$W$4,0))))</f>
        <v>0</v>
      </c>
      <c r="AH166">
        <f>IF($C166-AH$1&lt;År1,0,AG165*(1-VLOOKUP($A166,[1]Hugst!$R$5:$W$9,MATCH(ROUNDUP((AH$1)/10,0)*10,[1]Hugst!$R$4:$W$4,0))))</f>
        <v>0</v>
      </c>
      <c r="AI166">
        <f>IF($C166-AI$1&lt;År1,0,AH165*(1-VLOOKUP($A166,[1]Hugst!$R$5:$W$9,MATCH(ROUNDUP((AI$1)/10,0)*10,[1]Hugst!$R$4:$W$4,0))))</f>
        <v>0</v>
      </c>
      <c r="AJ166">
        <f>IF($C166-AJ$1&lt;År1,0,AI165*(1-VLOOKUP($A166,[1]Hugst!$R$5:$W$9,MATCH(ROUNDUP((AJ$1)/10,0)*10,[1]Hugst!$R$4:$W$4,0))))</f>
        <v>0</v>
      </c>
    </row>
    <row r="167" spans="1:36" x14ac:dyDescent="0.25">
      <c r="A167" t="s">
        <v>178</v>
      </c>
      <c r="B167" t="s">
        <v>24</v>
      </c>
      <c r="C167">
        <v>2030</v>
      </c>
      <c r="D167" cm="1">
        <f t="array" ref="D167">(IF(B167="Vestdanmark",Skovbrug!$C$22-(Skovbrug!$C$22)*(1-Skovbrug!$C$9)^(C167-Skovbrug!$B$12),Skovbrug!$F$22-(Skovbrug!$F$22)*(1-Skovbrug!$C$9)^(C167-Skovbrug!$B$12)))*VLOOKUP(A167,Skovbrug!$A$13:$D$17,IF('Skovbrug-alder'!C167&lt;=År2,3,4),FALSE)
-IF(C167&gt;2020,SUM(INDEX($C$1:$D$311,MATCH(1,(2020=$C$1:$C$311)*(B167=$B$1:$B$311)*(A167=$A$1:$A$311),0),2):D166),0)</f>
        <v>30.279893638328929</v>
      </c>
      <c r="E167">
        <f t="shared" ca="1" si="3"/>
        <v>0</v>
      </c>
      <c r="F167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105.19571855415381</v>
      </c>
      <c r="G167">
        <f ca="1">IF($C167-G$1&lt;År1,0,F166*(1-VLOOKUP($A167,[1]Hugst!$R$5:$W$9,MATCH(ROUNDUP((G$1)/10,0)*10,[1]Hugst!$R$4:$W$4,0))))</f>
        <v>105.34787882369238</v>
      </c>
      <c r="H167">
        <f ca="1">IF($C167-H$1&lt;År1,0,G166*(1-VLOOKUP($A167,[1]Hugst!$R$5:$W$9,MATCH(ROUNDUP((H$1)/10,0)*10,[1]Hugst!$R$4:$W$4,0))))</f>
        <v>105.50080371770207</v>
      </c>
      <c r="I167">
        <f ca="1">IF($C167-I$1&lt;År1,0,H166*(1-VLOOKUP($A167,[1]Hugst!$R$5:$W$9,MATCH(ROUNDUP((I$1)/10,0)*10,[1]Hugst!$R$4:$W$4,0))))</f>
        <v>105.65449707851479</v>
      </c>
      <c r="J167">
        <f ca="1">IF($C167-J$1&lt;År1,0,I166*(1-VLOOKUP($A167,[1]Hugst!$R$5:$W$9,MATCH(ROUNDUP((J$1)/10,0)*10,[1]Hugst!$R$4:$W$4,0))))</f>
        <v>105.80896276777605</v>
      </c>
      <c r="K167">
        <f ca="1">IF($C167-K$1&lt;År1,0,J166*(1-VLOOKUP($A167,[1]Hugst!$R$5:$W$9,MATCH(ROUNDUP((K$1)/10,0)*10,[1]Hugst!$R$4:$W$4,0))))</f>
        <v>105.96420466652819</v>
      </c>
      <c r="L167">
        <f ca="1">IF($C167-L$1&lt;År1,0,K166*(1-VLOOKUP($A167,[1]Hugst!$R$5:$W$9,MATCH(ROUNDUP((L$1)/10,0)*10,[1]Hugst!$R$4:$W$4,0))))</f>
        <v>106.12022667532625</v>
      </c>
      <c r="M167">
        <f ca="1">IF($C167-M$1&lt;År1,0,L166*(1-VLOOKUP($A167,[1]Hugst!$R$5:$W$9,MATCH(ROUNDUP((M$1)/10,0)*10,[1]Hugst!$R$4:$W$4,0))))</f>
        <v>106.27703271431785</v>
      </c>
      <c r="N167">
        <f ca="1">IF($C167-N$1&lt;År1,0,M166*(1-VLOOKUP($A167,[1]Hugst!$R$5:$W$9,MATCH(ROUNDUP((N$1)/10,0)*10,[1]Hugst!$R$4:$W$4,0))))</f>
        <v>106.4346267233563</v>
      </c>
      <c r="O167">
        <f ca="1">IF($C167-O$1&lt;År1,0,N166*(1-VLOOKUP($A167,[1]Hugst!$R$5:$W$9,MATCH(ROUNDUP((O$1)/10,0)*10,[1]Hugst!$R$4:$W$4,0))))</f>
        <v>106.59301266208753</v>
      </c>
      <c r="P167">
        <f ca="1">IF($C167-P$1&lt;År1,0,O166*(1-VLOOKUP($A167,[1]Hugst!$R$5:$W$9,MATCH(ROUNDUP((P$1)/10,0)*10,[1]Hugst!$R$4:$W$4,0))))</f>
        <v>106.75219451005873</v>
      </c>
      <c r="Q167">
        <f>IF($C167-Q$1&lt;År1,0,P166*(1-VLOOKUP($A167,[1]Hugst!$R$5:$W$9,MATCH(ROUNDUP((Q$1)/10,0)*10,[1]Hugst!$R$4:$W$4,0))))</f>
        <v>0</v>
      </c>
      <c r="R167">
        <f>IF($C167-R$1&lt;År1,0,Q166*(1-VLOOKUP($A167,[1]Hugst!$R$5:$W$9,MATCH(ROUNDUP((R$1)/10,0)*10,[1]Hugst!$R$4:$W$4,0))))</f>
        <v>0</v>
      </c>
      <c r="S167">
        <f>IF($C167-S$1&lt;År1,0,R166*(1-VLOOKUP($A167,[1]Hugst!$R$5:$W$9,MATCH(ROUNDUP((S$1)/10,0)*10,[1]Hugst!$R$4:$W$4,0))))</f>
        <v>0</v>
      </c>
      <c r="T167">
        <f>IF($C167-T$1&lt;År1,0,S166*(1-VLOOKUP($A167,[1]Hugst!$R$5:$W$9,MATCH(ROUNDUP((T$1)/10,0)*10,[1]Hugst!$R$4:$W$4,0))))</f>
        <v>0</v>
      </c>
      <c r="U167">
        <f>IF($C167-U$1&lt;År1,0,T166*(1-VLOOKUP($A167,[1]Hugst!$R$5:$W$9,MATCH(ROUNDUP((U$1)/10,0)*10,[1]Hugst!$R$4:$W$4,0))))</f>
        <v>0</v>
      </c>
      <c r="V167">
        <f>IF($C167-V$1&lt;År1,0,U166*(1-VLOOKUP($A167,[1]Hugst!$R$5:$W$9,MATCH(ROUNDUP((V$1)/10,0)*10,[1]Hugst!$R$4:$W$4,0))))</f>
        <v>0</v>
      </c>
      <c r="W167">
        <f>IF($C167-W$1&lt;År1,0,V166*(1-VLOOKUP($A167,[1]Hugst!$R$5:$W$9,MATCH(ROUNDUP((W$1)/10,0)*10,[1]Hugst!$R$4:$W$4,0))))</f>
        <v>0</v>
      </c>
      <c r="X167">
        <f>IF($C167-X$1&lt;År1,0,W166*(1-VLOOKUP($A167,[1]Hugst!$R$5:$W$9,MATCH(ROUNDUP((X$1)/10,0)*10,[1]Hugst!$R$4:$W$4,0))))</f>
        <v>0</v>
      </c>
      <c r="Y167">
        <f>IF($C167-Y$1&lt;År1,0,X166*(1-VLOOKUP($A167,[1]Hugst!$R$5:$W$9,MATCH(ROUNDUP((Y$1)/10,0)*10,[1]Hugst!$R$4:$W$4,0))))</f>
        <v>0</v>
      </c>
      <c r="Z167">
        <f>IF($C167-Z$1&lt;År1,0,Y166*(1-VLOOKUP($A167,[1]Hugst!$R$5:$W$9,MATCH(ROUNDUP((Z$1)/10,0)*10,[1]Hugst!$R$4:$W$4,0))))</f>
        <v>0</v>
      </c>
      <c r="AA167">
        <f>IF($C167-AA$1&lt;År1,0,Z166*(1-VLOOKUP($A167,[1]Hugst!$R$5:$W$9,MATCH(ROUNDUP((AA$1)/10,0)*10,[1]Hugst!$R$4:$W$4,0))))</f>
        <v>0</v>
      </c>
      <c r="AB167">
        <f>IF($C167-AB$1&lt;År1,0,AA166*(1-VLOOKUP($A167,[1]Hugst!$R$5:$W$9,MATCH(ROUNDUP((AB$1)/10,0)*10,[1]Hugst!$R$4:$W$4,0))))</f>
        <v>0</v>
      </c>
      <c r="AC167">
        <f>IF($C167-AC$1&lt;År1,0,AB166*(1-VLOOKUP($A167,[1]Hugst!$R$5:$W$9,MATCH(ROUNDUP((AC$1)/10,0)*10,[1]Hugst!$R$4:$W$4,0))))</f>
        <v>0</v>
      </c>
      <c r="AD167">
        <f>IF($C167-AD$1&lt;År1,0,AC166*(1-VLOOKUP($A167,[1]Hugst!$R$5:$W$9,MATCH(ROUNDUP((AD$1)/10,0)*10,[1]Hugst!$R$4:$W$4,0))))</f>
        <v>0</v>
      </c>
      <c r="AE167">
        <f>IF($C167-AE$1&lt;År1,0,AD166*(1-VLOOKUP($A167,[1]Hugst!$R$5:$W$9,MATCH(ROUNDUP((AE$1)/10,0)*10,[1]Hugst!$R$4:$W$4,0))))</f>
        <v>0</v>
      </c>
      <c r="AF167">
        <f>IF($C167-AF$1&lt;År1,0,AE166*(1-VLOOKUP($A167,[1]Hugst!$R$5:$W$9,MATCH(ROUNDUP((AF$1)/10,0)*10,[1]Hugst!$R$4:$W$4,0))))</f>
        <v>0</v>
      </c>
      <c r="AG167">
        <f>IF($C167-AG$1&lt;År1,0,AF166*(1-VLOOKUP($A167,[1]Hugst!$R$5:$W$9,MATCH(ROUNDUP((AG$1)/10,0)*10,[1]Hugst!$R$4:$W$4,0))))</f>
        <v>0</v>
      </c>
      <c r="AH167">
        <f>IF($C167-AH$1&lt;År1,0,AG166*(1-VLOOKUP($A167,[1]Hugst!$R$5:$W$9,MATCH(ROUNDUP((AH$1)/10,0)*10,[1]Hugst!$R$4:$W$4,0))))</f>
        <v>0</v>
      </c>
      <c r="AI167">
        <f>IF($C167-AI$1&lt;År1,0,AH166*(1-VLOOKUP($A167,[1]Hugst!$R$5:$W$9,MATCH(ROUNDUP((AI$1)/10,0)*10,[1]Hugst!$R$4:$W$4,0))))</f>
        <v>0</v>
      </c>
      <c r="AJ167">
        <f>IF($C167-AJ$1&lt;År1,0,AI166*(1-VLOOKUP($A167,[1]Hugst!$R$5:$W$9,MATCH(ROUNDUP((AJ$1)/10,0)*10,[1]Hugst!$R$4:$W$4,0))))</f>
        <v>0</v>
      </c>
    </row>
    <row r="168" spans="1:36" x14ac:dyDescent="0.25">
      <c r="A168" t="s">
        <v>178</v>
      </c>
      <c r="B168" t="s">
        <v>24</v>
      </c>
      <c r="C168">
        <v>2031</v>
      </c>
      <c r="D168" cm="1">
        <f t="array" ref="D168">(IF(B168="Vestdanmark",Skovbrug!$C$22-(Skovbrug!$C$22)*(1-Skovbrug!$C$9)^(C168-Skovbrug!$B$12),Skovbrug!$F$22-(Skovbrug!$F$22)*(1-Skovbrug!$C$9)^(C168-Skovbrug!$B$12)))*VLOOKUP(A168,Skovbrug!$A$13:$D$17,IF('Skovbrug-alder'!C168&lt;=År2,3,4),FALSE)
-IF(C168&gt;2020,SUM(INDEX($C$1:$D$311,MATCH(1,(2020=$C$1:$C$311)*(B168=$B$1:$B$311)*(A168=$A$1:$A$311),0),2):D167),0)</f>
        <v>30.128494170135696</v>
      </c>
      <c r="E168">
        <f t="shared" ca="1" si="3"/>
        <v>0</v>
      </c>
      <c r="F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71.332197873839419</v>
      </c>
      <c r="G168">
        <f ca="1">IF($C168-G$1&lt;År1,0,F167*(1-VLOOKUP($A168,[1]Hugst!$R$5:$W$9,MATCH(ROUNDUP((G$1)/10,0)*10,[1]Hugst!$R$4:$W$4,0))))</f>
        <v>105.19571855415381</v>
      </c>
      <c r="H168">
        <f ca="1">IF($C168-H$1&lt;År1,0,G167*(1-VLOOKUP($A168,[1]Hugst!$R$5:$W$9,MATCH(ROUNDUP((H$1)/10,0)*10,[1]Hugst!$R$4:$W$4,0))))</f>
        <v>105.34787882369238</v>
      </c>
      <c r="I168">
        <f ca="1">IF($C168-I$1&lt;År1,0,H167*(1-VLOOKUP($A168,[1]Hugst!$R$5:$W$9,MATCH(ROUNDUP((I$1)/10,0)*10,[1]Hugst!$R$4:$W$4,0))))</f>
        <v>105.50080371770207</v>
      </c>
      <c r="J168">
        <f ca="1">IF($C168-J$1&lt;År1,0,I167*(1-VLOOKUP($A168,[1]Hugst!$R$5:$W$9,MATCH(ROUNDUP((J$1)/10,0)*10,[1]Hugst!$R$4:$W$4,0))))</f>
        <v>105.65449707851479</v>
      </c>
      <c r="K168">
        <f ca="1">IF($C168-K$1&lt;År1,0,J167*(1-VLOOKUP($A168,[1]Hugst!$R$5:$W$9,MATCH(ROUNDUP((K$1)/10,0)*10,[1]Hugst!$R$4:$W$4,0))))</f>
        <v>105.80896276777605</v>
      </c>
      <c r="L168">
        <f ca="1">IF($C168-L$1&lt;År1,0,K167*(1-VLOOKUP($A168,[1]Hugst!$R$5:$W$9,MATCH(ROUNDUP((L$1)/10,0)*10,[1]Hugst!$R$4:$W$4,0))))</f>
        <v>105.96420466652819</v>
      </c>
      <c r="M168">
        <f ca="1">IF($C168-M$1&lt;År1,0,L167*(1-VLOOKUP($A168,[1]Hugst!$R$5:$W$9,MATCH(ROUNDUP((M$1)/10,0)*10,[1]Hugst!$R$4:$W$4,0))))</f>
        <v>106.12022667532625</v>
      </c>
      <c r="N168">
        <f ca="1">IF($C168-N$1&lt;År1,0,M167*(1-VLOOKUP($A168,[1]Hugst!$R$5:$W$9,MATCH(ROUNDUP((N$1)/10,0)*10,[1]Hugst!$R$4:$W$4,0))))</f>
        <v>106.27703271431785</v>
      </c>
      <c r="O168">
        <f ca="1">IF($C168-O$1&lt;År1,0,N167*(1-VLOOKUP($A168,[1]Hugst!$R$5:$W$9,MATCH(ROUNDUP((O$1)/10,0)*10,[1]Hugst!$R$4:$W$4,0))))</f>
        <v>106.4346267233563</v>
      </c>
      <c r="P168">
        <f ca="1">IF($C168-P$1&lt;År1,0,O167*(1-VLOOKUP($A168,[1]Hugst!$R$5:$W$9,MATCH(ROUNDUP((P$1)/10,0)*10,[1]Hugst!$R$4:$W$4,0))))</f>
        <v>106.59301266208753</v>
      </c>
      <c r="Q168">
        <f ca="1">IF($C168-Q$1&lt;År1,0,P167*(1-VLOOKUP($A168,[1]Hugst!$R$5:$W$9,MATCH(ROUNDUP((Q$1)/10,0)*10,[1]Hugst!$R$4:$W$4,0))))</f>
        <v>106.75219451005873</v>
      </c>
      <c r="R168">
        <f>IF($C168-R$1&lt;År1,0,Q167*(1-VLOOKUP($A168,[1]Hugst!$R$5:$W$9,MATCH(ROUNDUP((R$1)/10,0)*10,[1]Hugst!$R$4:$W$4,0))))</f>
        <v>0</v>
      </c>
      <c r="S168">
        <f>IF($C168-S$1&lt;År1,0,R167*(1-VLOOKUP($A168,[1]Hugst!$R$5:$W$9,MATCH(ROUNDUP((S$1)/10,0)*10,[1]Hugst!$R$4:$W$4,0))))</f>
        <v>0</v>
      </c>
      <c r="T168">
        <f>IF($C168-T$1&lt;År1,0,S167*(1-VLOOKUP($A168,[1]Hugst!$R$5:$W$9,MATCH(ROUNDUP((T$1)/10,0)*10,[1]Hugst!$R$4:$W$4,0))))</f>
        <v>0</v>
      </c>
      <c r="U168">
        <f>IF($C168-U$1&lt;År1,0,T167*(1-VLOOKUP($A168,[1]Hugst!$R$5:$W$9,MATCH(ROUNDUP((U$1)/10,0)*10,[1]Hugst!$R$4:$W$4,0))))</f>
        <v>0</v>
      </c>
      <c r="V168">
        <f>IF($C168-V$1&lt;År1,0,U167*(1-VLOOKUP($A168,[1]Hugst!$R$5:$W$9,MATCH(ROUNDUP((V$1)/10,0)*10,[1]Hugst!$R$4:$W$4,0))))</f>
        <v>0</v>
      </c>
      <c r="W168">
        <f>IF($C168-W$1&lt;År1,0,V167*(1-VLOOKUP($A168,[1]Hugst!$R$5:$W$9,MATCH(ROUNDUP((W$1)/10,0)*10,[1]Hugst!$R$4:$W$4,0))))</f>
        <v>0</v>
      </c>
      <c r="X168">
        <f>IF($C168-X$1&lt;År1,0,W167*(1-VLOOKUP($A168,[1]Hugst!$R$5:$W$9,MATCH(ROUNDUP((X$1)/10,0)*10,[1]Hugst!$R$4:$W$4,0))))</f>
        <v>0</v>
      </c>
      <c r="Y168">
        <f>IF($C168-Y$1&lt;År1,0,X167*(1-VLOOKUP($A168,[1]Hugst!$R$5:$W$9,MATCH(ROUNDUP((Y$1)/10,0)*10,[1]Hugst!$R$4:$W$4,0))))</f>
        <v>0</v>
      </c>
      <c r="Z168">
        <f>IF($C168-Z$1&lt;År1,0,Y167*(1-VLOOKUP($A168,[1]Hugst!$R$5:$W$9,MATCH(ROUNDUP((Z$1)/10,0)*10,[1]Hugst!$R$4:$W$4,0))))</f>
        <v>0</v>
      </c>
      <c r="AA168">
        <f>IF($C168-AA$1&lt;År1,0,Z167*(1-VLOOKUP($A168,[1]Hugst!$R$5:$W$9,MATCH(ROUNDUP((AA$1)/10,0)*10,[1]Hugst!$R$4:$W$4,0))))</f>
        <v>0</v>
      </c>
      <c r="AB168">
        <f>IF($C168-AB$1&lt;År1,0,AA167*(1-VLOOKUP($A168,[1]Hugst!$R$5:$W$9,MATCH(ROUNDUP((AB$1)/10,0)*10,[1]Hugst!$R$4:$W$4,0))))</f>
        <v>0</v>
      </c>
      <c r="AC168">
        <f>IF($C168-AC$1&lt;År1,0,AB167*(1-VLOOKUP($A168,[1]Hugst!$R$5:$W$9,MATCH(ROUNDUP((AC$1)/10,0)*10,[1]Hugst!$R$4:$W$4,0))))</f>
        <v>0</v>
      </c>
      <c r="AD168">
        <f>IF($C168-AD$1&lt;År1,0,AC167*(1-VLOOKUP($A168,[1]Hugst!$R$5:$W$9,MATCH(ROUNDUP((AD$1)/10,0)*10,[1]Hugst!$R$4:$W$4,0))))</f>
        <v>0</v>
      </c>
      <c r="AE168">
        <f>IF($C168-AE$1&lt;År1,0,AD167*(1-VLOOKUP($A168,[1]Hugst!$R$5:$W$9,MATCH(ROUNDUP((AE$1)/10,0)*10,[1]Hugst!$R$4:$W$4,0))))</f>
        <v>0</v>
      </c>
      <c r="AF168">
        <f>IF($C168-AF$1&lt;År1,0,AE167*(1-VLOOKUP($A168,[1]Hugst!$R$5:$W$9,MATCH(ROUNDUP((AF$1)/10,0)*10,[1]Hugst!$R$4:$W$4,0))))</f>
        <v>0</v>
      </c>
      <c r="AG168">
        <f>IF($C168-AG$1&lt;År1,0,AF167*(1-VLOOKUP($A168,[1]Hugst!$R$5:$W$9,MATCH(ROUNDUP((AG$1)/10,0)*10,[1]Hugst!$R$4:$W$4,0))))</f>
        <v>0</v>
      </c>
      <c r="AH168">
        <f>IF($C168-AH$1&lt;År1,0,AG167*(1-VLOOKUP($A168,[1]Hugst!$R$5:$W$9,MATCH(ROUNDUP((AH$1)/10,0)*10,[1]Hugst!$R$4:$W$4,0))))</f>
        <v>0</v>
      </c>
      <c r="AI168">
        <f>IF($C168-AI$1&lt;År1,0,AH167*(1-VLOOKUP($A168,[1]Hugst!$R$5:$W$9,MATCH(ROUNDUP((AI$1)/10,0)*10,[1]Hugst!$R$4:$W$4,0))))</f>
        <v>0</v>
      </c>
      <c r="AJ168">
        <f>IF($C168-AJ$1&lt;År1,0,AI167*(1-VLOOKUP($A168,[1]Hugst!$R$5:$W$9,MATCH(ROUNDUP((AJ$1)/10,0)*10,[1]Hugst!$R$4:$W$4,0))))</f>
        <v>0</v>
      </c>
    </row>
    <row r="169" spans="1:36" x14ac:dyDescent="0.25">
      <c r="A169" t="s">
        <v>178</v>
      </c>
      <c r="B169" t="s">
        <v>24</v>
      </c>
      <c r="C169">
        <v>2032</v>
      </c>
      <c r="D169" cm="1">
        <f t="array" ref="D169">(IF(B169="Vestdanmark",Skovbrug!$C$22-(Skovbrug!$C$22)*(1-Skovbrug!$C$9)^(C169-Skovbrug!$B$12),Skovbrug!$F$22-(Skovbrug!$F$22)*(1-Skovbrug!$C$9)^(C169-Skovbrug!$B$12)))*VLOOKUP(A169,Skovbrug!$A$13:$D$17,IF('Skovbrug-alder'!C169&lt;=År2,3,4),FALSE)
-IF(C169&gt;2020,SUM(INDEX($C$1:$D$311,MATCH(1,(2020=$C$1:$C$311)*(B169=$B$1:$B$311)*(A169=$A$1:$A$311),0),2):D168),0)</f>
        <v>29.977851699286134</v>
      </c>
      <c r="E169">
        <f t="shared" ca="1" si="3"/>
        <v>0</v>
      </c>
      <c r="F169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71.181555402989858</v>
      </c>
      <c r="G169">
        <f ca="1">IF($C169-G$1&lt;År1,0,F168*(1-VLOOKUP($A169,[1]Hugst!$R$5:$W$9,MATCH(ROUNDUP((G$1)/10,0)*10,[1]Hugst!$R$4:$W$4,0))))</f>
        <v>71.332197873839419</v>
      </c>
      <c r="H169">
        <f ca="1">IF($C169-H$1&lt;År1,0,G168*(1-VLOOKUP($A169,[1]Hugst!$R$5:$W$9,MATCH(ROUNDUP((H$1)/10,0)*10,[1]Hugst!$R$4:$W$4,0))))</f>
        <v>105.19571855415381</v>
      </c>
      <c r="I169">
        <f ca="1">IF($C169-I$1&lt;År1,0,H168*(1-VLOOKUP($A169,[1]Hugst!$R$5:$W$9,MATCH(ROUNDUP((I$1)/10,0)*10,[1]Hugst!$R$4:$W$4,0))))</f>
        <v>105.34787882369238</v>
      </c>
      <c r="J169">
        <f ca="1">IF($C169-J$1&lt;År1,0,I168*(1-VLOOKUP($A169,[1]Hugst!$R$5:$W$9,MATCH(ROUNDUP((J$1)/10,0)*10,[1]Hugst!$R$4:$W$4,0))))</f>
        <v>105.50080371770207</v>
      </c>
      <c r="K169">
        <f ca="1">IF($C169-K$1&lt;År1,0,J168*(1-VLOOKUP($A169,[1]Hugst!$R$5:$W$9,MATCH(ROUNDUP((K$1)/10,0)*10,[1]Hugst!$R$4:$W$4,0))))</f>
        <v>105.65449707851479</v>
      </c>
      <c r="L169">
        <f ca="1">IF($C169-L$1&lt;År1,0,K168*(1-VLOOKUP($A169,[1]Hugst!$R$5:$W$9,MATCH(ROUNDUP((L$1)/10,0)*10,[1]Hugst!$R$4:$W$4,0))))</f>
        <v>105.80896276777605</v>
      </c>
      <c r="M169">
        <f ca="1">IF($C169-M$1&lt;År1,0,L168*(1-VLOOKUP($A169,[1]Hugst!$R$5:$W$9,MATCH(ROUNDUP((M$1)/10,0)*10,[1]Hugst!$R$4:$W$4,0))))</f>
        <v>105.96420466652819</v>
      </c>
      <c r="N169">
        <f ca="1">IF($C169-N$1&lt;År1,0,M168*(1-VLOOKUP($A169,[1]Hugst!$R$5:$W$9,MATCH(ROUNDUP((N$1)/10,0)*10,[1]Hugst!$R$4:$W$4,0))))</f>
        <v>106.12022667532625</v>
      </c>
      <c r="O169">
        <f ca="1">IF($C169-O$1&lt;År1,0,N168*(1-VLOOKUP($A169,[1]Hugst!$R$5:$W$9,MATCH(ROUNDUP((O$1)/10,0)*10,[1]Hugst!$R$4:$W$4,0))))</f>
        <v>106.27703271431785</v>
      </c>
      <c r="P169">
        <f ca="1">IF($C169-P$1&lt;År1,0,O168*(1-VLOOKUP($A169,[1]Hugst!$R$5:$W$9,MATCH(ROUNDUP((P$1)/10,0)*10,[1]Hugst!$R$4:$W$4,0))))</f>
        <v>106.4346267233563</v>
      </c>
      <c r="Q169">
        <f ca="1">IF($C169-Q$1&lt;År1,0,P168*(1-VLOOKUP($A169,[1]Hugst!$R$5:$W$9,MATCH(ROUNDUP((Q$1)/10,0)*10,[1]Hugst!$R$4:$W$4,0))))</f>
        <v>106.59301266208753</v>
      </c>
      <c r="R169">
        <f ca="1">IF($C169-R$1&lt;År1,0,Q168*(1-VLOOKUP($A169,[1]Hugst!$R$5:$W$9,MATCH(ROUNDUP((R$1)/10,0)*10,[1]Hugst!$R$4:$W$4,0))))</f>
        <v>106.75219451005873</v>
      </c>
      <c r="S169">
        <f>IF($C169-S$1&lt;År1,0,R168*(1-VLOOKUP($A169,[1]Hugst!$R$5:$W$9,MATCH(ROUNDUP((S$1)/10,0)*10,[1]Hugst!$R$4:$W$4,0))))</f>
        <v>0</v>
      </c>
      <c r="T169">
        <f>IF($C169-T$1&lt;År1,0,S168*(1-VLOOKUP($A169,[1]Hugst!$R$5:$W$9,MATCH(ROUNDUP((T$1)/10,0)*10,[1]Hugst!$R$4:$W$4,0))))</f>
        <v>0</v>
      </c>
      <c r="U169">
        <f>IF($C169-U$1&lt;År1,0,T168*(1-VLOOKUP($A169,[1]Hugst!$R$5:$W$9,MATCH(ROUNDUP((U$1)/10,0)*10,[1]Hugst!$R$4:$W$4,0))))</f>
        <v>0</v>
      </c>
      <c r="V169">
        <f>IF($C169-V$1&lt;År1,0,U168*(1-VLOOKUP($A169,[1]Hugst!$R$5:$W$9,MATCH(ROUNDUP((V$1)/10,0)*10,[1]Hugst!$R$4:$W$4,0))))</f>
        <v>0</v>
      </c>
      <c r="W169">
        <f>IF($C169-W$1&lt;År1,0,V168*(1-VLOOKUP($A169,[1]Hugst!$R$5:$W$9,MATCH(ROUNDUP((W$1)/10,0)*10,[1]Hugst!$R$4:$W$4,0))))</f>
        <v>0</v>
      </c>
      <c r="X169">
        <f>IF($C169-X$1&lt;År1,0,W168*(1-VLOOKUP($A169,[1]Hugst!$R$5:$W$9,MATCH(ROUNDUP((X$1)/10,0)*10,[1]Hugst!$R$4:$W$4,0))))</f>
        <v>0</v>
      </c>
      <c r="Y169">
        <f>IF($C169-Y$1&lt;År1,0,X168*(1-VLOOKUP($A169,[1]Hugst!$R$5:$W$9,MATCH(ROUNDUP((Y$1)/10,0)*10,[1]Hugst!$R$4:$W$4,0))))</f>
        <v>0</v>
      </c>
      <c r="Z169">
        <f>IF($C169-Z$1&lt;År1,0,Y168*(1-VLOOKUP($A169,[1]Hugst!$R$5:$W$9,MATCH(ROUNDUP((Z$1)/10,0)*10,[1]Hugst!$R$4:$W$4,0))))</f>
        <v>0</v>
      </c>
      <c r="AA169">
        <f>IF($C169-AA$1&lt;År1,0,Z168*(1-VLOOKUP($A169,[1]Hugst!$R$5:$W$9,MATCH(ROUNDUP((AA$1)/10,0)*10,[1]Hugst!$R$4:$W$4,0))))</f>
        <v>0</v>
      </c>
      <c r="AB169">
        <f>IF($C169-AB$1&lt;År1,0,AA168*(1-VLOOKUP($A169,[1]Hugst!$R$5:$W$9,MATCH(ROUNDUP((AB$1)/10,0)*10,[1]Hugst!$R$4:$W$4,0))))</f>
        <v>0</v>
      </c>
      <c r="AC169">
        <f>IF($C169-AC$1&lt;År1,0,AB168*(1-VLOOKUP($A169,[1]Hugst!$R$5:$W$9,MATCH(ROUNDUP((AC$1)/10,0)*10,[1]Hugst!$R$4:$W$4,0))))</f>
        <v>0</v>
      </c>
      <c r="AD169">
        <f>IF($C169-AD$1&lt;År1,0,AC168*(1-VLOOKUP($A169,[1]Hugst!$R$5:$W$9,MATCH(ROUNDUP((AD$1)/10,0)*10,[1]Hugst!$R$4:$W$4,0))))</f>
        <v>0</v>
      </c>
      <c r="AE169">
        <f>IF($C169-AE$1&lt;År1,0,AD168*(1-VLOOKUP($A169,[1]Hugst!$R$5:$W$9,MATCH(ROUNDUP((AE$1)/10,0)*10,[1]Hugst!$R$4:$W$4,0))))</f>
        <v>0</v>
      </c>
      <c r="AF169">
        <f>IF($C169-AF$1&lt;År1,0,AE168*(1-VLOOKUP($A169,[1]Hugst!$R$5:$W$9,MATCH(ROUNDUP((AF$1)/10,0)*10,[1]Hugst!$R$4:$W$4,0))))</f>
        <v>0</v>
      </c>
      <c r="AG169">
        <f>IF($C169-AG$1&lt;År1,0,AF168*(1-VLOOKUP($A169,[1]Hugst!$R$5:$W$9,MATCH(ROUNDUP((AG$1)/10,0)*10,[1]Hugst!$R$4:$W$4,0))))</f>
        <v>0</v>
      </c>
      <c r="AH169">
        <f>IF($C169-AH$1&lt;År1,0,AG168*(1-VLOOKUP($A169,[1]Hugst!$R$5:$W$9,MATCH(ROUNDUP((AH$1)/10,0)*10,[1]Hugst!$R$4:$W$4,0))))</f>
        <v>0</v>
      </c>
      <c r="AI169">
        <f>IF($C169-AI$1&lt;År1,0,AH168*(1-VLOOKUP($A169,[1]Hugst!$R$5:$W$9,MATCH(ROUNDUP((AI$1)/10,0)*10,[1]Hugst!$R$4:$W$4,0))))</f>
        <v>0</v>
      </c>
      <c r="AJ169">
        <f>IF($C169-AJ$1&lt;År1,0,AI168*(1-VLOOKUP($A169,[1]Hugst!$R$5:$W$9,MATCH(ROUNDUP((AJ$1)/10,0)*10,[1]Hugst!$R$4:$W$4,0))))</f>
        <v>0</v>
      </c>
    </row>
    <row r="170" spans="1:36" x14ac:dyDescent="0.25">
      <c r="A170" t="s">
        <v>178</v>
      </c>
      <c r="B170" t="s">
        <v>24</v>
      </c>
      <c r="C170">
        <v>2033</v>
      </c>
      <c r="D170" cm="1">
        <f t="array" ref="D170">(IF(B170="Vestdanmark",Skovbrug!$C$22-(Skovbrug!$C$22)*(1-Skovbrug!$C$9)^(C170-Skovbrug!$B$12),Skovbrug!$F$22-(Skovbrug!$F$22)*(1-Skovbrug!$C$9)^(C170-Skovbrug!$B$12)))*VLOOKUP(A170,Skovbrug!$A$13:$D$17,IF('Skovbrug-alder'!C170&lt;=År2,3,4),FALSE)
-IF(C170&gt;2020,SUM(INDEX($C$1:$D$311,MATCH(1,(2020=$C$1:$C$311)*(B170=$B$1:$B$311)*(A170=$A$1:$A$311),0),2):D169),0)</f>
        <v>29.827962440789236</v>
      </c>
      <c r="E170">
        <f t="shared" ca="1" si="3"/>
        <v>0</v>
      </c>
      <c r="F170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71.031666144492959</v>
      </c>
      <c r="G170">
        <f ca="1">IF($C170-G$1&lt;År1,0,F169*(1-VLOOKUP($A170,[1]Hugst!$R$5:$W$9,MATCH(ROUNDUP((G$1)/10,0)*10,[1]Hugst!$R$4:$W$4,0))))</f>
        <v>71.181555402989858</v>
      </c>
      <c r="H170">
        <f ca="1">IF($C170-H$1&lt;År1,0,G169*(1-VLOOKUP($A170,[1]Hugst!$R$5:$W$9,MATCH(ROUNDUP((H$1)/10,0)*10,[1]Hugst!$R$4:$W$4,0))))</f>
        <v>71.332197873839419</v>
      </c>
      <c r="I170">
        <f ca="1">IF($C170-I$1&lt;År1,0,H169*(1-VLOOKUP($A170,[1]Hugst!$R$5:$W$9,MATCH(ROUNDUP((I$1)/10,0)*10,[1]Hugst!$R$4:$W$4,0))))</f>
        <v>105.19571855415381</v>
      </c>
      <c r="J170">
        <f ca="1">IF($C170-J$1&lt;År1,0,I169*(1-VLOOKUP($A170,[1]Hugst!$R$5:$W$9,MATCH(ROUNDUP((J$1)/10,0)*10,[1]Hugst!$R$4:$W$4,0))))</f>
        <v>105.34787882369238</v>
      </c>
      <c r="K170">
        <f ca="1">IF($C170-K$1&lt;År1,0,J169*(1-VLOOKUP($A170,[1]Hugst!$R$5:$W$9,MATCH(ROUNDUP((K$1)/10,0)*10,[1]Hugst!$R$4:$W$4,0))))</f>
        <v>105.50080371770207</v>
      </c>
      <c r="L170">
        <f ca="1">IF($C170-L$1&lt;År1,0,K169*(1-VLOOKUP($A170,[1]Hugst!$R$5:$W$9,MATCH(ROUNDUP((L$1)/10,0)*10,[1]Hugst!$R$4:$W$4,0))))</f>
        <v>105.65449707851479</v>
      </c>
      <c r="M170">
        <f ca="1">IF($C170-M$1&lt;År1,0,L169*(1-VLOOKUP($A170,[1]Hugst!$R$5:$W$9,MATCH(ROUNDUP((M$1)/10,0)*10,[1]Hugst!$R$4:$W$4,0))))</f>
        <v>105.80896276777605</v>
      </c>
      <c r="N170">
        <f ca="1">IF($C170-N$1&lt;År1,0,M169*(1-VLOOKUP($A170,[1]Hugst!$R$5:$W$9,MATCH(ROUNDUP((N$1)/10,0)*10,[1]Hugst!$R$4:$W$4,0))))</f>
        <v>105.96420466652819</v>
      </c>
      <c r="O170">
        <f ca="1">IF($C170-O$1&lt;År1,0,N169*(1-VLOOKUP($A170,[1]Hugst!$R$5:$W$9,MATCH(ROUNDUP((O$1)/10,0)*10,[1]Hugst!$R$4:$W$4,0))))</f>
        <v>106.12022667532625</v>
      </c>
      <c r="P170">
        <f ca="1">IF($C170-P$1&lt;År1,0,O169*(1-VLOOKUP($A170,[1]Hugst!$R$5:$W$9,MATCH(ROUNDUP((P$1)/10,0)*10,[1]Hugst!$R$4:$W$4,0))))</f>
        <v>106.27703271431785</v>
      </c>
      <c r="Q170">
        <f ca="1">IF($C170-Q$1&lt;År1,0,P169*(1-VLOOKUP($A170,[1]Hugst!$R$5:$W$9,MATCH(ROUNDUP((Q$1)/10,0)*10,[1]Hugst!$R$4:$W$4,0))))</f>
        <v>106.4346267233563</v>
      </c>
      <c r="R170">
        <f ca="1">IF($C170-R$1&lt;År1,0,Q169*(1-VLOOKUP($A170,[1]Hugst!$R$5:$W$9,MATCH(ROUNDUP((R$1)/10,0)*10,[1]Hugst!$R$4:$W$4,0))))</f>
        <v>106.59301266208753</v>
      </c>
      <c r="S170">
        <f ca="1">IF($C170-S$1&lt;År1,0,R169*(1-VLOOKUP($A170,[1]Hugst!$R$5:$W$9,MATCH(ROUNDUP((S$1)/10,0)*10,[1]Hugst!$R$4:$W$4,0))))</f>
        <v>106.75219451005873</v>
      </c>
      <c r="T170">
        <f>IF($C170-T$1&lt;År1,0,S169*(1-VLOOKUP($A170,[1]Hugst!$R$5:$W$9,MATCH(ROUNDUP((T$1)/10,0)*10,[1]Hugst!$R$4:$W$4,0))))</f>
        <v>0</v>
      </c>
      <c r="U170">
        <f>IF($C170-U$1&lt;År1,0,T169*(1-VLOOKUP($A170,[1]Hugst!$R$5:$W$9,MATCH(ROUNDUP((U$1)/10,0)*10,[1]Hugst!$R$4:$W$4,0))))</f>
        <v>0</v>
      </c>
      <c r="V170">
        <f>IF($C170-V$1&lt;År1,0,U169*(1-VLOOKUP($A170,[1]Hugst!$R$5:$W$9,MATCH(ROUNDUP((V$1)/10,0)*10,[1]Hugst!$R$4:$W$4,0))))</f>
        <v>0</v>
      </c>
      <c r="W170">
        <f>IF($C170-W$1&lt;År1,0,V169*(1-VLOOKUP($A170,[1]Hugst!$R$5:$W$9,MATCH(ROUNDUP((W$1)/10,0)*10,[1]Hugst!$R$4:$W$4,0))))</f>
        <v>0</v>
      </c>
      <c r="X170">
        <f>IF($C170-X$1&lt;År1,0,W169*(1-VLOOKUP($A170,[1]Hugst!$R$5:$W$9,MATCH(ROUNDUP((X$1)/10,0)*10,[1]Hugst!$R$4:$W$4,0))))</f>
        <v>0</v>
      </c>
      <c r="Y170">
        <f>IF($C170-Y$1&lt;År1,0,X169*(1-VLOOKUP($A170,[1]Hugst!$R$5:$W$9,MATCH(ROUNDUP((Y$1)/10,0)*10,[1]Hugst!$R$4:$W$4,0))))</f>
        <v>0</v>
      </c>
      <c r="Z170">
        <f>IF($C170-Z$1&lt;År1,0,Y169*(1-VLOOKUP($A170,[1]Hugst!$R$5:$W$9,MATCH(ROUNDUP((Z$1)/10,0)*10,[1]Hugst!$R$4:$W$4,0))))</f>
        <v>0</v>
      </c>
      <c r="AA170">
        <f>IF($C170-AA$1&lt;År1,0,Z169*(1-VLOOKUP($A170,[1]Hugst!$R$5:$W$9,MATCH(ROUNDUP((AA$1)/10,0)*10,[1]Hugst!$R$4:$W$4,0))))</f>
        <v>0</v>
      </c>
      <c r="AB170">
        <f>IF($C170-AB$1&lt;År1,0,AA169*(1-VLOOKUP($A170,[1]Hugst!$R$5:$W$9,MATCH(ROUNDUP((AB$1)/10,0)*10,[1]Hugst!$R$4:$W$4,0))))</f>
        <v>0</v>
      </c>
      <c r="AC170">
        <f>IF($C170-AC$1&lt;År1,0,AB169*(1-VLOOKUP($A170,[1]Hugst!$R$5:$W$9,MATCH(ROUNDUP((AC$1)/10,0)*10,[1]Hugst!$R$4:$W$4,0))))</f>
        <v>0</v>
      </c>
      <c r="AD170">
        <f>IF($C170-AD$1&lt;År1,0,AC169*(1-VLOOKUP($A170,[1]Hugst!$R$5:$W$9,MATCH(ROUNDUP((AD$1)/10,0)*10,[1]Hugst!$R$4:$W$4,0))))</f>
        <v>0</v>
      </c>
      <c r="AE170">
        <f>IF($C170-AE$1&lt;År1,0,AD169*(1-VLOOKUP($A170,[1]Hugst!$R$5:$W$9,MATCH(ROUNDUP((AE$1)/10,0)*10,[1]Hugst!$R$4:$W$4,0))))</f>
        <v>0</v>
      </c>
      <c r="AF170">
        <f>IF($C170-AF$1&lt;År1,0,AE169*(1-VLOOKUP($A170,[1]Hugst!$R$5:$W$9,MATCH(ROUNDUP((AF$1)/10,0)*10,[1]Hugst!$R$4:$W$4,0))))</f>
        <v>0</v>
      </c>
      <c r="AG170">
        <f>IF($C170-AG$1&lt;År1,0,AF169*(1-VLOOKUP($A170,[1]Hugst!$R$5:$W$9,MATCH(ROUNDUP((AG$1)/10,0)*10,[1]Hugst!$R$4:$W$4,0))))</f>
        <v>0</v>
      </c>
      <c r="AH170">
        <f>IF($C170-AH$1&lt;År1,0,AG169*(1-VLOOKUP($A170,[1]Hugst!$R$5:$W$9,MATCH(ROUNDUP((AH$1)/10,0)*10,[1]Hugst!$R$4:$W$4,0))))</f>
        <v>0</v>
      </c>
      <c r="AI170">
        <f>IF($C170-AI$1&lt;År1,0,AH169*(1-VLOOKUP($A170,[1]Hugst!$R$5:$W$9,MATCH(ROUNDUP((AI$1)/10,0)*10,[1]Hugst!$R$4:$W$4,0))))</f>
        <v>0</v>
      </c>
      <c r="AJ170">
        <f>IF($C170-AJ$1&lt;År1,0,AI169*(1-VLOOKUP($A170,[1]Hugst!$R$5:$W$9,MATCH(ROUNDUP((AJ$1)/10,0)*10,[1]Hugst!$R$4:$W$4,0))))</f>
        <v>0</v>
      </c>
    </row>
    <row r="171" spans="1:36" x14ac:dyDescent="0.25">
      <c r="A171" t="s">
        <v>178</v>
      </c>
      <c r="B171" t="s">
        <v>24</v>
      </c>
      <c r="C171">
        <v>2034</v>
      </c>
      <c r="D171" cm="1">
        <f t="array" ref="D171">(IF(B171="Vestdanmark",Skovbrug!$C$22-(Skovbrug!$C$22)*(1-Skovbrug!$C$9)^(C171-Skovbrug!$B$12),Skovbrug!$F$22-(Skovbrug!$F$22)*(1-Skovbrug!$C$9)^(C171-Skovbrug!$B$12)))*VLOOKUP(A171,Skovbrug!$A$13:$D$17,IF('Skovbrug-alder'!C171&lt;=År2,3,4),FALSE)
-IF(C171&gt;2020,SUM(INDEX($C$1:$D$311,MATCH(1,(2020=$C$1:$C$311)*(B171=$B$1:$B$311)*(A171=$A$1:$A$311),0),2):D170),0)</f>
        <v>29.678822628585465</v>
      </c>
      <c r="E171">
        <f t="shared" ca="1" si="3"/>
        <v>0</v>
      </c>
      <c r="F171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70.882526332289189</v>
      </c>
      <c r="G171">
        <f ca="1">IF($C171-G$1&lt;År1,0,F170*(1-VLOOKUP($A171,[1]Hugst!$R$5:$W$9,MATCH(ROUNDUP((G$1)/10,0)*10,[1]Hugst!$R$4:$W$4,0))))</f>
        <v>71.031666144492959</v>
      </c>
      <c r="H171">
        <f ca="1">IF($C171-H$1&lt;År1,0,G170*(1-VLOOKUP($A171,[1]Hugst!$R$5:$W$9,MATCH(ROUNDUP((H$1)/10,0)*10,[1]Hugst!$R$4:$W$4,0))))</f>
        <v>71.181555402989858</v>
      </c>
      <c r="I171">
        <f ca="1">IF($C171-I$1&lt;År1,0,H170*(1-VLOOKUP($A171,[1]Hugst!$R$5:$W$9,MATCH(ROUNDUP((I$1)/10,0)*10,[1]Hugst!$R$4:$W$4,0))))</f>
        <v>71.332197873839419</v>
      </c>
      <c r="J171">
        <f ca="1">IF($C171-J$1&lt;År1,0,I170*(1-VLOOKUP($A171,[1]Hugst!$R$5:$W$9,MATCH(ROUNDUP((J$1)/10,0)*10,[1]Hugst!$R$4:$W$4,0))))</f>
        <v>105.19571855415381</v>
      </c>
      <c r="K171">
        <f ca="1">IF($C171-K$1&lt;År1,0,J170*(1-VLOOKUP($A171,[1]Hugst!$R$5:$W$9,MATCH(ROUNDUP((K$1)/10,0)*10,[1]Hugst!$R$4:$W$4,0))))</f>
        <v>105.34787882369238</v>
      </c>
      <c r="L171">
        <f ca="1">IF($C171-L$1&lt;År1,0,K170*(1-VLOOKUP($A171,[1]Hugst!$R$5:$W$9,MATCH(ROUNDUP((L$1)/10,0)*10,[1]Hugst!$R$4:$W$4,0))))</f>
        <v>105.50080371770207</v>
      </c>
      <c r="M171">
        <f ca="1">IF($C171-M$1&lt;År1,0,L170*(1-VLOOKUP($A171,[1]Hugst!$R$5:$W$9,MATCH(ROUNDUP((M$1)/10,0)*10,[1]Hugst!$R$4:$W$4,0))))</f>
        <v>105.65449707851479</v>
      </c>
      <c r="N171">
        <f ca="1">IF($C171-N$1&lt;År1,0,M170*(1-VLOOKUP($A171,[1]Hugst!$R$5:$W$9,MATCH(ROUNDUP((N$1)/10,0)*10,[1]Hugst!$R$4:$W$4,0))))</f>
        <v>105.80896276777605</v>
      </c>
      <c r="O171">
        <f ca="1">IF($C171-O$1&lt;År1,0,N170*(1-VLOOKUP($A171,[1]Hugst!$R$5:$W$9,MATCH(ROUNDUP((O$1)/10,0)*10,[1]Hugst!$R$4:$W$4,0))))</f>
        <v>105.96420466652819</v>
      </c>
      <c r="P171">
        <f ca="1">IF($C171-P$1&lt;År1,0,O170*(1-VLOOKUP($A171,[1]Hugst!$R$5:$W$9,MATCH(ROUNDUP((P$1)/10,0)*10,[1]Hugst!$R$4:$W$4,0))))</f>
        <v>106.12022667532625</v>
      </c>
      <c r="Q171">
        <f ca="1">IF($C171-Q$1&lt;År1,0,P170*(1-VLOOKUP($A171,[1]Hugst!$R$5:$W$9,MATCH(ROUNDUP((Q$1)/10,0)*10,[1]Hugst!$R$4:$W$4,0))))</f>
        <v>106.27703271431785</v>
      </c>
      <c r="R171">
        <f ca="1">IF($C171-R$1&lt;År1,0,Q170*(1-VLOOKUP($A171,[1]Hugst!$R$5:$W$9,MATCH(ROUNDUP((R$1)/10,0)*10,[1]Hugst!$R$4:$W$4,0))))</f>
        <v>106.4346267233563</v>
      </c>
      <c r="S171">
        <f ca="1">IF($C171-S$1&lt;År1,0,R170*(1-VLOOKUP($A171,[1]Hugst!$R$5:$W$9,MATCH(ROUNDUP((S$1)/10,0)*10,[1]Hugst!$R$4:$W$4,0))))</f>
        <v>106.59301266208753</v>
      </c>
      <c r="T171">
        <f ca="1">IF($C171-T$1&lt;År1,0,S170*(1-VLOOKUP($A171,[1]Hugst!$R$5:$W$9,MATCH(ROUNDUP((T$1)/10,0)*10,[1]Hugst!$R$4:$W$4,0))))</f>
        <v>106.75219451005873</v>
      </c>
      <c r="U171">
        <f>IF($C171-U$1&lt;År1,0,T170*(1-VLOOKUP($A171,[1]Hugst!$R$5:$W$9,MATCH(ROUNDUP((U$1)/10,0)*10,[1]Hugst!$R$4:$W$4,0))))</f>
        <v>0</v>
      </c>
      <c r="V171">
        <f>IF($C171-V$1&lt;År1,0,U170*(1-VLOOKUP($A171,[1]Hugst!$R$5:$W$9,MATCH(ROUNDUP((V$1)/10,0)*10,[1]Hugst!$R$4:$W$4,0))))</f>
        <v>0</v>
      </c>
      <c r="W171">
        <f>IF($C171-W$1&lt;År1,0,V170*(1-VLOOKUP($A171,[1]Hugst!$R$5:$W$9,MATCH(ROUNDUP((W$1)/10,0)*10,[1]Hugst!$R$4:$W$4,0))))</f>
        <v>0</v>
      </c>
      <c r="X171">
        <f>IF($C171-X$1&lt;År1,0,W170*(1-VLOOKUP($A171,[1]Hugst!$R$5:$W$9,MATCH(ROUNDUP((X$1)/10,0)*10,[1]Hugst!$R$4:$W$4,0))))</f>
        <v>0</v>
      </c>
      <c r="Y171">
        <f>IF($C171-Y$1&lt;År1,0,X170*(1-VLOOKUP($A171,[1]Hugst!$R$5:$W$9,MATCH(ROUNDUP((Y$1)/10,0)*10,[1]Hugst!$R$4:$W$4,0))))</f>
        <v>0</v>
      </c>
      <c r="Z171">
        <f>IF($C171-Z$1&lt;År1,0,Y170*(1-VLOOKUP($A171,[1]Hugst!$R$5:$W$9,MATCH(ROUNDUP((Z$1)/10,0)*10,[1]Hugst!$R$4:$W$4,0))))</f>
        <v>0</v>
      </c>
      <c r="AA171">
        <f>IF($C171-AA$1&lt;År1,0,Z170*(1-VLOOKUP($A171,[1]Hugst!$R$5:$W$9,MATCH(ROUNDUP((AA$1)/10,0)*10,[1]Hugst!$R$4:$W$4,0))))</f>
        <v>0</v>
      </c>
      <c r="AB171">
        <f>IF($C171-AB$1&lt;År1,0,AA170*(1-VLOOKUP($A171,[1]Hugst!$R$5:$W$9,MATCH(ROUNDUP((AB$1)/10,0)*10,[1]Hugst!$R$4:$W$4,0))))</f>
        <v>0</v>
      </c>
      <c r="AC171">
        <f>IF($C171-AC$1&lt;År1,0,AB170*(1-VLOOKUP($A171,[1]Hugst!$R$5:$W$9,MATCH(ROUNDUP((AC$1)/10,0)*10,[1]Hugst!$R$4:$W$4,0))))</f>
        <v>0</v>
      </c>
      <c r="AD171">
        <f>IF($C171-AD$1&lt;År1,0,AC170*(1-VLOOKUP($A171,[1]Hugst!$R$5:$W$9,MATCH(ROUNDUP((AD$1)/10,0)*10,[1]Hugst!$R$4:$W$4,0))))</f>
        <v>0</v>
      </c>
      <c r="AE171">
        <f>IF($C171-AE$1&lt;År1,0,AD170*(1-VLOOKUP($A171,[1]Hugst!$R$5:$W$9,MATCH(ROUNDUP((AE$1)/10,0)*10,[1]Hugst!$R$4:$W$4,0))))</f>
        <v>0</v>
      </c>
      <c r="AF171">
        <f>IF($C171-AF$1&lt;År1,0,AE170*(1-VLOOKUP($A171,[1]Hugst!$R$5:$W$9,MATCH(ROUNDUP((AF$1)/10,0)*10,[1]Hugst!$R$4:$W$4,0))))</f>
        <v>0</v>
      </c>
      <c r="AG171">
        <f>IF($C171-AG$1&lt;År1,0,AF170*(1-VLOOKUP($A171,[1]Hugst!$R$5:$W$9,MATCH(ROUNDUP((AG$1)/10,0)*10,[1]Hugst!$R$4:$W$4,0))))</f>
        <v>0</v>
      </c>
      <c r="AH171">
        <f>IF($C171-AH$1&lt;År1,0,AG170*(1-VLOOKUP($A171,[1]Hugst!$R$5:$W$9,MATCH(ROUNDUP((AH$1)/10,0)*10,[1]Hugst!$R$4:$W$4,0))))</f>
        <v>0</v>
      </c>
      <c r="AI171">
        <f>IF($C171-AI$1&lt;År1,0,AH170*(1-VLOOKUP($A171,[1]Hugst!$R$5:$W$9,MATCH(ROUNDUP((AI$1)/10,0)*10,[1]Hugst!$R$4:$W$4,0))))</f>
        <v>0</v>
      </c>
      <c r="AJ171">
        <f>IF($C171-AJ$1&lt;År1,0,AI170*(1-VLOOKUP($A171,[1]Hugst!$R$5:$W$9,MATCH(ROUNDUP((AJ$1)/10,0)*10,[1]Hugst!$R$4:$W$4,0))))</f>
        <v>0</v>
      </c>
    </row>
    <row r="172" spans="1:36" x14ac:dyDescent="0.25">
      <c r="A172" t="s">
        <v>178</v>
      </c>
      <c r="B172" t="s">
        <v>24</v>
      </c>
      <c r="C172">
        <v>2035</v>
      </c>
      <c r="D172" cm="1">
        <f t="array" ref="D172">(IF(B172="Vestdanmark",Skovbrug!$C$22-(Skovbrug!$C$22)*(1-Skovbrug!$C$9)^(C172-Skovbrug!$B$12),Skovbrug!$F$22-(Skovbrug!$F$22)*(1-Skovbrug!$C$9)^(C172-Skovbrug!$B$12)))*VLOOKUP(A172,Skovbrug!$A$13:$D$17,IF('Skovbrug-alder'!C172&lt;=År2,3,4),FALSE)
-IF(C172&gt;2020,SUM(INDEX($C$1:$D$311,MATCH(1,(2020=$C$1:$C$311)*(B172=$B$1:$B$311)*(A172=$A$1:$A$311),0),2):D171),0)</f>
        <v>29.530428515443077</v>
      </c>
      <c r="E172">
        <f t="shared" ca="1" si="3"/>
        <v>0</v>
      </c>
      <c r="F172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70.734132219146801</v>
      </c>
      <c r="G172">
        <f ca="1">IF($C172-G$1&lt;År1,0,F171*(1-VLOOKUP($A172,[1]Hugst!$R$5:$W$9,MATCH(ROUNDUP((G$1)/10,0)*10,[1]Hugst!$R$4:$W$4,0))))</f>
        <v>70.882526332289189</v>
      </c>
      <c r="H172">
        <f ca="1">IF($C172-H$1&lt;År1,0,G171*(1-VLOOKUP($A172,[1]Hugst!$R$5:$W$9,MATCH(ROUNDUP((H$1)/10,0)*10,[1]Hugst!$R$4:$W$4,0))))</f>
        <v>71.031666144492959</v>
      </c>
      <c r="I172">
        <f ca="1">IF($C172-I$1&lt;År1,0,H171*(1-VLOOKUP($A172,[1]Hugst!$R$5:$W$9,MATCH(ROUNDUP((I$1)/10,0)*10,[1]Hugst!$R$4:$W$4,0))))</f>
        <v>71.181555402989858</v>
      </c>
      <c r="J172">
        <f ca="1">IF($C172-J$1&lt;År1,0,I171*(1-VLOOKUP($A172,[1]Hugst!$R$5:$W$9,MATCH(ROUNDUP((J$1)/10,0)*10,[1]Hugst!$R$4:$W$4,0))))</f>
        <v>71.332197873839419</v>
      </c>
      <c r="K172">
        <f ca="1">IF($C172-K$1&lt;År1,0,J171*(1-VLOOKUP($A172,[1]Hugst!$R$5:$W$9,MATCH(ROUNDUP((K$1)/10,0)*10,[1]Hugst!$R$4:$W$4,0))))</f>
        <v>105.19571855415381</v>
      </c>
      <c r="L172">
        <f ca="1">IF($C172-L$1&lt;År1,0,K171*(1-VLOOKUP($A172,[1]Hugst!$R$5:$W$9,MATCH(ROUNDUP((L$1)/10,0)*10,[1]Hugst!$R$4:$W$4,0))))</f>
        <v>105.34787882369238</v>
      </c>
      <c r="M172">
        <f ca="1">IF($C172-M$1&lt;År1,0,L171*(1-VLOOKUP($A172,[1]Hugst!$R$5:$W$9,MATCH(ROUNDUP((M$1)/10,0)*10,[1]Hugst!$R$4:$W$4,0))))</f>
        <v>105.50080371770207</v>
      </c>
      <c r="N172">
        <f ca="1">IF($C172-N$1&lt;År1,0,M171*(1-VLOOKUP($A172,[1]Hugst!$R$5:$W$9,MATCH(ROUNDUP((N$1)/10,0)*10,[1]Hugst!$R$4:$W$4,0))))</f>
        <v>105.65449707851479</v>
      </c>
      <c r="O172">
        <f ca="1">IF($C172-O$1&lt;År1,0,N171*(1-VLOOKUP($A172,[1]Hugst!$R$5:$W$9,MATCH(ROUNDUP((O$1)/10,0)*10,[1]Hugst!$R$4:$W$4,0))))</f>
        <v>105.80896276777605</v>
      </c>
      <c r="P172">
        <f ca="1">IF($C172-P$1&lt;År1,0,O171*(1-VLOOKUP($A172,[1]Hugst!$R$5:$W$9,MATCH(ROUNDUP((P$1)/10,0)*10,[1]Hugst!$R$4:$W$4,0))))</f>
        <v>105.96420466652819</v>
      </c>
      <c r="Q172">
        <f ca="1">IF($C172-Q$1&lt;År1,0,P171*(1-VLOOKUP($A172,[1]Hugst!$R$5:$W$9,MATCH(ROUNDUP((Q$1)/10,0)*10,[1]Hugst!$R$4:$W$4,0))))</f>
        <v>106.12022667532625</v>
      </c>
      <c r="R172">
        <f ca="1">IF($C172-R$1&lt;År1,0,Q171*(1-VLOOKUP($A172,[1]Hugst!$R$5:$W$9,MATCH(ROUNDUP((R$1)/10,0)*10,[1]Hugst!$R$4:$W$4,0))))</f>
        <v>106.27703271431785</v>
      </c>
      <c r="S172">
        <f ca="1">IF($C172-S$1&lt;År1,0,R171*(1-VLOOKUP($A172,[1]Hugst!$R$5:$W$9,MATCH(ROUNDUP((S$1)/10,0)*10,[1]Hugst!$R$4:$W$4,0))))</f>
        <v>106.4346267233563</v>
      </c>
      <c r="T172">
        <f ca="1">IF($C172-T$1&lt;År1,0,S171*(1-VLOOKUP($A172,[1]Hugst!$R$5:$W$9,MATCH(ROUNDUP((T$1)/10,0)*10,[1]Hugst!$R$4:$W$4,0))))</f>
        <v>106.59301266208753</v>
      </c>
      <c r="U172">
        <f ca="1">IF($C172-U$1&lt;År1,0,T171*(1-VLOOKUP($A172,[1]Hugst!$R$5:$W$9,MATCH(ROUNDUP((U$1)/10,0)*10,[1]Hugst!$R$4:$W$4,0))))</f>
        <v>106.75219451005873</v>
      </c>
      <c r="V172">
        <f>IF($C172-V$1&lt;År1,0,U171*(1-VLOOKUP($A172,[1]Hugst!$R$5:$W$9,MATCH(ROUNDUP((V$1)/10,0)*10,[1]Hugst!$R$4:$W$4,0))))</f>
        <v>0</v>
      </c>
      <c r="W172">
        <f>IF($C172-W$1&lt;År1,0,V171*(1-VLOOKUP($A172,[1]Hugst!$R$5:$W$9,MATCH(ROUNDUP((W$1)/10,0)*10,[1]Hugst!$R$4:$W$4,0))))</f>
        <v>0</v>
      </c>
      <c r="X172">
        <f>IF($C172-X$1&lt;År1,0,W171*(1-VLOOKUP($A172,[1]Hugst!$R$5:$W$9,MATCH(ROUNDUP((X$1)/10,0)*10,[1]Hugst!$R$4:$W$4,0))))</f>
        <v>0</v>
      </c>
      <c r="Y172">
        <f>IF($C172-Y$1&lt;År1,0,X171*(1-VLOOKUP($A172,[1]Hugst!$R$5:$W$9,MATCH(ROUNDUP((Y$1)/10,0)*10,[1]Hugst!$R$4:$W$4,0))))</f>
        <v>0</v>
      </c>
      <c r="Z172">
        <f>IF($C172-Z$1&lt;År1,0,Y171*(1-VLOOKUP($A172,[1]Hugst!$R$5:$W$9,MATCH(ROUNDUP((Z$1)/10,0)*10,[1]Hugst!$R$4:$W$4,0))))</f>
        <v>0</v>
      </c>
      <c r="AA172">
        <f>IF($C172-AA$1&lt;År1,0,Z171*(1-VLOOKUP($A172,[1]Hugst!$R$5:$W$9,MATCH(ROUNDUP((AA$1)/10,0)*10,[1]Hugst!$R$4:$W$4,0))))</f>
        <v>0</v>
      </c>
      <c r="AB172">
        <f>IF($C172-AB$1&lt;År1,0,AA171*(1-VLOOKUP($A172,[1]Hugst!$R$5:$W$9,MATCH(ROUNDUP((AB$1)/10,0)*10,[1]Hugst!$R$4:$W$4,0))))</f>
        <v>0</v>
      </c>
      <c r="AC172">
        <f>IF($C172-AC$1&lt;År1,0,AB171*(1-VLOOKUP($A172,[1]Hugst!$R$5:$W$9,MATCH(ROUNDUP((AC$1)/10,0)*10,[1]Hugst!$R$4:$W$4,0))))</f>
        <v>0</v>
      </c>
      <c r="AD172">
        <f>IF($C172-AD$1&lt;År1,0,AC171*(1-VLOOKUP($A172,[1]Hugst!$R$5:$W$9,MATCH(ROUNDUP((AD$1)/10,0)*10,[1]Hugst!$R$4:$W$4,0))))</f>
        <v>0</v>
      </c>
      <c r="AE172">
        <f>IF($C172-AE$1&lt;År1,0,AD171*(1-VLOOKUP($A172,[1]Hugst!$R$5:$W$9,MATCH(ROUNDUP((AE$1)/10,0)*10,[1]Hugst!$R$4:$W$4,0))))</f>
        <v>0</v>
      </c>
      <c r="AF172">
        <f>IF($C172-AF$1&lt;År1,0,AE171*(1-VLOOKUP($A172,[1]Hugst!$R$5:$W$9,MATCH(ROUNDUP((AF$1)/10,0)*10,[1]Hugst!$R$4:$W$4,0))))</f>
        <v>0</v>
      </c>
      <c r="AG172">
        <f>IF($C172-AG$1&lt;År1,0,AF171*(1-VLOOKUP($A172,[1]Hugst!$R$5:$W$9,MATCH(ROUNDUP((AG$1)/10,0)*10,[1]Hugst!$R$4:$W$4,0))))</f>
        <v>0</v>
      </c>
      <c r="AH172">
        <f>IF($C172-AH$1&lt;År1,0,AG171*(1-VLOOKUP($A172,[1]Hugst!$R$5:$W$9,MATCH(ROUNDUP((AH$1)/10,0)*10,[1]Hugst!$R$4:$W$4,0))))</f>
        <v>0</v>
      </c>
      <c r="AI172">
        <f>IF($C172-AI$1&lt;År1,0,AH171*(1-VLOOKUP($A172,[1]Hugst!$R$5:$W$9,MATCH(ROUNDUP((AI$1)/10,0)*10,[1]Hugst!$R$4:$W$4,0))))</f>
        <v>0</v>
      </c>
      <c r="AJ172">
        <f>IF($C172-AJ$1&lt;År1,0,AI171*(1-VLOOKUP($A172,[1]Hugst!$R$5:$W$9,MATCH(ROUNDUP((AJ$1)/10,0)*10,[1]Hugst!$R$4:$W$4,0))))</f>
        <v>0</v>
      </c>
    </row>
    <row r="173" spans="1:36" x14ac:dyDescent="0.25">
      <c r="A173" t="s">
        <v>178</v>
      </c>
      <c r="B173" t="s">
        <v>24</v>
      </c>
      <c r="C173">
        <v>2036</v>
      </c>
      <c r="D173" cm="1">
        <f t="array" ref="D173">(IF(B173="Vestdanmark",Skovbrug!$C$22-(Skovbrug!$C$22)*(1-Skovbrug!$C$9)^(C173-Skovbrug!$B$12),Skovbrug!$F$22-(Skovbrug!$F$22)*(1-Skovbrug!$C$9)^(C173-Skovbrug!$B$12)))*VLOOKUP(A173,Skovbrug!$A$13:$D$17,IF('Skovbrug-alder'!C173&lt;=År2,3,4),FALSE)
-IF(C173&gt;2020,SUM(INDEX($C$1:$D$311,MATCH(1,(2020=$C$1:$C$311)*(B173=$B$1:$B$311)*(A173=$A$1:$A$311),0),2):D172),0)</f>
        <v>29.382776372865237</v>
      </c>
      <c r="E173">
        <f t="shared" ca="1" si="3"/>
        <v>0</v>
      </c>
      <c r="F173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70.586480076568961</v>
      </c>
      <c r="G173">
        <f ca="1">IF($C173-G$1&lt;År1,0,F172*(1-VLOOKUP($A173,[1]Hugst!$R$5:$W$9,MATCH(ROUNDUP((G$1)/10,0)*10,[1]Hugst!$R$4:$W$4,0))))</f>
        <v>70.734132219146801</v>
      </c>
      <c r="H173">
        <f ca="1">IF($C173-H$1&lt;År1,0,G172*(1-VLOOKUP($A173,[1]Hugst!$R$5:$W$9,MATCH(ROUNDUP((H$1)/10,0)*10,[1]Hugst!$R$4:$W$4,0))))</f>
        <v>70.882526332289189</v>
      </c>
      <c r="I173">
        <f ca="1">IF($C173-I$1&lt;År1,0,H172*(1-VLOOKUP($A173,[1]Hugst!$R$5:$W$9,MATCH(ROUNDUP((I$1)/10,0)*10,[1]Hugst!$R$4:$W$4,0))))</f>
        <v>71.031666144492959</v>
      </c>
      <c r="J173">
        <f ca="1">IF($C173-J$1&lt;År1,0,I172*(1-VLOOKUP($A173,[1]Hugst!$R$5:$W$9,MATCH(ROUNDUP((J$1)/10,0)*10,[1]Hugst!$R$4:$W$4,0))))</f>
        <v>71.181555402989858</v>
      </c>
      <c r="K173">
        <f ca="1">IF($C173-K$1&lt;År1,0,J172*(1-VLOOKUP($A173,[1]Hugst!$R$5:$W$9,MATCH(ROUNDUP((K$1)/10,0)*10,[1]Hugst!$R$4:$W$4,0))))</f>
        <v>71.332197873839419</v>
      </c>
      <c r="L173">
        <f ca="1">IF($C173-L$1&lt;År1,0,K172*(1-VLOOKUP($A173,[1]Hugst!$R$5:$W$9,MATCH(ROUNDUP((L$1)/10,0)*10,[1]Hugst!$R$4:$W$4,0))))</f>
        <v>105.19571855415381</v>
      </c>
      <c r="M173">
        <f ca="1">IF($C173-M$1&lt;År1,0,L172*(1-VLOOKUP($A173,[1]Hugst!$R$5:$W$9,MATCH(ROUNDUP((M$1)/10,0)*10,[1]Hugst!$R$4:$W$4,0))))</f>
        <v>105.34787882369238</v>
      </c>
      <c r="N173">
        <f ca="1">IF($C173-N$1&lt;År1,0,M172*(1-VLOOKUP($A173,[1]Hugst!$R$5:$W$9,MATCH(ROUNDUP((N$1)/10,0)*10,[1]Hugst!$R$4:$W$4,0))))</f>
        <v>105.50080371770207</v>
      </c>
      <c r="O173">
        <f ca="1">IF($C173-O$1&lt;År1,0,N172*(1-VLOOKUP($A173,[1]Hugst!$R$5:$W$9,MATCH(ROUNDUP((O$1)/10,0)*10,[1]Hugst!$R$4:$W$4,0))))</f>
        <v>105.65449707851479</v>
      </c>
      <c r="P173">
        <f ca="1">IF($C173-P$1&lt;År1,0,O172*(1-VLOOKUP($A173,[1]Hugst!$R$5:$W$9,MATCH(ROUNDUP((P$1)/10,0)*10,[1]Hugst!$R$4:$W$4,0))))</f>
        <v>105.80896276777605</v>
      </c>
      <c r="Q173">
        <f ca="1">IF($C173-Q$1&lt;År1,0,P172*(1-VLOOKUP($A173,[1]Hugst!$R$5:$W$9,MATCH(ROUNDUP((Q$1)/10,0)*10,[1]Hugst!$R$4:$W$4,0))))</f>
        <v>105.96420466652819</v>
      </c>
      <c r="R173">
        <f ca="1">IF($C173-R$1&lt;År1,0,Q172*(1-VLOOKUP($A173,[1]Hugst!$R$5:$W$9,MATCH(ROUNDUP((R$1)/10,0)*10,[1]Hugst!$R$4:$W$4,0))))</f>
        <v>106.12022667532625</v>
      </c>
      <c r="S173">
        <f ca="1">IF($C173-S$1&lt;År1,0,R172*(1-VLOOKUP($A173,[1]Hugst!$R$5:$W$9,MATCH(ROUNDUP((S$1)/10,0)*10,[1]Hugst!$R$4:$W$4,0))))</f>
        <v>106.27703271431785</v>
      </c>
      <c r="T173">
        <f ca="1">IF($C173-T$1&lt;År1,0,S172*(1-VLOOKUP($A173,[1]Hugst!$R$5:$W$9,MATCH(ROUNDUP((T$1)/10,0)*10,[1]Hugst!$R$4:$W$4,0))))</f>
        <v>106.4346267233563</v>
      </c>
      <c r="U173">
        <f ca="1">IF($C173-U$1&lt;År1,0,T172*(1-VLOOKUP($A173,[1]Hugst!$R$5:$W$9,MATCH(ROUNDUP((U$1)/10,0)*10,[1]Hugst!$R$4:$W$4,0))))</f>
        <v>106.59301266208753</v>
      </c>
      <c r="V173">
        <f ca="1">IF($C173-V$1&lt;År1,0,U172*(1-VLOOKUP($A173,[1]Hugst!$R$5:$W$9,MATCH(ROUNDUP((V$1)/10,0)*10,[1]Hugst!$R$4:$W$4,0))))</f>
        <v>106.75219451005873</v>
      </c>
      <c r="W173">
        <f>IF($C173-W$1&lt;År1,0,V172*(1-VLOOKUP($A173,[1]Hugst!$R$5:$W$9,MATCH(ROUNDUP((W$1)/10,0)*10,[1]Hugst!$R$4:$W$4,0))))</f>
        <v>0</v>
      </c>
      <c r="X173">
        <f>IF($C173-X$1&lt;År1,0,W172*(1-VLOOKUP($A173,[1]Hugst!$R$5:$W$9,MATCH(ROUNDUP((X$1)/10,0)*10,[1]Hugst!$R$4:$W$4,0))))</f>
        <v>0</v>
      </c>
      <c r="Y173">
        <f>IF($C173-Y$1&lt;År1,0,X172*(1-VLOOKUP($A173,[1]Hugst!$R$5:$W$9,MATCH(ROUNDUP((Y$1)/10,0)*10,[1]Hugst!$R$4:$W$4,0))))</f>
        <v>0</v>
      </c>
      <c r="Z173">
        <f>IF($C173-Z$1&lt;År1,0,Y172*(1-VLOOKUP($A173,[1]Hugst!$R$5:$W$9,MATCH(ROUNDUP((Z$1)/10,0)*10,[1]Hugst!$R$4:$W$4,0))))</f>
        <v>0</v>
      </c>
      <c r="AA173">
        <f>IF($C173-AA$1&lt;År1,0,Z172*(1-VLOOKUP($A173,[1]Hugst!$R$5:$W$9,MATCH(ROUNDUP((AA$1)/10,0)*10,[1]Hugst!$R$4:$W$4,0))))</f>
        <v>0</v>
      </c>
      <c r="AB173">
        <f>IF($C173-AB$1&lt;År1,0,AA172*(1-VLOOKUP($A173,[1]Hugst!$R$5:$W$9,MATCH(ROUNDUP((AB$1)/10,0)*10,[1]Hugst!$R$4:$W$4,0))))</f>
        <v>0</v>
      </c>
      <c r="AC173">
        <f>IF($C173-AC$1&lt;År1,0,AB172*(1-VLOOKUP($A173,[1]Hugst!$R$5:$W$9,MATCH(ROUNDUP((AC$1)/10,0)*10,[1]Hugst!$R$4:$W$4,0))))</f>
        <v>0</v>
      </c>
      <c r="AD173">
        <f>IF($C173-AD$1&lt;År1,0,AC172*(1-VLOOKUP($A173,[1]Hugst!$R$5:$W$9,MATCH(ROUNDUP((AD$1)/10,0)*10,[1]Hugst!$R$4:$W$4,0))))</f>
        <v>0</v>
      </c>
      <c r="AE173">
        <f>IF($C173-AE$1&lt;År1,0,AD172*(1-VLOOKUP($A173,[1]Hugst!$R$5:$W$9,MATCH(ROUNDUP((AE$1)/10,0)*10,[1]Hugst!$R$4:$W$4,0))))</f>
        <v>0</v>
      </c>
      <c r="AF173">
        <f>IF($C173-AF$1&lt;År1,0,AE172*(1-VLOOKUP($A173,[1]Hugst!$R$5:$W$9,MATCH(ROUNDUP((AF$1)/10,0)*10,[1]Hugst!$R$4:$W$4,0))))</f>
        <v>0</v>
      </c>
      <c r="AG173">
        <f>IF($C173-AG$1&lt;År1,0,AF172*(1-VLOOKUP($A173,[1]Hugst!$R$5:$W$9,MATCH(ROUNDUP((AG$1)/10,0)*10,[1]Hugst!$R$4:$W$4,0))))</f>
        <v>0</v>
      </c>
      <c r="AH173">
        <f>IF($C173-AH$1&lt;År1,0,AG172*(1-VLOOKUP($A173,[1]Hugst!$R$5:$W$9,MATCH(ROUNDUP((AH$1)/10,0)*10,[1]Hugst!$R$4:$W$4,0))))</f>
        <v>0</v>
      </c>
      <c r="AI173">
        <f>IF($C173-AI$1&lt;År1,0,AH172*(1-VLOOKUP($A173,[1]Hugst!$R$5:$W$9,MATCH(ROUNDUP((AI$1)/10,0)*10,[1]Hugst!$R$4:$W$4,0))))</f>
        <v>0</v>
      </c>
      <c r="AJ173">
        <f>IF($C173-AJ$1&lt;År1,0,AI172*(1-VLOOKUP($A173,[1]Hugst!$R$5:$W$9,MATCH(ROUNDUP((AJ$1)/10,0)*10,[1]Hugst!$R$4:$W$4,0))))</f>
        <v>0</v>
      </c>
    </row>
    <row r="174" spans="1:36" x14ac:dyDescent="0.25">
      <c r="A174" t="s">
        <v>178</v>
      </c>
      <c r="B174" t="s">
        <v>24</v>
      </c>
      <c r="C174">
        <v>2037</v>
      </c>
      <c r="D174" cm="1">
        <f t="array" ref="D174">(IF(B174="Vestdanmark",Skovbrug!$C$22-(Skovbrug!$C$22)*(1-Skovbrug!$C$9)^(C174-Skovbrug!$B$12),Skovbrug!$F$22-(Skovbrug!$F$22)*(1-Skovbrug!$C$9)^(C174-Skovbrug!$B$12)))*VLOOKUP(A174,Skovbrug!$A$13:$D$17,IF('Skovbrug-alder'!C174&lt;=År2,3,4),FALSE)
-IF(C174&gt;2020,SUM(INDEX($C$1:$D$311,MATCH(1,(2020=$C$1:$C$311)*(B174=$B$1:$B$311)*(A174=$A$1:$A$311),0),2):D173),0)</f>
        <v>29.235862491001171</v>
      </c>
      <c r="E174">
        <f t="shared" ca="1" si="3"/>
        <v>0</v>
      </c>
      <c r="F174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70.439566194704895</v>
      </c>
      <c r="G174">
        <f ca="1">IF($C174-G$1&lt;År1,0,F173*(1-VLOOKUP($A174,[1]Hugst!$R$5:$W$9,MATCH(ROUNDUP((G$1)/10,0)*10,[1]Hugst!$R$4:$W$4,0))))</f>
        <v>70.586480076568961</v>
      </c>
      <c r="H174">
        <f ca="1">IF($C174-H$1&lt;År1,0,G173*(1-VLOOKUP($A174,[1]Hugst!$R$5:$W$9,MATCH(ROUNDUP((H$1)/10,0)*10,[1]Hugst!$R$4:$W$4,0))))</f>
        <v>70.734132219146801</v>
      </c>
      <c r="I174">
        <f ca="1">IF($C174-I$1&lt;År1,0,H173*(1-VLOOKUP($A174,[1]Hugst!$R$5:$W$9,MATCH(ROUNDUP((I$1)/10,0)*10,[1]Hugst!$R$4:$W$4,0))))</f>
        <v>70.882526332289189</v>
      </c>
      <c r="J174">
        <f ca="1">IF($C174-J$1&lt;År1,0,I173*(1-VLOOKUP($A174,[1]Hugst!$R$5:$W$9,MATCH(ROUNDUP((J$1)/10,0)*10,[1]Hugst!$R$4:$W$4,0))))</f>
        <v>71.031666144492959</v>
      </c>
      <c r="K174">
        <f ca="1">IF($C174-K$1&lt;År1,0,J173*(1-VLOOKUP($A174,[1]Hugst!$R$5:$W$9,MATCH(ROUNDUP((K$1)/10,0)*10,[1]Hugst!$R$4:$W$4,0))))</f>
        <v>71.181555402989858</v>
      </c>
      <c r="L174">
        <f ca="1">IF($C174-L$1&lt;År1,0,K173*(1-VLOOKUP($A174,[1]Hugst!$R$5:$W$9,MATCH(ROUNDUP((L$1)/10,0)*10,[1]Hugst!$R$4:$W$4,0))))</f>
        <v>71.332197873839419</v>
      </c>
      <c r="M174">
        <f ca="1">IF($C174-M$1&lt;År1,0,L173*(1-VLOOKUP($A174,[1]Hugst!$R$5:$W$9,MATCH(ROUNDUP((M$1)/10,0)*10,[1]Hugst!$R$4:$W$4,0))))</f>
        <v>105.19571855415381</v>
      </c>
      <c r="N174">
        <f ca="1">IF($C174-N$1&lt;År1,0,M173*(1-VLOOKUP($A174,[1]Hugst!$R$5:$W$9,MATCH(ROUNDUP((N$1)/10,0)*10,[1]Hugst!$R$4:$W$4,0))))</f>
        <v>105.34787882369238</v>
      </c>
      <c r="O174">
        <f ca="1">IF($C174-O$1&lt;År1,0,N173*(1-VLOOKUP($A174,[1]Hugst!$R$5:$W$9,MATCH(ROUNDUP((O$1)/10,0)*10,[1]Hugst!$R$4:$W$4,0))))</f>
        <v>105.50080371770207</v>
      </c>
      <c r="P174">
        <f ca="1">IF($C174-P$1&lt;År1,0,O173*(1-VLOOKUP($A174,[1]Hugst!$R$5:$W$9,MATCH(ROUNDUP((P$1)/10,0)*10,[1]Hugst!$R$4:$W$4,0))))</f>
        <v>105.65449707851479</v>
      </c>
      <c r="Q174">
        <f ca="1">IF($C174-Q$1&lt;År1,0,P173*(1-VLOOKUP($A174,[1]Hugst!$R$5:$W$9,MATCH(ROUNDUP((Q$1)/10,0)*10,[1]Hugst!$R$4:$W$4,0))))</f>
        <v>105.80896276777605</v>
      </c>
      <c r="R174">
        <f ca="1">IF($C174-R$1&lt;År1,0,Q173*(1-VLOOKUP($A174,[1]Hugst!$R$5:$W$9,MATCH(ROUNDUP((R$1)/10,0)*10,[1]Hugst!$R$4:$W$4,0))))</f>
        <v>105.96420466652819</v>
      </c>
      <c r="S174">
        <f ca="1">IF($C174-S$1&lt;År1,0,R173*(1-VLOOKUP($A174,[1]Hugst!$R$5:$W$9,MATCH(ROUNDUP((S$1)/10,0)*10,[1]Hugst!$R$4:$W$4,0))))</f>
        <v>106.12022667532625</v>
      </c>
      <c r="T174">
        <f ca="1">IF($C174-T$1&lt;År1,0,S173*(1-VLOOKUP($A174,[1]Hugst!$R$5:$W$9,MATCH(ROUNDUP((T$1)/10,0)*10,[1]Hugst!$R$4:$W$4,0))))</f>
        <v>106.27703271431785</v>
      </c>
      <c r="U174">
        <f ca="1">IF($C174-U$1&lt;År1,0,T173*(1-VLOOKUP($A174,[1]Hugst!$R$5:$W$9,MATCH(ROUNDUP((U$1)/10,0)*10,[1]Hugst!$R$4:$W$4,0))))</f>
        <v>106.4346267233563</v>
      </c>
      <c r="V174">
        <f ca="1">IF($C174-V$1&lt;År1,0,U173*(1-VLOOKUP($A174,[1]Hugst!$R$5:$W$9,MATCH(ROUNDUP((V$1)/10,0)*10,[1]Hugst!$R$4:$W$4,0))))</f>
        <v>106.59301266208753</v>
      </c>
      <c r="W174">
        <f ca="1">IF($C174-W$1&lt;År1,0,V173*(1-VLOOKUP($A174,[1]Hugst!$R$5:$W$9,MATCH(ROUNDUP((W$1)/10,0)*10,[1]Hugst!$R$4:$W$4,0))))</f>
        <v>106.75219451005873</v>
      </c>
      <c r="X174">
        <f>IF($C174-X$1&lt;År1,0,W173*(1-VLOOKUP($A174,[1]Hugst!$R$5:$W$9,MATCH(ROUNDUP((X$1)/10,0)*10,[1]Hugst!$R$4:$W$4,0))))</f>
        <v>0</v>
      </c>
      <c r="Y174">
        <f>IF($C174-Y$1&lt;År1,0,X173*(1-VLOOKUP($A174,[1]Hugst!$R$5:$W$9,MATCH(ROUNDUP((Y$1)/10,0)*10,[1]Hugst!$R$4:$W$4,0))))</f>
        <v>0</v>
      </c>
      <c r="Z174">
        <f>IF($C174-Z$1&lt;År1,0,Y173*(1-VLOOKUP($A174,[1]Hugst!$R$5:$W$9,MATCH(ROUNDUP((Z$1)/10,0)*10,[1]Hugst!$R$4:$W$4,0))))</f>
        <v>0</v>
      </c>
      <c r="AA174">
        <f>IF($C174-AA$1&lt;År1,0,Z173*(1-VLOOKUP($A174,[1]Hugst!$R$5:$W$9,MATCH(ROUNDUP((AA$1)/10,0)*10,[1]Hugst!$R$4:$W$4,0))))</f>
        <v>0</v>
      </c>
      <c r="AB174">
        <f>IF($C174-AB$1&lt;År1,0,AA173*(1-VLOOKUP($A174,[1]Hugst!$R$5:$W$9,MATCH(ROUNDUP((AB$1)/10,0)*10,[1]Hugst!$R$4:$W$4,0))))</f>
        <v>0</v>
      </c>
      <c r="AC174">
        <f>IF($C174-AC$1&lt;År1,0,AB173*(1-VLOOKUP($A174,[1]Hugst!$R$5:$W$9,MATCH(ROUNDUP((AC$1)/10,0)*10,[1]Hugst!$R$4:$W$4,0))))</f>
        <v>0</v>
      </c>
      <c r="AD174">
        <f>IF($C174-AD$1&lt;År1,0,AC173*(1-VLOOKUP($A174,[1]Hugst!$R$5:$W$9,MATCH(ROUNDUP((AD$1)/10,0)*10,[1]Hugst!$R$4:$W$4,0))))</f>
        <v>0</v>
      </c>
      <c r="AE174">
        <f>IF($C174-AE$1&lt;År1,0,AD173*(1-VLOOKUP($A174,[1]Hugst!$R$5:$W$9,MATCH(ROUNDUP((AE$1)/10,0)*10,[1]Hugst!$R$4:$W$4,0))))</f>
        <v>0</v>
      </c>
      <c r="AF174">
        <f>IF($C174-AF$1&lt;År1,0,AE173*(1-VLOOKUP($A174,[1]Hugst!$R$5:$W$9,MATCH(ROUNDUP((AF$1)/10,0)*10,[1]Hugst!$R$4:$W$4,0))))</f>
        <v>0</v>
      </c>
      <c r="AG174">
        <f>IF($C174-AG$1&lt;År1,0,AF173*(1-VLOOKUP($A174,[1]Hugst!$R$5:$W$9,MATCH(ROUNDUP((AG$1)/10,0)*10,[1]Hugst!$R$4:$W$4,0))))</f>
        <v>0</v>
      </c>
      <c r="AH174">
        <f>IF($C174-AH$1&lt;År1,0,AG173*(1-VLOOKUP($A174,[1]Hugst!$R$5:$W$9,MATCH(ROUNDUP((AH$1)/10,0)*10,[1]Hugst!$R$4:$W$4,0))))</f>
        <v>0</v>
      </c>
      <c r="AI174">
        <f>IF($C174-AI$1&lt;År1,0,AH173*(1-VLOOKUP($A174,[1]Hugst!$R$5:$W$9,MATCH(ROUNDUP((AI$1)/10,0)*10,[1]Hugst!$R$4:$W$4,0))))</f>
        <v>0</v>
      </c>
      <c r="AJ174">
        <f>IF($C174-AJ$1&lt;År1,0,AI173*(1-VLOOKUP($A174,[1]Hugst!$R$5:$W$9,MATCH(ROUNDUP((AJ$1)/10,0)*10,[1]Hugst!$R$4:$W$4,0))))</f>
        <v>0</v>
      </c>
    </row>
    <row r="175" spans="1:36" x14ac:dyDescent="0.25">
      <c r="A175" t="s">
        <v>178</v>
      </c>
      <c r="B175" t="s">
        <v>24</v>
      </c>
      <c r="C175">
        <v>2038</v>
      </c>
      <c r="D175" cm="1">
        <f t="array" ref="D175">(IF(B175="Vestdanmark",Skovbrug!$C$22-(Skovbrug!$C$22)*(1-Skovbrug!$C$9)^(C175-Skovbrug!$B$12),Skovbrug!$F$22-(Skovbrug!$F$22)*(1-Skovbrug!$C$9)^(C175-Skovbrug!$B$12)))*VLOOKUP(A175,Skovbrug!$A$13:$D$17,IF('Skovbrug-alder'!C175&lt;=År2,3,4),FALSE)
-IF(C175&gt;2020,SUM(INDEX($C$1:$D$311,MATCH(1,(2020=$C$1:$C$311)*(B175=$B$1:$B$311)*(A175=$A$1:$A$311),0),2):D174),0)</f>
        <v>29.089683178546693</v>
      </c>
      <c r="E175">
        <f t="shared" ca="1" si="3"/>
        <v>0</v>
      </c>
      <c r="F175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70.293386882250417</v>
      </c>
      <c r="G175">
        <f ca="1">IF($C175-G$1&lt;År1,0,F174*(1-VLOOKUP($A175,[1]Hugst!$R$5:$W$9,MATCH(ROUNDUP((G$1)/10,0)*10,[1]Hugst!$R$4:$W$4,0))))</f>
        <v>70.439566194704895</v>
      </c>
      <c r="H175">
        <f ca="1">IF($C175-H$1&lt;År1,0,G174*(1-VLOOKUP($A175,[1]Hugst!$R$5:$W$9,MATCH(ROUNDUP((H$1)/10,0)*10,[1]Hugst!$R$4:$W$4,0))))</f>
        <v>70.586480076568961</v>
      </c>
      <c r="I175">
        <f ca="1">IF($C175-I$1&lt;År1,0,H174*(1-VLOOKUP($A175,[1]Hugst!$R$5:$W$9,MATCH(ROUNDUP((I$1)/10,0)*10,[1]Hugst!$R$4:$W$4,0))))</f>
        <v>70.734132219146801</v>
      </c>
      <c r="J175">
        <f ca="1">IF($C175-J$1&lt;År1,0,I174*(1-VLOOKUP($A175,[1]Hugst!$R$5:$W$9,MATCH(ROUNDUP((J$1)/10,0)*10,[1]Hugst!$R$4:$W$4,0))))</f>
        <v>70.882526332289189</v>
      </c>
      <c r="K175">
        <f ca="1">IF($C175-K$1&lt;År1,0,J174*(1-VLOOKUP($A175,[1]Hugst!$R$5:$W$9,MATCH(ROUNDUP((K$1)/10,0)*10,[1]Hugst!$R$4:$W$4,0))))</f>
        <v>71.031666144492959</v>
      </c>
      <c r="L175">
        <f ca="1">IF($C175-L$1&lt;År1,0,K174*(1-VLOOKUP($A175,[1]Hugst!$R$5:$W$9,MATCH(ROUNDUP((L$1)/10,0)*10,[1]Hugst!$R$4:$W$4,0))))</f>
        <v>71.181555402989858</v>
      </c>
      <c r="M175">
        <f ca="1">IF($C175-M$1&lt;År1,0,L174*(1-VLOOKUP($A175,[1]Hugst!$R$5:$W$9,MATCH(ROUNDUP((M$1)/10,0)*10,[1]Hugst!$R$4:$W$4,0))))</f>
        <v>71.332197873839419</v>
      </c>
      <c r="N175">
        <f ca="1">IF($C175-N$1&lt;År1,0,M174*(1-VLOOKUP($A175,[1]Hugst!$R$5:$W$9,MATCH(ROUNDUP((N$1)/10,0)*10,[1]Hugst!$R$4:$W$4,0))))</f>
        <v>105.19571855415381</v>
      </c>
      <c r="O175">
        <f ca="1">IF($C175-O$1&lt;År1,0,N174*(1-VLOOKUP($A175,[1]Hugst!$R$5:$W$9,MATCH(ROUNDUP((O$1)/10,0)*10,[1]Hugst!$R$4:$W$4,0))))</f>
        <v>105.34787882369238</v>
      </c>
      <c r="P175">
        <f ca="1">IF($C175-P$1&lt;År1,0,O174*(1-VLOOKUP($A175,[1]Hugst!$R$5:$W$9,MATCH(ROUNDUP((P$1)/10,0)*10,[1]Hugst!$R$4:$W$4,0))))</f>
        <v>105.50080371770207</v>
      </c>
      <c r="Q175">
        <f ca="1">IF($C175-Q$1&lt;År1,0,P174*(1-VLOOKUP($A175,[1]Hugst!$R$5:$W$9,MATCH(ROUNDUP((Q$1)/10,0)*10,[1]Hugst!$R$4:$W$4,0))))</f>
        <v>105.65449707851479</v>
      </c>
      <c r="R175">
        <f ca="1">IF($C175-R$1&lt;År1,0,Q174*(1-VLOOKUP($A175,[1]Hugst!$R$5:$W$9,MATCH(ROUNDUP((R$1)/10,0)*10,[1]Hugst!$R$4:$W$4,0))))</f>
        <v>105.80896276777605</v>
      </c>
      <c r="S175">
        <f ca="1">IF($C175-S$1&lt;År1,0,R174*(1-VLOOKUP($A175,[1]Hugst!$R$5:$W$9,MATCH(ROUNDUP((S$1)/10,0)*10,[1]Hugst!$R$4:$W$4,0))))</f>
        <v>105.96420466652819</v>
      </c>
      <c r="T175">
        <f ca="1">IF($C175-T$1&lt;År1,0,S174*(1-VLOOKUP($A175,[1]Hugst!$R$5:$W$9,MATCH(ROUNDUP((T$1)/10,0)*10,[1]Hugst!$R$4:$W$4,0))))</f>
        <v>106.12022667532625</v>
      </c>
      <c r="U175">
        <f ca="1">IF($C175-U$1&lt;År1,0,T174*(1-VLOOKUP($A175,[1]Hugst!$R$5:$W$9,MATCH(ROUNDUP((U$1)/10,0)*10,[1]Hugst!$R$4:$W$4,0))))</f>
        <v>106.27703271431785</v>
      </c>
      <c r="V175">
        <f ca="1">IF($C175-V$1&lt;År1,0,U174*(1-VLOOKUP($A175,[1]Hugst!$R$5:$W$9,MATCH(ROUNDUP((V$1)/10,0)*10,[1]Hugst!$R$4:$W$4,0))))</f>
        <v>106.4346267233563</v>
      </c>
      <c r="W175">
        <f ca="1">IF($C175-W$1&lt;År1,0,V174*(1-VLOOKUP($A175,[1]Hugst!$R$5:$W$9,MATCH(ROUNDUP((W$1)/10,0)*10,[1]Hugst!$R$4:$W$4,0))))</f>
        <v>106.59301266208753</v>
      </c>
      <c r="X175">
        <f ca="1">IF($C175-X$1&lt;År1,0,W174*(1-VLOOKUP($A175,[1]Hugst!$R$5:$W$9,MATCH(ROUNDUP((X$1)/10,0)*10,[1]Hugst!$R$4:$W$4,0))))</f>
        <v>106.75219451005873</v>
      </c>
      <c r="Y175">
        <f>IF($C175-Y$1&lt;År1,0,X174*(1-VLOOKUP($A175,[1]Hugst!$R$5:$W$9,MATCH(ROUNDUP((Y$1)/10,0)*10,[1]Hugst!$R$4:$W$4,0))))</f>
        <v>0</v>
      </c>
      <c r="Z175">
        <f>IF($C175-Z$1&lt;År1,0,Y174*(1-VLOOKUP($A175,[1]Hugst!$R$5:$W$9,MATCH(ROUNDUP((Z$1)/10,0)*10,[1]Hugst!$R$4:$W$4,0))))</f>
        <v>0</v>
      </c>
      <c r="AA175">
        <f>IF($C175-AA$1&lt;År1,0,Z174*(1-VLOOKUP($A175,[1]Hugst!$R$5:$W$9,MATCH(ROUNDUP((AA$1)/10,0)*10,[1]Hugst!$R$4:$W$4,0))))</f>
        <v>0</v>
      </c>
      <c r="AB175">
        <f>IF($C175-AB$1&lt;År1,0,AA174*(1-VLOOKUP($A175,[1]Hugst!$R$5:$W$9,MATCH(ROUNDUP((AB$1)/10,0)*10,[1]Hugst!$R$4:$W$4,0))))</f>
        <v>0</v>
      </c>
      <c r="AC175">
        <f>IF($C175-AC$1&lt;År1,0,AB174*(1-VLOOKUP($A175,[1]Hugst!$R$5:$W$9,MATCH(ROUNDUP((AC$1)/10,0)*10,[1]Hugst!$R$4:$W$4,0))))</f>
        <v>0</v>
      </c>
      <c r="AD175">
        <f>IF($C175-AD$1&lt;År1,0,AC174*(1-VLOOKUP($A175,[1]Hugst!$R$5:$W$9,MATCH(ROUNDUP((AD$1)/10,0)*10,[1]Hugst!$R$4:$W$4,0))))</f>
        <v>0</v>
      </c>
      <c r="AE175">
        <f>IF($C175-AE$1&lt;År1,0,AD174*(1-VLOOKUP($A175,[1]Hugst!$R$5:$W$9,MATCH(ROUNDUP((AE$1)/10,0)*10,[1]Hugst!$R$4:$W$4,0))))</f>
        <v>0</v>
      </c>
      <c r="AF175">
        <f>IF($C175-AF$1&lt;År1,0,AE174*(1-VLOOKUP($A175,[1]Hugst!$R$5:$W$9,MATCH(ROUNDUP((AF$1)/10,0)*10,[1]Hugst!$R$4:$W$4,0))))</f>
        <v>0</v>
      </c>
      <c r="AG175">
        <f>IF($C175-AG$1&lt;År1,0,AF174*(1-VLOOKUP($A175,[1]Hugst!$R$5:$W$9,MATCH(ROUNDUP((AG$1)/10,0)*10,[1]Hugst!$R$4:$W$4,0))))</f>
        <v>0</v>
      </c>
      <c r="AH175">
        <f>IF($C175-AH$1&lt;År1,0,AG174*(1-VLOOKUP($A175,[1]Hugst!$R$5:$W$9,MATCH(ROUNDUP((AH$1)/10,0)*10,[1]Hugst!$R$4:$W$4,0))))</f>
        <v>0</v>
      </c>
      <c r="AI175">
        <f>IF($C175-AI$1&lt;År1,0,AH174*(1-VLOOKUP($A175,[1]Hugst!$R$5:$W$9,MATCH(ROUNDUP((AI$1)/10,0)*10,[1]Hugst!$R$4:$W$4,0))))</f>
        <v>0</v>
      </c>
      <c r="AJ175">
        <f>IF($C175-AJ$1&lt;År1,0,AI174*(1-VLOOKUP($A175,[1]Hugst!$R$5:$W$9,MATCH(ROUNDUP((AJ$1)/10,0)*10,[1]Hugst!$R$4:$W$4,0))))</f>
        <v>0</v>
      </c>
    </row>
    <row r="176" spans="1:36" x14ac:dyDescent="0.25">
      <c r="A176" t="s">
        <v>178</v>
      </c>
      <c r="B176" t="s">
        <v>24</v>
      </c>
      <c r="C176">
        <v>2039</v>
      </c>
      <c r="D176" cm="1">
        <f t="array" ref="D176">(IF(B176="Vestdanmark",Skovbrug!$C$22-(Skovbrug!$C$22)*(1-Skovbrug!$C$9)^(C176-Skovbrug!$B$12),Skovbrug!$F$22-(Skovbrug!$F$22)*(1-Skovbrug!$C$9)^(C176-Skovbrug!$B$12)))*VLOOKUP(A176,Skovbrug!$A$13:$D$17,IF('Skovbrug-alder'!C176&lt;=År2,3,4),FALSE)
-IF(C176&gt;2020,SUM(INDEX($C$1:$D$311,MATCH(1,(2020=$C$1:$C$311)*(B176=$B$1:$B$311)*(A176=$A$1:$A$311),0),2):D175),0)</f>
        <v>28.944234762652854</v>
      </c>
      <c r="E176">
        <f t="shared" ca="1" si="3"/>
        <v>0</v>
      </c>
      <c r="F176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70.147938466356578</v>
      </c>
      <c r="G176">
        <f ca="1">IF($C176-G$1&lt;År1,0,F175*(1-VLOOKUP($A176,[1]Hugst!$R$5:$W$9,MATCH(ROUNDUP((G$1)/10,0)*10,[1]Hugst!$R$4:$W$4,0))))</f>
        <v>70.293386882250417</v>
      </c>
      <c r="H176">
        <f ca="1">IF($C176-H$1&lt;År1,0,G175*(1-VLOOKUP($A176,[1]Hugst!$R$5:$W$9,MATCH(ROUNDUP((H$1)/10,0)*10,[1]Hugst!$R$4:$W$4,0))))</f>
        <v>70.439566194704895</v>
      </c>
      <c r="I176">
        <f ca="1">IF($C176-I$1&lt;År1,0,H175*(1-VLOOKUP($A176,[1]Hugst!$R$5:$W$9,MATCH(ROUNDUP((I$1)/10,0)*10,[1]Hugst!$R$4:$W$4,0))))</f>
        <v>70.586480076568961</v>
      </c>
      <c r="J176">
        <f ca="1">IF($C176-J$1&lt;År1,0,I175*(1-VLOOKUP($A176,[1]Hugst!$R$5:$W$9,MATCH(ROUNDUP((J$1)/10,0)*10,[1]Hugst!$R$4:$W$4,0))))</f>
        <v>70.734132219146801</v>
      </c>
      <c r="K176">
        <f ca="1">IF($C176-K$1&lt;År1,0,J175*(1-VLOOKUP($A176,[1]Hugst!$R$5:$W$9,MATCH(ROUNDUP((K$1)/10,0)*10,[1]Hugst!$R$4:$W$4,0))))</f>
        <v>70.882526332289189</v>
      </c>
      <c r="L176">
        <f ca="1">IF($C176-L$1&lt;År1,0,K175*(1-VLOOKUP($A176,[1]Hugst!$R$5:$W$9,MATCH(ROUNDUP((L$1)/10,0)*10,[1]Hugst!$R$4:$W$4,0))))</f>
        <v>71.031666144492959</v>
      </c>
      <c r="M176">
        <f ca="1">IF($C176-M$1&lt;År1,0,L175*(1-VLOOKUP($A176,[1]Hugst!$R$5:$W$9,MATCH(ROUNDUP((M$1)/10,0)*10,[1]Hugst!$R$4:$W$4,0))))</f>
        <v>71.181555402989858</v>
      </c>
      <c r="N176">
        <f ca="1">IF($C176-N$1&lt;År1,0,M175*(1-VLOOKUP($A176,[1]Hugst!$R$5:$W$9,MATCH(ROUNDUP((N$1)/10,0)*10,[1]Hugst!$R$4:$W$4,0))))</f>
        <v>71.332197873839419</v>
      </c>
      <c r="O176">
        <f ca="1">IF($C176-O$1&lt;År1,0,N175*(1-VLOOKUP($A176,[1]Hugst!$R$5:$W$9,MATCH(ROUNDUP((O$1)/10,0)*10,[1]Hugst!$R$4:$W$4,0))))</f>
        <v>105.19571855415381</v>
      </c>
      <c r="P176">
        <f ca="1">IF($C176-P$1&lt;År1,0,O175*(1-VLOOKUP($A176,[1]Hugst!$R$5:$W$9,MATCH(ROUNDUP((P$1)/10,0)*10,[1]Hugst!$R$4:$W$4,0))))</f>
        <v>105.34787882369238</v>
      </c>
      <c r="Q176">
        <f ca="1">IF($C176-Q$1&lt;År1,0,P175*(1-VLOOKUP($A176,[1]Hugst!$R$5:$W$9,MATCH(ROUNDUP((Q$1)/10,0)*10,[1]Hugst!$R$4:$W$4,0))))</f>
        <v>105.50080371770207</v>
      </c>
      <c r="R176">
        <f ca="1">IF($C176-R$1&lt;År1,0,Q175*(1-VLOOKUP($A176,[1]Hugst!$R$5:$W$9,MATCH(ROUNDUP((R$1)/10,0)*10,[1]Hugst!$R$4:$W$4,0))))</f>
        <v>105.65449707851479</v>
      </c>
      <c r="S176">
        <f ca="1">IF($C176-S$1&lt;År1,0,R175*(1-VLOOKUP($A176,[1]Hugst!$R$5:$W$9,MATCH(ROUNDUP((S$1)/10,0)*10,[1]Hugst!$R$4:$W$4,0))))</f>
        <v>105.80896276777605</v>
      </c>
      <c r="T176">
        <f ca="1">IF($C176-T$1&lt;År1,0,S175*(1-VLOOKUP($A176,[1]Hugst!$R$5:$W$9,MATCH(ROUNDUP((T$1)/10,0)*10,[1]Hugst!$R$4:$W$4,0))))</f>
        <v>105.96420466652819</v>
      </c>
      <c r="U176">
        <f ca="1">IF($C176-U$1&lt;År1,0,T175*(1-VLOOKUP($A176,[1]Hugst!$R$5:$W$9,MATCH(ROUNDUP((U$1)/10,0)*10,[1]Hugst!$R$4:$W$4,0))))</f>
        <v>106.12022667532625</v>
      </c>
      <c r="V176">
        <f ca="1">IF($C176-V$1&lt;År1,0,U175*(1-VLOOKUP($A176,[1]Hugst!$R$5:$W$9,MATCH(ROUNDUP((V$1)/10,0)*10,[1]Hugst!$R$4:$W$4,0))))</f>
        <v>106.27703271431785</v>
      </c>
      <c r="W176">
        <f ca="1">IF($C176-W$1&lt;År1,0,V175*(1-VLOOKUP($A176,[1]Hugst!$R$5:$W$9,MATCH(ROUNDUP((W$1)/10,0)*10,[1]Hugst!$R$4:$W$4,0))))</f>
        <v>106.4346267233563</v>
      </c>
      <c r="X176">
        <f ca="1">IF($C176-X$1&lt;År1,0,W175*(1-VLOOKUP($A176,[1]Hugst!$R$5:$W$9,MATCH(ROUNDUP((X$1)/10,0)*10,[1]Hugst!$R$4:$W$4,0))))</f>
        <v>106.59301266208753</v>
      </c>
      <c r="Y176">
        <f ca="1">IF($C176-Y$1&lt;År1,0,X175*(1-VLOOKUP($A176,[1]Hugst!$R$5:$W$9,MATCH(ROUNDUP((Y$1)/10,0)*10,[1]Hugst!$R$4:$W$4,0))))</f>
        <v>106.75219451005873</v>
      </c>
      <c r="Z176">
        <f>IF($C176-Z$1&lt;År1,0,Y175*(1-VLOOKUP($A176,[1]Hugst!$R$5:$W$9,MATCH(ROUNDUP((Z$1)/10,0)*10,[1]Hugst!$R$4:$W$4,0))))</f>
        <v>0</v>
      </c>
      <c r="AA176">
        <f>IF($C176-AA$1&lt;År1,0,Z175*(1-VLOOKUP($A176,[1]Hugst!$R$5:$W$9,MATCH(ROUNDUP((AA$1)/10,0)*10,[1]Hugst!$R$4:$W$4,0))))</f>
        <v>0</v>
      </c>
      <c r="AB176">
        <f>IF($C176-AB$1&lt;År1,0,AA175*(1-VLOOKUP($A176,[1]Hugst!$R$5:$W$9,MATCH(ROUNDUP((AB$1)/10,0)*10,[1]Hugst!$R$4:$W$4,0))))</f>
        <v>0</v>
      </c>
      <c r="AC176">
        <f>IF($C176-AC$1&lt;År1,0,AB175*(1-VLOOKUP($A176,[1]Hugst!$R$5:$W$9,MATCH(ROUNDUP((AC$1)/10,0)*10,[1]Hugst!$R$4:$W$4,0))))</f>
        <v>0</v>
      </c>
      <c r="AD176">
        <f>IF($C176-AD$1&lt;År1,0,AC175*(1-VLOOKUP($A176,[1]Hugst!$R$5:$W$9,MATCH(ROUNDUP((AD$1)/10,0)*10,[1]Hugst!$R$4:$W$4,0))))</f>
        <v>0</v>
      </c>
      <c r="AE176">
        <f>IF($C176-AE$1&lt;År1,0,AD175*(1-VLOOKUP($A176,[1]Hugst!$R$5:$W$9,MATCH(ROUNDUP((AE$1)/10,0)*10,[1]Hugst!$R$4:$W$4,0))))</f>
        <v>0</v>
      </c>
      <c r="AF176">
        <f>IF($C176-AF$1&lt;År1,0,AE175*(1-VLOOKUP($A176,[1]Hugst!$R$5:$W$9,MATCH(ROUNDUP((AF$1)/10,0)*10,[1]Hugst!$R$4:$W$4,0))))</f>
        <v>0</v>
      </c>
      <c r="AG176">
        <f>IF($C176-AG$1&lt;År1,0,AF175*(1-VLOOKUP($A176,[1]Hugst!$R$5:$W$9,MATCH(ROUNDUP((AG$1)/10,0)*10,[1]Hugst!$R$4:$W$4,0))))</f>
        <v>0</v>
      </c>
      <c r="AH176">
        <f>IF($C176-AH$1&lt;År1,0,AG175*(1-VLOOKUP($A176,[1]Hugst!$R$5:$W$9,MATCH(ROUNDUP((AH$1)/10,0)*10,[1]Hugst!$R$4:$W$4,0))))</f>
        <v>0</v>
      </c>
      <c r="AI176">
        <f>IF($C176-AI$1&lt;År1,0,AH175*(1-VLOOKUP($A176,[1]Hugst!$R$5:$W$9,MATCH(ROUNDUP((AI$1)/10,0)*10,[1]Hugst!$R$4:$W$4,0))))</f>
        <v>0</v>
      </c>
      <c r="AJ176">
        <f>IF($C176-AJ$1&lt;År1,0,AI175*(1-VLOOKUP($A176,[1]Hugst!$R$5:$W$9,MATCH(ROUNDUP((AJ$1)/10,0)*10,[1]Hugst!$R$4:$W$4,0))))</f>
        <v>0</v>
      </c>
    </row>
    <row r="177" spans="1:36" x14ac:dyDescent="0.25">
      <c r="A177" t="s">
        <v>178</v>
      </c>
      <c r="B177" t="s">
        <v>24</v>
      </c>
      <c r="C177">
        <v>2040</v>
      </c>
      <c r="D177" cm="1">
        <f t="array" ref="D177">(IF(B177="Vestdanmark",Skovbrug!$C$22-(Skovbrug!$C$22)*(1-Skovbrug!$C$9)^(C177-Skovbrug!$B$12),Skovbrug!$F$22-(Skovbrug!$F$22)*(1-Skovbrug!$C$9)^(C177-Skovbrug!$B$12)))*VLOOKUP(A177,Skovbrug!$A$13:$D$17,IF('Skovbrug-alder'!C177&lt;=År2,3,4),FALSE)
-IF(C177&gt;2020,SUM(INDEX($C$1:$D$311,MATCH(1,(2020=$C$1:$C$311)*(B177=$B$1:$B$311)*(A177=$A$1:$A$311),0),2):D176),0)</f>
        <v>28.79951358884</v>
      </c>
      <c r="E177">
        <f t="shared" ca="1" si="3"/>
        <v>0</v>
      </c>
      <c r="F177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70.003217292543724</v>
      </c>
      <c r="G177">
        <f ca="1">IF($C177-G$1&lt;År1,0,F176*(1-VLOOKUP($A177,[1]Hugst!$R$5:$W$9,MATCH(ROUNDUP((G$1)/10,0)*10,[1]Hugst!$R$4:$W$4,0))))</f>
        <v>70.147938466356578</v>
      </c>
      <c r="H177">
        <f ca="1">IF($C177-H$1&lt;År1,0,G176*(1-VLOOKUP($A177,[1]Hugst!$R$5:$W$9,MATCH(ROUNDUP((H$1)/10,0)*10,[1]Hugst!$R$4:$W$4,0))))</f>
        <v>70.293386882250417</v>
      </c>
      <c r="I177">
        <f ca="1">IF($C177-I$1&lt;År1,0,H176*(1-VLOOKUP($A177,[1]Hugst!$R$5:$W$9,MATCH(ROUNDUP((I$1)/10,0)*10,[1]Hugst!$R$4:$W$4,0))))</f>
        <v>70.439566194704895</v>
      </c>
      <c r="J177">
        <f ca="1">IF($C177-J$1&lt;År1,0,I176*(1-VLOOKUP($A177,[1]Hugst!$R$5:$W$9,MATCH(ROUNDUP((J$1)/10,0)*10,[1]Hugst!$R$4:$W$4,0))))</f>
        <v>70.586480076568961</v>
      </c>
      <c r="K177">
        <f ca="1">IF($C177-K$1&lt;År1,0,J176*(1-VLOOKUP($A177,[1]Hugst!$R$5:$W$9,MATCH(ROUNDUP((K$1)/10,0)*10,[1]Hugst!$R$4:$W$4,0))))</f>
        <v>70.734132219146801</v>
      </c>
      <c r="L177">
        <f ca="1">IF($C177-L$1&lt;År1,0,K176*(1-VLOOKUP($A177,[1]Hugst!$R$5:$W$9,MATCH(ROUNDUP((L$1)/10,0)*10,[1]Hugst!$R$4:$W$4,0))))</f>
        <v>70.882526332289189</v>
      </c>
      <c r="M177">
        <f ca="1">IF($C177-M$1&lt;År1,0,L176*(1-VLOOKUP($A177,[1]Hugst!$R$5:$W$9,MATCH(ROUNDUP((M$1)/10,0)*10,[1]Hugst!$R$4:$W$4,0))))</f>
        <v>71.031666144492959</v>
      </c>
      <c r="N177">
        <f ca="1">IF($C177-N$1&lt;År1,0,M176*(1-VLOOKUP($A177,[1]Hugst!$R$5:$W$9,MATCH(ROUNDUP((N$1)/10,0)*10,[1]Hugst!$R$4:$W$4,0))))</f>
        <v>71.181555402989858</v>
      </c>
      <c r="O177">
        <f ca="1">IF($C177-O$1&lt;År1,0,N176*(1-VLOOKUP($A177,[1]Hugst!$R$5:$W$9,MATCH(ROUNDUP((O$1)/10,0)*10,[1]Hugst!$R$4:$W$4,0))))</f>
        <v>71.332197873839419</v>
      </c>
      <c r="P177">
        <f ca="1">IF($C177-P$1&lt;År1,0,O176*(1-VLOOKUP($A177,[1]Hugst!$R$5:$W$9,MATCH(ROUNDUP((P$1)/10,0)*10,[1]Hugst!$R$4:$W$4,0))))</f>
        <v>105.19571855415381</v>
      </c>
      <c r="Q177">
        <f ca="1">IF($C177-Q$1&lt;År1,0,P176*(1-VLOOKUP($A177,[1]Hugst!$R$5:$W$9,MATCH(ROUNDUP((Q$1)/10,0)*10,[1]Hugst!$R$4:$W$4,0))))</f>
        <v>105.34787882369238</v>
      </c>
      <c r="R177">
        <f ca="1">IF($C177-R$1&lt;År1,0,Q176*(1-VLOOKUP($A177,[1]Hugst!$R$5:$W$9,MATCH(ROUNDUP((R$1)/10,0)*10,[1]Hugst!$R$4:$W$4,0))))</f>
        <v>105.50080371770207</v>
      </c>
      <c r="S177">
        <f ca="1">IF($C177-S$1&lt;År1,0,R176*(1-VLOOKUP($A177,[1]Hugst!$R$5:$W$9,MATCH(ROUNDUP((S$1)/10,0)*10,[1]Hugst!$R$4:$W$4,0))))</f>
        <v>105.65449707851479</v>
      </c>
      <c r="T177">
        <f ca="1">IF($C177-T$1&lt;År1,0,S176*(1-VLOOKUP($A177,[1]Hugst!$R$5:$W$9,MATCH(ROUNDUP((T$1)/10,0)*10,[1]Hugst!$R$4:$W$4,0))))</f>
        <v>105.80896276777605</v>
      </c>
      <c r="U177">
        <f ca="1">IF($C177-U$1&lt;År1,0,T176*(1-VLOOKUP($A177,[1]Hugst!$R$5:$W$9,MATCH(ROUNDUP((U$1)/10,0)*10,[1]Hugst!$R$4:$W$4,0))))</f>
        <v>105.96420466652819</v>
      </c>
      <c r="V177">
        <f ca="1">IF($C177-V$1&lt;År1,0,U176*(1-VLOOKUP($A177,[1]Hugst!$R$5:$W$9,MATCH(ROUNDUP((V$1)/10,0)*10,[1]Hugst!$R$4:$W$4,0))))</f>
        <v>106.12022667532625</v>
      </c>
      <c r="W177">
        <f ca="1">IF($C177-W$1&lt;År1,0,V176*(1-VLOOKUP($A177,[1]Hugst!$R$5:$W$9,MATCH(ROUNDUP((W$1)/10,0)*10,[1]Hugst!$R$4:$W$4,0))))</f>
        <v>106.27703271431785</v>
      </c>
      <c r="X177">
        <f ca="1">IF($C177-X$1&lt;År1,0,W176*(1-VLOOKUP($A177,[1]Hugst!$R$5:$W$9,MATCH(ROUNDUP((X$1)/10,0)*10,[1]Hugst!$R$4:$W$4,0))))</f>
        <v>106.4346267233563</v>
      </c>
      <c r="Y177">
        <f ca="1">IF($C177-Y$1&lt;År1,0,X176*(1-VLOOKUP($A177,[1]Hugst!$R$5:$W$9,MATCH(ROUNDUP((Y$1)/10,0)*10,[1]Hugst!$R$4:$W$4,0))))</f>
        <v>106.59301266208753</v>
      </c>
      <c r="Z177">
        <f ca="1">IF($C177-Z$1&lt;År1,0,Y176*(1-VLOOKUP($A177,[1]Hugst!$R$5:$W$9,MATCH(ROUNDUP((Z$1)/10,0)*10,[1]Hugst!$R$4:$W$4,0))))</f>
        <v>106.75219451005873</v>
      </c>
      <c r="AA177">
        <f>IF($C177-AA$1&lt;År1,0,Z176*(1-VLOOKUP($A177,[1]Hugst!$R$5:$W$9,MATCH(ROUNDUP((AA$1)/10,0)*10,[1]Hugst!$R$4:$W$4,0))))</f>
        <v>0</v>
      </c>
      <c r="AB177">
        <f>IF($C177-AB$1&lt;År1,0,AA176*(1-VLOOKUP($A177,[1]Hugst!$R$5:$W$9,MATCH(ROUNDUP((AB$1)/10,0)*10,[1]Hugst!$R$4:$W$4,0))))</f>
        <v>0</v>
      </c>
      <c r="AC177">
        <f>IF($C177-AC$1&lt;År1,0,AB176*(1-VLOOKUP($A177,[1]Hugst!$R$5:$W$9,MATCH(ROUNDUP((AC$1)/10,0)*10,[1]Hugst!$R$4:$W$4,0))))</f>
        <v>0</v>
      </c>
      <c r="AD177">
        <f>IF($C177-AD$1&lt;År1,0,AC176*(1-VLOOKUP($A177,[1]Hugst!$R$5:$W$9,MATCH(ROUNDUP((AD$1)/10,0)*10,[1]Hugst!$R$4:$W$4,0))))</f>
        <v>0</v>
      </c>
      <c r="AE177">
        <f>IF($C177-AE$1&lt;År1,0,AD176*(1-VLOOKUP($A177,[1]Hugst!$R$5:$W$9,MATCH(ROUNDUP((AE$1)/10,0)*10,[1]Hugst!$R$4:$W$4,0))))</f>
        <v>0</v>
      </c>
      <c r="AF177">
        <f>IF($C177-AF$1&lt;År1,0,AE176*(1-VLOOKUP($A177,[1]Hugst!$R$5:$W$9,MATCH(ROUNDUP((AF$1)/10,0)*10,[1]Hugst!$R$4:$W$4,0))))</f>
        <v>0</v>
      </c>
      <c r="AG177">
        <f>IF($C177-AG$1&lt;År1,0,AF176*(1-VLOOKUP($A177,[1]Hugst!$R$5:$W$9,MATCH(ROUNDUP((AG$1)/10,0)*10,[1]Hugst!$R$4:$W$4,0))))</f>
        <v>0</v>
      </c>
      <c r="AH177">
        <f>IF($C177-AH$1&lt;År1,0,AG176*(1-VLOOKUP($A177,[1]Hugst!$R$5:$W$9,MATCH(ROUNDUP((AH$1)/10,0)*10,[1]Hugst!$R$4:$W$4,0))))</f>
        <v>0</v>
      </c>
      <c r="AI177">
        <f>IF($C177-AI$1&lt;År1,0,AH176*(1-VLOOKUP($A177,[1]Hugst!$R$5:$W$9,MATCH(ROUNDUP((AI$1)/10,0)*10,[1]Hugst!$R$4:$W$4,0))))</f>
        <v>0</v>
      </c>
      <c r="AJ177">
        <f>IF($C177-AJ$1&lt;År1,0,AI176*(1-VLOOKUP($A177,[1]Hugst!$R$5:$W$9,MATCH(ROUNDUP((AJ$1)/10,0)*10,[1]Hugst!$R$4:$W$4,0))))</f>
        <v>0</v>
      </c>
    </row>
    <row r="178" spans="1:36" x14ac:dyDescent="0.25">
      <c r="A178" t="s">
        <v>178</v>
      </c>
      <c r="B178" t="s">
        <v>24</v>
      </c>
      <c r="C178">
        <v>2041</v>
      </c>
      <c r="D178" cm="1">
        <f t="array" ref="D178">(IF(B178="Vestdanmark",Skovbrug!$C$22-(Skovbrug!$C$22)*(1-Skovbrug!$C$9)^(C178-Skovbrug!$B$12),Skovbrug!$F$22-(Skovbrug!$F$22)*(1-Skovbrug!$C$9)^(C178-Skovbrug!$B$12)))*VLOOKUP(A178,Skovbrug!$A$13:$D$17,IF('Skovbrug-alder'!C178&lt;=År2,3,4),FALSE)
-IF(C178&gt;2020,SUM(INDEX($C$1:$D$311,MATCH(1,(2020=$C$1:$C$311)*(B178=$B$1:$B$311)*(A178=$A$1:$A$311),0),2):D177),0)</f>
        <v>28.65551602089613</v>
      </c>
      <c r="E178">
        <f t="shared" ca="1" si="3"/>
        <v>0</v>
      </c>
      <c r="F17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69.859219724599853</v>
      </c>
      <c r="G178">
        <f ca="1">IF($C178-G$1&lt;År1,0,F177*(1-VLOOKUP($A178,[1]Hugst!$R$5:$W$9,MATCH(ROUNDUP((G$1)/10,0)*10,[1]Hugst!$R$4:$W$4,0))))</f>
        <v>70.003217292543724</v>
      </c>
      <c r="H178">
        <f ca="1">IF($C178-H$1&lt;År1,0,G177*(1-VLOOKUP($A178,[1]Hugst!$R$5:$W$9,MATCH(ROUNDUP((H$1)/10,0)*10,[1]Hugst!$R$4:$W$4,0))))</f>
        <v>70.147938466356578</v>
      </c>
      <c r="I178">
        <f ca="1">IF($C178-I$1&lt;År1,0,H177*(1-VLOOKUP($A178,[1]Hugst!$R$5:$W$9,MATCH(ROUNDUP((I$1)/10,0)*10,[1]Hugst!$R$4:$W$4,0))))</f>
        <v>70.293386882250417</v>
      </c>
      <c r="J178">
        <f ca="1">IF($C178-J$1&lt;År1,0,I177*(1-VLOOKUP($A178,[1]Hugst!$R$5:$W$9,MATCH(ROUNDUP((J$1)/10,0)*10,[1]Hugst!$R$4:$W$4,0))))</f>
        <v>70.439566194704895</v>
      </c>
      <c r="K178">
        <f ca="1">IF($C178-K$1&lt;År1,0,J177*(1-VLOOKUP($A178,[1]Hugst!$R$5:$W$9,MATCH(ROUNDUP((K$1)/10,0)*10,[1]Hugst!$R$4:$W$4,0))))</f>
        <v>70.586480076568961</v>
      </c>
      <c r="L178">
        <f ca="1">IF($C178-L$1&lt;År1,0,K177*(1-VLOOKUP($A178,[1]Hugst!$R$5:$W$9,MATCH(ROUNDUP((L$1)/10,0)*10,[1]Hugst!$R$4:$W$4,0))))</f>
        <v>70.734132219146801</v>
      </c>
      <c r="M178">
        <f ca="1">IF($C178-M$1&lt;År1,0,L177*(1-VLOOKUP($A178,[1]Hugst!$R$5:$W$9,MATCH(ROUNDUP((M$1)/10,0)*10,[1]Hugst!$R$4:$W$4,0))))</f>
        <v>70.882526332289189</v>
      </c>
      <c r="N178">
        <f ca="1">IF($C178-N$1&lt;År1,0,M177*(1-VLOOKUP($A178,[1]Hugst!$R$5:$W$9,MATCH(ROUNDUP((N$1)/10,0)*10,[1]Hugst!$R$4:$W$4,0))))</f>
        <v>71.031666144492959</v>
      </c>
      <c r="O178">
        <f ca="1">IF($C178-O$1&lt;År1,0,N177*(1-VLOOKUP($A178,[1]Hugst!$R$5:$W$9,MATCH(ROUNDUP((O$1)/10,0)*10,[1]Hugst!$R$4:$W$4,0))))</f>
        <v>71.181555402989858</v>
      </c>
      <c r="P178">
        <f ca="1">IF($C178-P$1&lt;År1,0,O177*(1-VLOOKUP($A178,[1]Hugst!$R$5:$W$9,MATCH(ROUNDUP((P$1)/10,0)*10,[1]Hugst!$R$4:$W$4,0))))</f>
        <v>71.332197873839419</v>
      </c>
      <c r="Q178">
        <f ca="1">IF($C178-Q$1&lt;År1,0,P177*(1-VLOOKUP($A178,[1]Hugst!$R$5:$W$9,MATCH(ROUNDUP((Q$1)/10,0)*10,[1]Hugst!$R$4:$W$4,0))))</f>
        <v>105.19571855415381</v>
      </c>
      <c r="R178">
        <f ca="1">IF($C178-R$1&lt;År1,0,Q177*(1-VLOOKUP($A178,[1]Hugst!$R$5:$W$9,MATCH(ROUNDUP((R$1)/10,0)*10,[1]Hugst!$R$4:$W$4,0))))</f>
        <v>105.34787882369238</v>
      </c>
      <c r="S178">
        <f ca="1">IF($C178-S$1&lt;År1,0,R177*(1-VLOOKUP($A178,[1]Hugst!$R$5:$W$9,MATCH(ROUNDUP((S$1)/10,0)*10,[1]Hugst!$R$4:$W$4,0))))</f>
        <v>105.50080371770207</v>
      </c>
      <c r="T178">
        <f ca="1">IF($C178-T$1&lt;År1,0,S177*(1-VLOOKUP($A178,[1]Hugst!$R$5:$W$9,MATCH(ROUNDUP((T$1)/10,0)*10,[1]Hugst!$R$4:$W$4,0))))</f>
        <v>105.65449707851479</v>
      </c>
      <c r="U178">
        <f ca="1">IF($C178-U$1&lt;År1,0,T177*(1-VLOOKUP($A178,[1]Hugst!$R$5:$W$9,MATCH(ROUNDUP((U$1)/10,0)*10,[1]Hugst!$R$4:$W$4,0))))</f>
        <v>105.80896276777605</v>
      </c>
      <c r="V178">
        <f ca="1">IF($C178-V$1&lt;År1,0,U177*(1-VLOOKUP($A178,[1]Hugst!$R$5:$W$9,MATCH(ROUNDUP((V$1)/10,0)*10,[1]Hugst!$R$4:$W$4,0))))</f>
        <v>105.96420466652819</v>
      </c>
      <c r="W178">
        <f ca="1">IF($C178-W$1&lt;År1,0,V177*(1-VLOOKUP($A178,[1]Hugst!$R$5:$W$9,MATCH(ROUNDUP((W$1)/10,0)*10,[1]Hugst!$R$4:$W$4,0))))</f>
        <v>106.12022667532625</v>
      </c>
      <c r="X178">
        <f ca="1">IF($C178-X$1&lt;År1,0,W177*(1-VLOOKUP($A178,[1]Hugst!$R$5:$W$9,MATCH(ROUNDUP((X$1)/10,0)*10,[1]Hugst!$R$4:$W$4,0))))</f>
        <v>106.27703271431785</v>
      </c>
      <c r="Y178">
        <f ca="1">IF($C178-Y$1&lt;År1,0,X177*(1-VLOOKUP($A178,[1]Hugst!$R$5:$W$9,MATCH(ROUNDUP((Y$1)/10,0)*10,[1]Hugst!$R$4:$W$4,0))))</f>
        <v>106.4346267233563</v>
      </c>
      <c r="Z178">
        <f ca="1">IF($C178-Z$1&lt;År1,0,Y177*(1-VLOOKUP($A178,[1]Hugst!$R$5:$W$9,MATCH(ROUNDUP((Z$1)/10,0)*10,[1]Hugst!$R$4:$W$4,0))))</f>
        <v>106.59301266208753</v>
      </c>
      <c r="AA178">
        <f ca="1">IF($C178-AA$1&lt;År1,0,Z177*(1-VLOOKUP($A178,[1]Hugst!$R$5:$W$9,MATCH(ROUNDUP((AA$1)/10,0)*10,[1]Hugst!$R$4:$W$4,0))))</f>
        <v>106.75219451005873</v>
      </c>
      <c r="AB178">
        <f>IF($C178-AB$1&lt;År1,0,AA177*(1-VLOOKUP($A178,[1]Hugst!$R$5:$W$9,MATCH(ROUNDUP((AB$1)/10,0)*10,[1]Hugst!$R$4:$W$4,0))))</f>
        <v>0</v>
      </c>
      <c r="AC178">
        <f>IF($C178-AC$1&lt;År1,0,AB177*(1-VLOOKUP($A178,[1]Hugst!$R$5:$W$9,MATCH(ROUNDUP((AC$1)/10,0)*10,[1]Hugst!$R$4:$W$4,0))))</f>
        <v>0</v>
      </c>
      <c r="AD178">
        <f>IF($C178-AD$1&lt;År1,0,AC177*(1-VLOOKUP($A178,[1]Hugst!$R$5:$W$9,MATCH(ROUNDUP((AD$1)/10,0)*10,[1]Hugst!$R$4:$W$4,0))))</f>
        <v>0</v>
      </c>
      <c r="AE178">
        <f>IF($C178-AE$1&lt;År1,0,AD177*(1-VLOOKUP($A178,[1]Hugst!$R$5:$W$9,MATCH(ROUNDUP((AE$1)/10,0)*10,[1]Hugst!$R$4:$W$4,0))))</f>
        <v>0</v>
      </c>
      <c r="AF178">
        <f>IF($C178-AF$1&lt;År1,0,AE177*(1-VLOOKUP($A178,[1]Hugst!$R$5:$W$9,MATCH(ROUNDUP((AF$1)/10,0)*10,[1]Hugst!$R$4:$W$4,0))))</f>
        <v>0</v>
      </c>
      <c r="AG178">
        <f>IF($C178-AG$1&lt;År1,0,AF177*(1-VLOOKUP($A178,[1]Hugst!$R$5:$W$9,MATCH(ROUNDUP((AG$1)/10,0)*10,[1]Hugst!$R$4:$W$4,0))))</f>
        <v>0</v>
      </c>
      <c r="AH178">
        <f>IF($C178-AH$1&lt;År1,0,AG177*(1-VLOOKUP($A178,[1]Hugst!$R$5:$W$9,MATCH(ROUNDUP((AH$1)/10,0)*10,[1]Hugst!$R$4:$W$4,0))))</f>
        <v>0</v>
      </c>
      <c r="AI178">
        <f>IF($C178-AI$1&lt;År1,0,AH177*(1-VLOOKUP($A178,[1]Hugst!$R$5:$W$9,MATCH(ROUNDUP((AI$1)/10,0)*10,[1]Hugst!$R$4:$W$4,0))))</f>
        <v>0</v>
      </c>
      <c r="AJ178">
        <f>IF($C178-AJ$1&lt;År1,0,AI177*(1-VLOOKUP($A178,[1]Hugst!$R$5:$W$9,MATCH(ROUNDUP((AJ$1)/10,0)*10,[1]Hugst!$R$4:$W$4,0))))</f>
        <v>0</v>
      </c>
    </row>
    <row r="179" spans="1:36" x14ac:dyDescent="0.25">
      <c r="A179" t="s">
        <v>178</v>
      </c>
      <c r="B179" t="s">
        <v>24</v>
      </c>
      <c r="C179">
        <v>2042</v>
      </c>
      <c r="D179" cm="1">
        <f t="array" ref="D179">(IF(B179="Vestdanmark",Skovbrug!$C$22-(Skovbrug!$C$22)*(1-Skovbrug!$C$9)^(C179-Skovbrug!$B$12),Skovbrug!$F$22-(Skovbrug!$F$22)*(1-Skovbrug!$C$9)^(C179-Skovbrug!$B$12)))*VLOOKUP(A179,Skovbrug!$A$13:$D$17,IF('Skovbrug-alder'!C179&lt;=År2,3,4),FALSE)
-IF(C179&gt;2020,SUM(INDEX($C$1:$D$311,MATCH(1,(2020=$C$1:$C$311)*(B179=$B$1:$B$311)*(A179=$A$1:$A$311),0),2):D178),0)</f>
        <v>28.512238440791407</v>
      </c>
      <c r="E179">
        <f t="shared" ca="1" si="3"/>
        <v>0</v>
      </c>
      <c r="F179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69.715942144495131</v>
      </c>
      <c r="G179">
        <f ca="1">IF($C179-G$1&lt;År1,0,F178*(1-VLOOKUP($A179,[1]Hugst!$R$5:$W$9,MATCH(ROUNDUP((G$1)/10,0)*10,[1]Hugst!$R$4:$W$4,0))))</f>
        <v>69.859219724599853</v>
      </c>
      <c r="H179">
        <f ca="1">IF($C179-H$1&lt;År1,0,G178*(1-VLOOKUP($A179,[1]Hugst!$R$5:$W$9,MATCH(ROUNDUP((H$1)/10,0)*10,[1]Hugst!$R$4:$W$4,0))))</f>
        <v>70.003217292543724</v>
      </c>
      <c r="I179">
        <f ca="1">IF($C179-I$1&lt;År1,0,H178*(1-VLOOKUP($A179,[1]Hugst!$R$5:$W$9,MATCH(ROUNDUP((I$1)/10,0)*10,[1]Hugst!$R$4:$W$4,0))))</f>
        <v>70.147938466356578</v>
      </c>
      <c r="J179">
        <f ca="1">IF($C179-J$1&lt;År1,0,I178*(1-VLOOKUP($A179,[1]Hugst!$R$5:$W$9,MATCH(ROUNDUP((J$1)/10,0)*10,[1]Hugst!$R$4:$W$4,0))))</f>
        <v>70.293386882250417</v>
      </c>
      <c r="K179">
        <f ca="1">IF($C179-K$1&lt;År1,0,J178*(1-VLOOKUP($A179,[1]Hugst!$R$5:$W$9,MATCH(ROUNDUP((K$1)/10,0)*10,[1]Hugst!$R$4:$W$4,0))))</f>
        <v>70.439566194704895</v>
      </c>
      <c r="L179">
        <f ca="1">IF($C179-L$1&lt;År1,0,K178*(1-VLOOKUP($A179,[1]Hugst!$R$5:$W$9,MATCH(ROUNDUP((L$1)/10,0)*10,[1]Hugst!$R$4:$W$4,0))))</f>
        <v>70.586480076568961</v>
      </c>
      <c r="M179">
        <f ca="1">IF($C179-M$1&lt;År1,0,L178*(1-VLOOKUP($A179,[1]Hugst!$R$5:$W$9,MATCH(ROUNDUP((M$1)/10,0)*10,[1]Hugst!$R$4:$W$4,0))))</f>
        <v>70.734132219146801</v>
      </c>
      <c r="N179">
        <f ca="1">IF($C179-N$1&lt;År1,0,M178*(1-VLOOKUP($A179,[1]Hugst!$R$5:$W$9,MATCH(ROUNDUP((N$1)/10,0)*10,[1]Hugst!$R$4:$W$4,0))))</f>
        <v>70.882526332289189</v>
      </c>
      <c r="O179">
        <f ca="1">IF($C179-O$1&lt;År1,0,N178*(1-VLOOKUP($A179,[1]Hugst!$R$5:$W$9,MATCH(ROUNDUP((O$1)/10,0)*10,[1]Hugst!$R$4:$W$4,0))))</f>
        <v>71.031666144492959</v>
      </c>
      <c r="P179">
        <f ca="1">IF($C179-P$1&lt;År1,0,O178*(1-VLOOKUP($A179,[1]Hugst!$R$5:$W$9,MATCH(ROUNDUP((P$1)/10,0)*10,[1]Hugst!$R$4:$W$4,0))))</f>
        <v>71.181555402989858</v>
      </c>
      <c r="Q179">
        <f ca="1">IF($C179-Q$1&lt;År1,0,P178*(1-VLOOKUP($A179,[1]Hugst!$R$5:$W$9,MATCH(ROUNDUP((Q$1)/10,0)*10,[1]Hugst!$R$4:$W$4,0))))</f>
        <v>71.332197873839419</v>
      </c>
      <c r="R179">
        <f ca="1">IF($C179-R$1&lt;År1,0,Q178*(1-VLOOKUP($A179,[1]Hugst!$R$5:$W$9,MATCH(ROUNDUP((R$1)/10,0)*10,[1]Hugst!$R$4:$W$4,0))))</f>
        <v>105.19571855415381</v>
      </c>
      <c r="S179">
        <f ca="1">IF($C179-S$1&lt;År1,0,R178*(1-VLOOKUP($A179,[1]Hugst!$R$5:$W$9,MATCH(ROUNDUP((S$1)/10,0)*10,[1]Hugst!$R$4:$W$4,0))))</f>
        <v>105.34787882369238</v>
      </c>
      <c r="T179">
        <f ca="1">IF($C179-T$1&lt;År1,0,S178*(1-VLOOKUP($A179,[1]Hugst!$R$5:$W$9,MATCH(ROUNDUP((T$1)/10,0)*10,[1]Hugst!$R$4:$W$4,0))))</f>
        <v>105.50080371770207</v>
      </c>
      <c r="U179">
        <f ca="1">IF($C179-U$1&lt;År1,0,T178*(1-VLOOKUP($A179,[1]Hugst!$R$5:$W$9,MATCH(ROUNDUP((U$1)/10,0)*10,[1]Hugst!$R$4:$W$4,0))))</f>
        <v>105.65449707851479</v>
      </c>
      <c r="V179">
        <f ca="1">IF($C179-V$1&lt;År1,0,U178*(1-VLOOKUP($A179,[1]Hugst!$R$5:$W$9,MATCH(ROUNDUP((V$1)/10,0)*10,[1]Hugst!$R$4:$W$4,0))))</f>
        <v>105.80896276777605</v>
      </c>
      <c r="W179">
        <f ca="1">IF($C179-W$1&lt;År1,0,V178*(1-VLOOKUP($A179,[1]Hugst!$R$5:$W$9,MATCH(ROUNDUP((W$1)/10,0)*10,[1]Hugst!$R$4:$W$4,0))))</f>
        <v>105.96420466652819</v>
      </c>
      <c r="X179">
        <f ca="1">IF($C179-X$1&lt;År1,0,W178*(1-VLOOKUP($A179,[1]Hugst!$R$5:$W$9,MATCH(ROUNDUP((X$1)/10,0)*10,[1]Hugst!$R$4:$W$4,0))))</f>
        <v>106.12022667532625</v>
      </c>
      <c r="Y179">
        <f ca="1">IF($C179-Y$1&lt;År1,0,X178*(1-VLOOKUP($A179,[1]Hugst!$R$5:$W$9,MATCH(ROUNDUP((Y$1)/10,0)*10,[1]Hugst!$R$4:$W$4,0))))</f>
        <v>106.27703271431785</v>
      </c>
      <c r="Z179">
        <f ca="1">IF($C179-Z$1&lt;År1,0,Y178*(1-VLOOKUP($A179,[1]Hugst!$R$5:$W$9,MATCH(ROUNDUP((Z$1)/10,0)*10,[1]Hugst!$R$4:$W$4,0))))</f>
        <v>106.4346267233563</v>
      </c>
      <c r="AA179">
        <f ca="1">IF($C179-AA$1&lt;År1,0,Z178*(1-VLOOKUP($A179,[1]Hugst!$R$5:$W$9,MATCH(ROUNDUP((AA$1)/10,0)*10,[1]Hugst!$R$4:$W$4,0))))</f>
        <v>106.59301266208753</v>
      </c>
      <c r="AB179">
        <f ca="1">IF($C179-AB$1&lt;År1,0,AA178*(1-VLOOKUP($A179,[1]Hugst!$R$5:$W$9,MATCH(ROUNDUP((AB$1)/10,0)*10,[1]Hugst!$R$4:$W$4,0))))</f>
        <v>106.75219451005873</v>
      </c>
      <c r="AC179">
        <f>IF($C179-AC$1&lt;År1,0,AB178*(1-VLOOKUP($A179,[1]Hugst!$R$5:$W$9,MATCH(ROUNDUP((AC$1)/10,0)*10,[1]Hugst!$R$4:$W$4,0))))</f>
        <v>0</v>
      </c>
      <c r="AD179">
        <f>IF($C179-AD$1&lt;År1,0,AC178*(1-VLOOKUP($A179,[1]Hugst!$R$5:$W$9,MATCH(ROUNDUP((AD$1)/10,0)*10,[1]Hugst!$R$4:$W$4,0))))</f>
        <v>0</v>
      </c>
      <c r="AE179">
        <f>IF($C179-AE$1&lt;År1,0,AD178*(1-VLOOKUP($A179,[1]Hugst!$R$5:$W$9,MATCH(ROUNDUP((AE$1)/10,0)*10,[1]Hugst!$R$4:$W$4,0))))</f>
        <v>0</v>
      </c>
      <c r="AF179">
        <f>IF($C179-AF$1&lt;År1,0,AE178*(1-VLOOKUP($A179,[1]Hugst!$R$5:$W$9,MATCH(ROUNDUP((AF$1)/10,0)*10,[1]Hugst!$R$4:$W$4,0))))</f>
        <v>0</v>
      </c>
      <c r="AG179">
        <f>IF($C179-AG$1&lt;År1,0,AF178*(1-VLOOKUP($A179,[1]Hugst!$R$5:$W$9,MATCH(ROUNDUP((AG$1)/10,0)*10,[1]Hugst!$R$4:$W$4,0))))</f>
        <v>0</v>
      </c>
      <c r="AH179">
        <f>IF($C179-AH$1&lt;År1,0,AG178*(1-VLOOKUP($A179,[1]Hugst!$R$5:$W$9,MATCH(ROUNDUP((AH$1)/10,0)*10,[1]Hugst!$R$4:$W$4,0))))</f>
        <v>0</v>
      </c>
      <c r="AI179">
        <f>IF($C179-AI$1&lt;År1,0,AH178*(1-VLOOKUP($A179,[1]Hugst!$R$5:$W$9,MATCH(ROUNDUP((AI$1)/10,0)*10,[1]Hugst!$R$4:$W$4,0))))</f>
        <v>0</v>
      </c>
      <c r="AJ179">
        <f>IF($C179-AJ$1&lt;År1,0,AI178*(1-VLOOKUP($A179,[1]Hugst!$R$5:$W$9,MATCH(ROUNDUP((AJ$1)/10,0)*10,[1]Hugst!$R$4:$W$4,0))))</f>
        <v>0</v>
      </c>
    </row>
    <row r="180" spans="1:36" x14ac:dyDescent="0.25">
      <c r="A180" t="s">
        <v>178</v>
      </c>
      <c r="B180" t="s">
        <v>24</v>
      </c>
      <c r="C180">
        <v>2043</v>
      </c>
      <c r="D180" cm="1">
        <f t="array" ref="D180">(IF(B180="Vestdanmark",Skovbrug!$C$22-(Skovbrug!$C$22)*(1-Skovbrug!$C$9)^(C180-Skovbrug!$B$12),Skovbrug!$F$22-(Skovbrug!$F$22)*(1-Skovbrug!$C$9)^(C180-Skovbrug!$B$12)))*VLOOKUP(A180,Skovbrug!$A$13:$D$17,IF('Skovbrug-alder'!C180&lt;=År2,3,4),FALSE)
-IF(C180&gt;2020,SUM(INDEX($C$1:$D$311,MATCH(1,(2020=$C$1:$C$311)*(B180=$B$1:$B$311)*(A180=$A$1:$A$311),0),2):D179),0)</f>
        <v>28.369677248587664</v>
      </c>
      <c r="E180">
        <f t="shared" ca="1" si="3"/>
        <v>0</v>
      </c>
      <c r="F180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69.573380952291387</v>
      </c>
      <c r="G180">
        <f ca="1">IF($C180-G$1&lt;År1,0,F179*(1-VLOOKUP($A180,[1]Hugst!$R$5:$W$9,MATCH(ROUNDUP((G$1)/10,0)*10,[1]Hugst!$R$4:$W$4,0))))</f>
        <v>69.715942144495131</v>
      </c>
      <c r="H180">
        <f ca="1">IF($C180-H$1&lt;År1,0,G179*(1-VLOOKUP($A180,[1]Hugst!$R$5:$W$9,MATCH(ROUNDUP((H$1)/10,0)*10,[1]Hugst!$R$4:$W$4,0))))</f>
        <v>69.859219724599853</v>
      </c>
      <c r="I180">
        <f ca="1">IF($C180-I$1&lt;År1,0,H179*(1-VLOOKUP($A180,[1]Hugst!$R$5:$W$9,MATCH(ROUNDUP((I$1)/10,0)*10,[1]Hugst!$R$4:$W$4,0))))</f>
        <v>70.003217292543724</v>
      </c>
      <c r="J180">
        <f ca="1">IF($C180-J$1&lt;År1,0,I179*(1-VLOOKUP($A180,[1]Hugst!$R$5:$W$9,MATCH(ROUNDUP((J$1)/10,0)*10,[1]Hugst!$R$4:$W$4,0))))</f>
        <v>70.147938466356578</v>
      </c>
      <c r="K180">
        <f ca="1">IF($C180-K$1&lt;År1,0,J179*(1-VLOOKUP($A180,[1]Hugst!$R$5:$W$9,MATCH(ROUNDUP((K$1)/10,0)*10,[1]Hugst!$R$4:$W$4,0))))</f>
        <v>70.293386882250417</v>
      </c>
      <c r="L180">
        <f ca="1">IF($C180-L$1&lt;År1,0,K179*(1-VLOOKUP($A180,[1]Hugst!$R$5:$W$9,MATCH(ROUNDUP((L$1)/10,0)*10,[1]Hugst!$R$4:$W$4,0))))</f>
        <v>70.439566194704895</v>
      </c>
      <c r="M180">
        <f ca="1">IF($C180-M$1&lt;År1,0,L179*(1-VLOOKUP($A180,[1]Hugst!$R$5:$W$9,MATCH(ROUNDUP((M$1)/10,0)*10,[1]Hugst!$R$4:$W$4,0))))</f>
        <v>70.586480076568961</v>
      </c>
      <c r="N180">
        <f ca="1">IF($C180-N$1&lt;År1,0,M179*(1-VLOOKUP($A180,[1]Hugst!$R$5:$W$9,MATCH(ROUNDUP((N$1)/10,0)*10,[1]Hugst!$R$4:$W$4,0))))</f>
        <v>70.734132219146801</v>
      </c>
      <c r="O180">
        <f ca="1">IF($C180-O$1&lt;År1,0,N179*(1-VLOOKUP($A180,[1]Hugst!$R$5:$W$9,MATCH(ROUNDUP((O$1)/10,0)*10,[1]Hugst!$R$4:$W$4,0))))</f>
        <v>70.882526332289189</v>
      </c>
      <c r="P180">
        <f ca="1">IF($C180-P$1&lt;År1,0,O179*(1-VLOOKUP($A180,[1]Hugst!$R$5:$W$9,MATCH(ROUNDUP((P$1)/10,0)*10,[1]Hugst!$R$4:$W$4,0))))</f>
        <v>71.031666144492959</v>
      </c>
      <c r="Q180">
        <f ca="1">IF($C180-Q$1&lt;År1,0,P179*(1-VLOOKUP($A180,[1]Hugst!$R$5:$W$9,MATCH(ROUNDUP((Q$1)/10,0)*10,[1]Hugst!$R$4:$W$4,0))))</f>
        <v>71.181555402989858</v>
      </c>
      <c r="R180">
        <f ca="1">IF($C180-R$1&lt;År1,0,Q179*(1-VLOOKUP($A180,[1]Hugst!$R$5:$W$9,MATCH(ROUNDUP((R$1)/10,0)*10,[1]Hugst!$R$4:$W$4,0))))</f>
        <v>71.332197873839419</v>
      </c>
      <c r="S180">
        <f ca="1">IF($C180-S$1&lt;År1,0,R179*(1-VLOOKUP($A180,[1]Hugst!$R$5:$W$9,MATCH(ROUNDUP((S$1)/10,0)*10,[1]Hugst!$R$4:$W$4,0))))</f>
        <v>105.19571855415381</v>
      </c>
      <c r="T180">
        <f ca="1">IF($C180-T$1&lt;År1,0,S179*(1-VLOOKUP($A180,[1]Hugst!$R$5:$W$9,MATCH(ROUNDUP((T$1)/10,0)*10,[1]Hugst!$R$4:$W$4,0))))</f>
        <v>105.34787882369238</v>
      </c>
      <c r="U180">
        <f ca="1">IF($C180-U$1&lt;År1,0,T179*(1-VLOOKUP($A180,[1]Hugst!$R$5:$W$9,MATCH(ROUNDUP((U$1)/10,0)*10,[1]Hugst!$R$4:$W$4,0))))</f>
        <v>105.50080371770207</v>
      </c>
      <c r="V180">
        <f ca="1">IF($C180-V$1&lt;År1,0,U179*(1-VLOOKUP($A180,[1]Hugst!$R$5:$W$9,MATCH(ROUNDUP((V$1)/10,0)*10,[1]Hugst!$R$4:$W$4,0))))</f>
        <v>105.65449707851479</v>
      </c>
      <c r="W180">
        <f ca="1">IF($C180-W$1&lt;År1,0,V179*(1-VLOOKUP($A180,[1]Hugst!$R$5:$W$9,MATCH(ROUNDUP((W$1)/10,0)*10,[1]Hugst!$R$4:$W$4,0))))</f>
        <v>105.80896276777605</v>
      </c>
      <c r="X180">
        <f ca="1">IF($C180-X$1&lt;År1,0,W179*(1-VLOOKUP($A180,[1]Hugst!$R$5:$W$9,MATCH(ROUNDUP((X$1)/10,0)*10,[1]Hugst!$R$4:$W$4,0))))</f>
        <v>105.96420466652819</v>
      </c>
      <c r="Y180">
        <f ca="1">IF($C180-Y$1&lt;År1,0,X179*(1-VLOOKUP($A180,[1]Hugst!$R$5:$W$9,MATCH(ROUNDUP((Y$1)/10,0)*10,[1]Hugst!$R$4:$W$4,0))))</f>
        <v>106.12022667532625</v>
      </c>
      <c r="Z180">
        <f ca="1">IF($C180-Z$1&lt;År1,0,Y179*(1-VLOOKUP($A180,[1]Hugst!$R$5:$W$9,MATCH(ROUNDUP((Z$1)/10,0)*10,[1]Hugst!$R$4:$W$4,0))))</f>
        <v>106.27703271431785</v>
      </c>
      <c r="AA180">
        <f ca="1">IF($C180-AA$1&lt;År1,0,Z179*(1-VLOOKUP($A180,[1]Hugst!$R$5:$W$9,MATCH(ROUNDUP((AA$1)/10,0)*10,[1]Hugst!$R$4:$W$4,0))))</f>
        <v>106.4346267233563</v>
      </c>
      <c r="AB180">
        <f ca="1">IF($C180-AB$1&lt;År1,0,AA179*(1-VLOOKUP($A180,[1]Hugst!$R$5:$W$9,MATCH(ROUNDUP((AB$1)/10,0)*10,[1]Hugst!$R$4:$W$4,0))))</f>
        <v>106.59301266208753</v>
      </c>
      <c r="AC180">
        <f ca="1">IF($C180-AC$1&lt;År1,0,AB179*(1-VLOOKUP($A180,[1]Hugst!$R$5:$W$9,MATCH(ROUNDUP((AC$1)/10,0)*10,[1]Hugst!$R$4:$W$4,0))))</f>
        <v>106.75219451005873</v>
      </c>
      <c r="AD180">
        <f>IF($C180-AD$1&lt;År1,0,AC179*(1-VLOOKUP($A180,[1]Hugst!$R$5:$W$9,MATCH(ROUNDUP((AD$1)/10,0)*10,[1]Hugst!$R$4:$W$4,0))))</f>
        <v>0</v>
      </c>
      <c r="AE180">
        <f>IF($C180-AE$1&lt;År1,0,AD179*(1-VLOOKUP($A180,[1]Hugst!$R$5:$W$9,MATCH(ROUNDUP((AE$1)/10,0)*10,[1]Hugst!$R$4:$W$4,0))))</f>
        <v>0</v>
      </c>
      <c r="AF180">
        <f>IF($C180-AF$1&lt;År1,0,AE179*(1-VLOOKUP($A180,[1]Hugst!$R$5:$W$9,MATCH(ROUNDUP((AF$1)/10,0)*10,[1]Hugst!$R$4:$W$4,0))))</f>
        <v>0</v>
      </c>
      <c r="AG180">
        <f>IF($C180-AG$1&lt;År1,0,AF179*(1-VLOOKUP($A180,[1]Hugst!$R$5:$W$9,MATCH(ROUNDUP((AG$1)/10,0)*10,[1]Hugst!$R$4:$W$4,0))))</f>
        <v>0</v>
      </c>
      <c r="AH180">
        <f>IF($C180-AH$1&lt;År1,0,AG179*(1-VLOOKUP($A180,[1]Hugst!$R$5:$W$9,MATCH(ROUNDUP((AH$1)/10,0)*10,[1]Hugst!$R$4:$W$4,0))))</f>
        <v>0</v>
      </c>
      <c r="AI180">
        <f>IF($C180-AI$1&lt;År1,0,AH179*(1-VLOOKUP($A180,[1]Hugst!$R$5:$W$9,MATCH(ROUNDUP((AI$1)/10,0)*10,[1]Hugst!$R$4:$W$4,0))))</f>
        <v>0</v>
      </c>
      <c r="AJ180">
        <f>IF($C180-AJ$1&lt;År1,0,AI179*(1-VLOOKUP($A180,[1]Hugst!$R$5:$W$9,MATCH(ROUNDUP((AJ$1)/10,0)*10,[1]Hugst!$R$4:$W$4,0))))</f>
        <v>0</v>
      </c>
    </row>
    <row r="181" spans="1:36" x14ac:dyDescent="0.25">
      <c r="A181" t="s">
        <v>178</v>
      </c>
      <c r="B181" t="s">
        <v>24</v>
      </c>
      <c r="C181">
        <v>2044</v>
      </c>
      <c r="D181" cm="1">
        <f t="array" ref="D181">(IF(B181="Vestdanmark",Skovbrug!$C$22-(Skovbrug!$C$22)*(1-Skovbrug!$C$9)^(C181-Skovbrug!$B$12),Skovbrug!$F$22-(Skovbrug!$F$22)*(1-Skovbrug!$C$9)^(C181-Skovbrug!$B$12)))*VLOOKUP(A181,Skovbrug!$A$13:$D$17,IF('Skovbrug-alder'!C181&lt;=År2,3,4),FALSE)
-IF(C181&gt;2020,SUM(INDEX($C$1:$D$311,MATCH(1,(2020=$C$1:$C$311)*(B181=$B$1:$B$311)*(A181=$A$1:$A$311),0),2):D180),0)</f>
        <v>28.227828862344154</v>
      </c>
      <c r="E181">
        <f t="shared" ca="1" si="3"/>
        <v>0</v>
      </c>
      <c r="F181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69.431532566047878</v>
      </c>
      <c r="G181">
        <f ca="1">IF($C181-G$1&lt;År1,0,F180*(1-VLOOKUP($A181,[1]Hugst!$R$5:$W$9,MATCH(ROUNDUP((G$1)/10,0)*10,[1]Hugst!$R$4:$W$4,0))))</f>
        <v>69.573380952291387</v>
      </c>
      <c r="H181">
        <f ca="1">IF($C181-H$1&lt;År1,0,G180*(1-VLOOKUP($A181,[1]Hugst!$R$5:$W$9,MATCH(ROUNDUP((H$1)/10,0)*10,[1]Hugst!$R$4:$W$4,0))))</f>
        <v>69.715942144495131</v>
      </c>
      <c r="I181">
        <f ca="1">IF($C181-I$1&lt;År1,0,H180*(1-VLOOKUP($A181,[1]Hugst!$R$5:$W$9,MATCH(ROUNDUP((I$1)/10,0)*10,[1]Hugst!$R$4:$W$4,0))))</f>
        <v>69.859219724599853</v>
      </c>
      <c r="J181">
        <f ca="1">IF($C181-J$1&lt;År1,0,I180*(1-VLOOKUP($A181,[1]Hugst!$R$5:$W$9,MATCH(ROUNDUP((J$1)/10,0)*10,[1]Hugst!$R$4:$W$4,0))))</f>
        <v>70.003217292543724</v>
      </c>
      <c r="K181">
        <f ca="1">IF($C181-K$1&lt;År1,0,J180*(1-VLOOKUP($A181,[1]Hugst!$R$5:$W$9,MATCH(ROUNDUP((K$1)/10,0)*10,[1]Hugst!$R$4:$W$4,0))))</f>
        <v>70.147938466356578</v>
      </c>
      <c r="L181">
        <f ca="1">IF($C181-L$1&lt;År1,0,K180*(1-VLOOKUP($A181,[1]Hugst!$R$5:$W$9,MATCH(ROUNDUP((L$1)/10,0)*10,[1]Hugst!$R$4:$W$4,0))))</f>
        <v>70.293386882250417</v>
      </c>
      <c r="M181">
        <f ca="1">IF($C181-M$1&lt;År1,0,L180*(1-VLOOKUP($A181,[1]Hugst!$R$5:$W$9,MATCH(ROUNDUP((M$1)/10,0)*10,[1]Hugst!$R$4:$W$4,0))))</f>
        <v>70.439566194704895</v>
      </c>
      <c r="N181">
        <f ca="1">IF($C181-N$1&lt;År1,0,M180*(1-VLOOKUP($A181,[1]Hugst!$R$5:$W$9,MATCH(ROUNDUP((N$1)/10,0)*10,[1]Hugst!$R$4:$W$4,0))))</f>
        <v>70.586480076568961</v>
      </c>
      <c r="O181">
        <f ca="1">IF($C181-O$1&lt;År1,0,N180*(1-VLOOKUP($A181,[1]Hugst!$R$5:$W$9,MATCH(ROUNDUP((O$1)/10,0)*10,[1]Hugst!$R$4:$W$4,0))))</f>
        <v>70.734132219146801</v>
      </c>
      <c r="P181">
        <f ca="1">IF($C181-P$1&lt;År1,0,O180*(1-VLOOKUP($A181,[1]Hugst!$R$5:$W$9,MATCH(ROUNDUP((P$1)/10,0)*10,[1]Hugst!$R$4:$W$4,0))))</f>
        <v>70.882526332289189</v>
      </c>
      <c r="Q181">
        <f ca="1">IF($C181-Q$1&lt;År1,0,P180*(1-VLOOKUP($A181,[1]Hugst!$R$5:$W$9,MATCH(ROUNDUP((Q$1)/10,0)*10,[1]Hugst!$R$4:$W$4,0))))</f>
        <v>71.031666144492959</v>
      </c>
      <c r="R181">
        <f ca="1">IF($C181-R$1&lt;År1,0,Q180*(1-VLOOKUP($A181,[1]Hugst!$R$5:$W$9,MATCH(ROUNDUP((R$1)/10,0)*10,[1]Hugst!$R$4:$W$4,0))))</f>
        <v>71.181555402989858</v>
      </c>
      <c r="S181">
        <f ca="1">IF($C181-S$1&lt;År1,0,R180*(1-VLOOKUP($A181,[1]Hugst!$R$5:$W$9,MATCH(ROUNDUP((S$1)/10,0)*10,[1]Hugst!$R$4:$W$4,0))))</f>
        <v>71.332197873839419</v>
      </c>
      <c r="T181">
        <f ca="1">IF($C181-T$1&lt;År1,0,S180*(1-VLOOKUP($A181,[1]Hugst!$R$5:$W$9,MATCH(ROUNDUP((T$1)/10,0)*10,[1]Hugst!$R$4:$W$4,0))))</f>
        <v>105.19571855415381</v>
      </c>
      <c r="U181">
        <f ca="1">IF($C181-U$1&lt;År1,0,T180*(1-VLOOKUP($A181,[1]Hugst!$R$5:$W$9,MATCH(ROUNDUP((U$1)/10,0)*10,[1]Hugst!$R$4:$W$4,0))))</f>
        <v>105.34787882369238</v>
      </c>
      <c r="V181">
        <f ca="1">IF($C181-V$1&lt;År1,0,U180*(1-VLOOKUP($A181,[1]Hugst!$R$5:$W$9,MATCH(ROUNDUP((V$1)/10,0)*10,[1]Hugst!$R$4:$W$4,0))))</f>
        <v>105.50080371770207</v>
      </c>
      <c r="W181">
        <f ca="1">IF($C181-W$1&lt;År1,0,V180*(1-VLOOKUP($A181,[1]Hugst!$R$5:$W$9,MATCH(ROUNDUP((W$1)/10,0)*10,[1]Hugst!$R$4:$W$4,0))))</f>
        <v>105.65449707851479</v>
      </c>
      <c r="X181">
        <f ca="1">IF($C181-X$1&lt;År1,0,W180*(1-VLOOKUP($A181,[1]Hugst!$R$5:$W$9,MATCH(ROUNDUP((X$1)/10,0)*10,[1]Hugst!$R$4:$W$4,0))))</f>
        <v>105.80896276777605</v>
      </c>
      <c r="Y181">
        <f ca="1">IF($C181-Y$1&lt;År1,0,X180*(1-VLOOKUP($A181,[1]Hugst!$R$5:$W$9,MATCH(ROUNDUP((Y$1)/10,0)*10,[1]Hugst!$R$4:$W$4,0))))</f>
        <v>105.96420466652819</v>
      </c>
      <c r="Z181">
        <f ca="1">IF($C181-Z$1&lt;År1,0,Y180*(1-VLOOKUP($A181,[1]Hugst!$R$5:$W$9,MATCH(ROUNDUP((Z$1)/10,0)*10,[1]Hugst!$R$4:$W$4,0))))</f>
        <v>106.12022667532625</v>
      </c>
      <c r="AA181">
        <f ca="1">IF($C181-AA$1&lt;År1,0,Z180*(1-VLOOKUP($A181,[1]Hugst!$R$5:$W$9,MATCH(ROUNDUP((AA$1)/10,0)*10,[1]Hugst!$R$4:$W$4,0))))</f>
        <v>106.27703271431785</v>
      </c>
      <c r="AB181">
        <f ca="1">IF($C181-AB$1&lt;År1,0,AA180*(1-VLOOKUP($A181,[1]Hugst!$R$5:$W$9,MATCH(ROUNDUP((AB$1)/10,0)*10,[1]Hugst!$R$4:$W$4,0))))</f>
        <v>106.4346267233563</v>
      </c>
      <c r="AC181">
        <f ca="1">IF($C181-AC$1&lt;År1,0,AB180*(1-VLOOKUP($A181,[1]Hugst!$R$5:$W$9,MATCH(ROUNDUP((AC$1)/10,0)*10,[1]Hugst!$R$4:$W$4,0))))</f>
        <v>106.59301266208753</v>
      </c>
      <c r="AD181">
        <f ca="1">IF($C181-AD$1&lt;År1,0,AC180*(1-VLOOKUP($A181,[1]Hugst!$R$5:$W$9,MATCH(ROUNDUP((AD$1)/10,0)*10,[1]Hugst!$R$4:$W$4,0))))</f>
        <v>106.75219451005873</v>
      </c>
      <c r="AE181">
        <f>IF($C181-AE$1&lt;År1,0,AD180*(1-VLOOKUP($A181,[1]Hugst!$R$5:$W$9,MATCH(ROUNDUP((AE$1)/10,0)*10,[1]Hugst!$R$4:$W$4,0))))</f>
        <v>0</v>
      </c>
      <c r="AF181">
        <f>IF($C181-AF$1&lt;År1,0,AE180*(1-VLOOKUP($A181,[1]Hugst!$R$5:$W$9,MATCH(ROUNDUP((AF$1)/10,0)*10,[1]Hugst!$R$4:$W$4,0))))</f>
        <v>0</v>
      </c>
      <c r="AG181">
        <f>IF($C181-AG$1&lt;År1,0,AF180*(1-VLOOKUP($A181,[1]Hugst!$R$5:$W$9,MATCH(ROUNDUP((AG$1)/10,0)*10,[1]Hugst!$R$4:$W$4,0))))</f>
        <v>0</v>
      </c>
      <c r="AH181">
        <f>IF($C181-AH$1&lt;År1,0,AG180*(1-VLOOKUP($A181,[1]Hugst!$R$5:$W$9,MATCH(ROUNDUP((AH$1)/10,0)*10,[1]Hugst!$R$4:$W$4,0))))</f>
        <v>0</v>
      </c>
      <c r="AI181">
        <f>IF($C181-AI$1&lt;År1,0,AH180*(1-VLOOKUP($A181,[1]Hugst!$R$5:$W$9,MATCH(ROUNDUP((AI$1)/10,0)*10,[1]Hugst!$R$4:$W$4,0))))</f>
        <v>0</v>
      </c>
      <c r="AJ181">
        <f>IF($C181-AJ$1&lt;År1,0,AI180*(1-VLOOKUP($A181,[1]Hugst!$R$5:$W$9,MATCH(ROUNDUP((AJ$1)/10,0)*10,[1]Hugst!$R$4:$W$4,0))))</f>
        <v>0</v>
      </c>
    </row>
    <row r="182" spans="1:36" x14ac:dyDescent="0.25">
      <c r="A182" t="s">
        <v>178</v>
      </c>
      <c r="B182" t="s">
        <v>24</v>
      </c>
      <c r="C182">
        <v>2045</v>
      </c>
      <c r="D182" cm="1">
        <f t="array" ref="D182">(IF(B182="Vestdanmark",Skovbrug!$C$22-(Skovbrug!$C$22)*(1-Skovbrug!$C$9)^(C182-Skovbrug!$B$12),Skovbrug!$F$22-(Skovbrug!$F$22)*(1-Skovbrug!$C$9)^(C182-Skovbrug!$B$12)))*VLOOKUP(A182,Skovbrug!$A$13:$D$17,IF('Skovbrug-alder'!C182&lt;=År2,3,4),FALSE)
-IF(C182&gt;2020,SUM(INDEX($C$1:$D$311,MATCH(1,(2020=$C$1:$C$311)*(B182=$B$1:$B$311)*(A182=$A$1:$A$311),0),2):D181),0)</f>
        <v>28.086689718032744</v>
      </c>
      <c r="E182">
        <f t="shared" ca="1" si="3"/>
        <v>0</v>
      </c>
      <c r="F182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69.290393421736468</v>
      </c>
      <c r="G182">
        <f ca="1">IF($C182-G$1&lt;År1,0,F181*(1-VLOOKUP($A182,[1]Hugst!$R$5:$W$9,MATCH(ROUNDUP((G$1)/10,0)*10,[1]Hugst!$R$4:$W$4,0))))</f>
        <v>69.431532566047878</v>
      </c>
      <c r="H182">
        <f ca="1">IF($C182-H$1&lt;År1,0,G181*(1-VLOOKUP($A182,[1]Hugst!$R$5:$W$9,MATCH(ROUNDUP((H$1)/10,0)*10,[1]Hugst!$R$4:$W$4,0))))</f>
        <v>69.573380952291387</v>
      </c>
      <c r="I182">
        <f ca="1">IF($C182-I$1&lt;År1,0,H181*(1-VLOOKUP($A182,[1]Hugst!$R$5:$W$9,MATCH(ROUNDUP((I$1)/10,0)*10,[1]Hugst!$R$4:$W$4,0))))</f>
        <v>69.715942144495131</v>
      </c>
      <c r="J182">
        <f ca="1">IF($C182-J$1&lt;År1,0,I181*(1-VLOOKUP($A182,[1]Hugst!$R$5:$W$9,MATCH(ROUNDUP((J$1)/10,0)*10,[1]Hugst!$R$4:$W$4,0))))</f>
        <v>69.859219724599853</v>
      </c>
      <c r="K182">
        <f ca="1">IF($C182-K$1&lt;År1,0,J181*(1-VLOOKUP($A182,[1]Hugst!$R$5:$W$9,MATCH(ROUNDUP((K$1)/10,0)*10,[1]Hugst!$R$4:$W$4,0))))</f>
        <v>70.003217292543724</v>
      </c>
      <c r="L182">
        <f ca="1">IF($C182-L$1&lt;År1,0,K181*(1-VLOOKUP($A182,[1]Hugst!$R$5:$W$9,MATCH(ROUNDUP((L$1)/10,0)*10,[1]Hugst!$R$4:$W$4,0))))</f>
        <v>70.147938466356578</v>
      </c>
      <c r="M182">
        <f ca="1">IF($C182-M$1&lt;År1,0,L181*(1-VLOOKUP($A182,[1]Hugst!$R$5:$W$9,MATCH(ROUNDUP((M$1)/10,0)*10,[1]Hugst!$R$4:$W$4,0))))</f>
        <v>70.293386882250417</v>
      </c>
      <c r="N182">
        <f ca="1">IF($C182-N$1&lt;År1,0,M181*(1-VLOOKUP($A182,[1]Hugst!$R$5:$W$9,MATCH(ROUNDUP((N$1)/10,0)*10,[1]Hugst!$R$4:$W$4,0))))</f>
        <v>70.439566194704895</v>
      </c>
      <c r="O182">
        <f ca="1">IF($C182-O$1&lt;År1,0,N181*(1-VLOOKUP($A182,[1]Hugst!$R$5:$W$9,MATCH(ROUNDUP((O$1)/10,0)*10,[1]Hugst!$R$4:$W$4,0))))</f>
        <v>70.586480076568961</v>
      </c>
      <c r="P182">
        <f ca="1">IF($C182-P$1&lt;År1,0,O181*(1-VLOOKUP($A182,[1]Hugst!$R$5:$W$9,MATCH(ROUNDUP((P$1)/10,0)*10,[1]Hugst!$R$4:$W$4,0))))</f>
        <v>70.734132219146801</v>
      </c>
      <c r="Q182">
        <f ca="1">IF($C182-Q$1&lt;År1,0,P181*(1-VLOOKUP($A182,[1]Hugst!$R$5:$W$9,MATCH(ROUNDUP((Q$1)/10,0)*10,[1]Hugst!$R$4:$W$4,0))))</f>
        <v>70.882526332289189</v>
      </c>
      <c r="R182">
        <f ca="1">IF($C182-R$1&lt;År1,0,Q181*(1-VLOOKUP($A182,[1]Hugst!$R$5:$W$9,MATCH(ROUNDUP((R$1)/10,0)*10,[1]Hugst!$R$4:$W$4,0))))</f>
        <v>71.031666144492959</v>
      </c>
      <c r="S182">
        <f ca="1">IF($C182-S$1&lt;År1,0,R181*(1-VLOOKUP($A182,[1]Hugst!$R$5:$W$9,MATCH(ROUNDUP((S$1)/10,0)*10,[1]Hugst!$R$4:$W$4,0))))</f>
        <v>71.181555402989858</v>
      </c>
      <c r="T182">
        <f ca="1">IF($C182-T$1&lt;År1,0,S181*(1-VLOOKUP($A182,[1]Hugst!$R$5:$W$9,MATCH(ROUNDUP((T$1)/10,0)*10,[1]Hugst!$R$4:$W$4,0))))</f>
        <v>71.332197873839419</v>
      </c>
      <c r="U182">
        <f ca="1">IF($C182-U$1&lt;År1,0,T181*(1-VLOOKUP($A182,[1]Hugst!$R$5:$W$9,MATCH(ROUNDUP((U$1)/10,0)*10,[1]Hugst!$R$4:$W$4,0))))</f>
        <v>105.19571855415381</v>
      </c>
      <c r="V182">
        <f ca="1">IF($C182-V$1&lt;År1,0,U181*(1-VLOOKUP($A182,[1]Hugst!$R$5:$W$9,MATCH(ROUNDUP((V$1)/10,0)*10,[1]Hugst!$R$4:$W$4,0))))</f>
        <v>105.34787882369238</v>
      </c>
      <c r="W182">
        <f ca="1">IF($C182-W$1&lt;År1,0,V181*(1-VLOOKUP($A182,[1]Hugst!$R$5:$W$9,MATCH(ROUNDUP((W$1)/10,0)*10,[1]Hugst!$R$4:$W$4,0))))</f>
        <v>105.50080371770207</v>
      </c>
      <c r="X182">
        <f ca="1">IF($C182-X$1&lt;År1,0,W181*(1-VLOOKUP($A182,[1]Hugst!$R$5:$W$9,MATCH(ROUNDUP((X$1)/10,0)*10,[1]Hugst!$R$4:$W$4,0))))</f>
        <v>105.65449707851479</v>
      </c>
      <c r="Y182">
        <f ca="1">IF($C182-Y$1&lt;År1,0,X181*(1-VLOOKUP($A182,[1]Hugst!$R$5:$W$9,MATCH(ROUNDUP((Y$1)/10,0)*10,[1]Hugst!$R$4:$W$4,0))))</f>
        <v>105.80896276777605</v>
      </c>
      <c r="Z182">
        <f ca="1">IF($C182-Z$1&lt;År1,0,Y181*(1-VLOOKUP($A182,[1]Hugst!$R$5:$W$9,MATCH(ROUNDUP((Z$1)/10,0)*10,[1]Hugst!$R$4:$W$4,0))))</f>
        <v>105.96420466652819</v>
      </c>
      <c r="AA182">
        <f ca="1">IF($C182-AA$1&lt;År1,0,Z181*(1-VLOOKUP($A182,[1]Hugst!$R$5:$W$9,MATCH(ROUNDUP((AA$1)/10,0)*10,[1]Hugst!$R$4:$W$4,0))))</f>
        <v>106.12022667532625</v>
      </c>
      <c r="AB182">
        <f ca="1">IF($C182-AB$1&lt;År1,0,AA181*(1-VLOOKUP($A182,[1]Hugst!$R$5:$W$9,MATCH(ROUNDUP((AB$1)/10,0)*10,[1]Hugst!$R$4:$W$4,0))))</f>
        <v>106.27703271431785</v>
      </c>
      <c r="AC182">
        <f ca="1">IF($C182-AC$1&lt;År1,0,AB181*(1-VLOOKUP($A182,[1]Hugst!$R$5:$W$9,MATCH(ROUNDUP((AC$1)/10,0)*10,[1]Hugst!$R$4:$W$4,0))))</f>
        <v>106.4346267233563</v>
      </c>
      <c r="AD182">
        <f ca="1">IF($C182-AD$1&lt;År1,0,AC181*(1-VLOOKUP($A182,[1]Hugst!$R$5:$W$9,MATCH(ROUNDUP((AD$1)/10,0)*10,[1]Hugst!$R$4:$W$4,0))))</f>
        <v>106.59301266208753</v>
      </c>
      <c r="AE182">
        <f ca="1">IF($C182-AE$1&lt;År1,0,AD181*(1-VLOOKUP($A182,[1]Hugst!$R$5:$W$9,MATCH(ROUNDUP((AE$1)/10,0)*10,[1]Hugst!$R$4:$W$4,0))))</f>
        <v>106.75219451005873</v>
      </c>
      <c r="AF182">
        <f>IF($C182-AF$1&lt;År1,0,AE181*(1-VLOOKUP($A182,[1]Hugst!$R$5:$W$9,MATCH(ROUNDUP((AF$1)/10,0)*10,[1]Hugst!$R$4:$W$4,0))))</f>
        <v>0</v>
      </c>
      <c r="AG182">
        <f>IF($C182-AG$1&lt;År1,0,AF181*(1-VLOOKUP($A182,[1]Hugst!$R$5:$W$9,MATCH(ROUNDUP((AG$1)/10,0)*10,[1]Hugst!$R$4:$W$4,0))))</f>
        <v>0</v>
      </c>
      <c r="AH182">
        <f>IF($C182-AH$1&lt;År1,0,AG181*(1-VLOOKUP($A182,[1]Hugst!$R$5:$W$9,MATCH(ROUNDUP((AH$1)/10,0)*10,[1]Hugst!$R$4:$W$4,0))))</f>
        <v>0</v>
      </c>
      <c r="AI182">
        <f>IF($C182-AI$1&lt;År1,0,AH181*(1-VLOOKUP($A182,[1]Hugst!$R$5:$W$9,MATCH(ROUNDUP((AI$1)/10,0)*10,[1]Hugst!$R$4:$W$4,0))))</f>
        <v>0</v>
      </c>
      <c r="AJ182">
        <f>IF($C182-AJ$1&lt;År1,0,AI181*(1-VLOOKUP($A182,[1]Hugst!$R$5:$W$9,MATCH(ROUNDUP((AJ$1)/10,0)*10,[1]Hugst!$R$4:$W$4,0))))</f>
        <v>0</v>
      </c>
    </row>
    <row r="183" spans="1:36" x14ac:dyDescent="0.25">
      <c r="A183" t="s">
        <v>178</v>
      </c>
      <c r="B183" t="s">
        <v>24</v>
      </c>
      <c r="C183">
        <v>2046</v>
      </c>
      <c r="D183" cm="1">
        <f t="array" ref="D183">(IF(B183="Vestdanmark",Skovbrug!$C$22-(Skovbrug!$C$22)*(1-Skovbrug!$C$9)^(C183-Skovbrug!$B$12),Skovbrug!$F$22-(Skovbrug!$F$22)*(1-Skovbrug!$C$9)^(C183-Skovbrug!$B$12)))*VLOOKUP(A183,Skovbrug!$A$13:$D$17,IF('Skovbrug-alder'!C183&lt;=År2,3,4),FALSE)
-IF(C183&gt;2020,SUM(INDEX($C$1:$D$311,MATCH(1,(2020=$C$1:$C$311)*(B183=$B$1:$B$311)*(A183=$A$1:$A$311),0),2):D182),0)</f>
        <v>27.946256269443325</v>
      </c>
      <c r="E183">
        <f t="shared" ca="1" si="3"/>
        <v>0</v>
      </c>
      <c r="F183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69.149959973147048</v>
      </c>
      <c r="G183">
        <f ca="1">IF($C183-G$1&lt;År1,0,F182*(1-VLOOKUP($A183,[1]Hugst!$R$5:$W$9,MATCH(ROUNDUP((G$1)/10,0)*10,[1]Hugst!$R$4:$W$4,0))))</f>
        <v>69.290393421736468</v>
      </c>
      <c r="H183">
        <f ca="1">IF($C183-H$1&lt;År1,0,G182*(1-VLOOKUP($A183,[1]Hugst!$R$5:$W$9,MATCH(ROUNDUP((H$1)/10,0)*10,[1]Hugst!$R$4:$W$4,0))))</f>
        <v>69.431532566047878</v>
      </c>
      <c r="I183">
        <f ca="1">IF($C183-I$1&lt;År1,0,H182*(1-VLOOKUP($A183,[1]Hugst!$R$5:$W$9,MATCH(ROUNDUP((I$1)/10,0)*10,[1]Hugst!$R$4:$W$4,0))))</f>
        <v>69.573380952291387</v>
      </c>
      <c r="J183">
        <f ca="1">IF($C183-J$1&lt;År1,0,I182*(1-VLOOKUP($A183,[1]Hugst!$R$5:$W$9,MATCH(ROUNDUP((J$1)/10,0)*10,[1]Hugst!$R$4:$W$4,0))))</f>
        <v>69.715942144495131</v>
      </c>
      <c r="K183">
        <f ca="1">IF($C183-K$1&lt;År1,0,J182*(1-VLOOKUP($A183,[1]Hugst!$R$5:$W$9,MATCH(ROUNDUP((K$1)/10,0)*10,[1]Hugst!$R$4:$W$4,0))))</f>
        <v>69.859219724599853</v>
      </c>
      <c r="L183">
        <f ca="1">IF($C183-L$1&lt;År1,0,K182*(1-VLOOKUP($A183,[1]Hugst!$R$5:$W$9,MATCH(ROUNDUP((L$1)/10,0)*10,[1]Hugst!$R$4:$W$4,0))))</f>
        <v>70.003217292543724</v>
      </c>
      <c r="M183">
        <f ca="1">IF($C183-M$1&lt;År1,0,L182*(1-VLOOKUP($A183,[1]Hugst!$R$5:$W$9,MATCH(ROUNDUP((M$1)/10,0)*10,[1]Hugst!$R$4:$W$4,0))))</f>
        <v>70.147938466356578</v>
      </c>
      <c r="N183">
        <f ca="1">IF($C183-N$1&lt;År1,0,M182*(1-VLOOKUP($A183,[1]Hugst!$R$5:$W$9,MATCH(ROUNDUP((N$1)/10,0)*10,[1]Hugst!$R$4:$W$4,0))))</f>
        <v>70.293386882250417</v>
      </c>
      <c r="O183">
        <f ca="1">IF($C183-O$1&lt;År1,0,N182*(1-VLOOKUP($A183,[1]Hugst!$R$5:$W$9,MATCH(ROUNDUP((O$1)/10,0)*10,[1]Hugst!$R$4:$W$4,0))))</f>
        <v>70.439566194704895</v>
      </c>
      <c r="P183">
        <f ca="1">IF($C183-P$1&lt;År1,0,O182*(1-VLOOKUP($A183,[1]Hugst!$R$5:$W$9,MATCH(ROUNDUP((P$1)/10,0)*10,[1]Hugst!$R$4:$W$4,0))))</f>
        <v>70.586480076568961</v>
      </c>
      <c r="Q183">
        <f ca="1">IF($C183-Q$1&lt;År1,0,P182*(1-VLOOKUP($A183,[1]Hugst!$R$5:$W$9,MATCH(ROUNDUP((Q$1)/10,0)*10,[1]Hugst!$R$4:$W$4,0))))</f>
        <v>70.734132219146801</v>
      </c>
      <c r="R183">
        <f ca="1">IF($C183-R$1&lt;År1,0,Q182*(1-VLOOKUP($A183,[1]Hugst!$R$5:$W$9,MATCH(ROUNDUP((R$1)/10,0)*10,[1]Hugst!$R$4:$W$4,0))))</f>
        <v>70.882526332289189</v>
      </c>
      <c r="S183">
        <f ca="1">IF($C183-S$1&lt;År1,0,R182*(1-VLOOKUP($A183,[1]Hugst!$R$5:$W$9,MATCH(ROUNDUP((S$1)/10,0)*10,[1]Hugst!$R$4:$W$4,0))))</f>
        <v>71.031666144492959</v>
      </c>
      <c r="T183">
        <f ca="1">IF($C183-T$1&lt;År1,0,S182*(1-VLOOKUP($A183,[1]Hugst!$R$5:$W$9,MATCH(ROUNDUP((T$1)/10,0)*10,[1]Hugst!$R$4:$W$4,0))))</f>
        <v>71.181555402989858</v>
      </c>
      <c r="U183">
        <f ca="1">IF($C183-U$1&lt;År1,0,T182*(1-VLOOKUP($A183,[1]Hugst!$R$5:$W$9,MATCH(ROUNDUP((U$1)/10,0)*10,[1]Hugst!$R$4:$W$4,0))))</f>
        <v>71.332197873839419</v>
      </c>
      <c r="V183">
        <f ca="1">IF($C183-V$1&lt;År1,0,U182*(1-VLOOKUP($A183,[1]Hugst!$R$5:$W$9,MATCH(ROUNDUP((V$1)/10,0)*10,[1]Hugst!$R$4:$W$4,0))))</f>
        <v>105.19571855415381</v>
      </c>
      <c r="W183">
        <f ca="1">IF($C183-W$1&lt;År1,0,V182*(1-VLOOKUP($A183,[1]Hugst!$R$5:$W$9,MATCH(ROUNDUP((W$1)/10,0)*10,[1]Hugst!$R$4:$W$4,0))))</f>
        <v>105.34787882369238</v>
      </c>
      <c r="X183">
        <f ca="1">IF($C183-X$1&lt;År1,0,W182*(1-VLOOKUP($A183,[1]Hugst!$R$5:$W$9,MATCH(ROUNDUP((X$1)/10,0)*10,[1]Hugst!$R$4:$W$4,0))))</f>
        <v>105.50080371770207</v>
      </c>
      <c r="Y183">
        <f ca="1">IF($C183-Y$1&lt;År1,0,X182*(1-VLOOKUP($A183,[1]Hugst!$R$5:$W$9,MATCH(ROUNDUP((Y$1)/10,0)*10,[1]Hugst!$R$4:$W$4,0))))</f>
        <v>105.65449707851479</v>
      </c>
      <c r="Z183">
        <f ca="1">IF($C183-Z$1&lt;År1,0,Y182*(1-VLOOKUP($A183,[1]Hugst!$R$5:$W$9,MATCH(ROUNDUP((Z$1)/10,0)*10,[1]Hugst!$R$4:$W$4,0))))</f>
        <v>105.80896276777605</v>
      </c>
      <c r="AA183">
        <f ca="1">IF($C183-AA$1&lt;År1,0,Z182*(1-VLOOKUP($A183,[1]Hugst!$R$5:$W$9,MATCH(ROUNDUP((AA$1)/10,0)*10,[1]Hugst!$R$4:$W$4,0))))</f>
        <v>105.96420466652819</v>
      </c>
      <c r="AB183">
        <f ca="1">IF($C183-AB$1&lt;År1,0,AA182*(1-VLOOKUP($A183,[1]Hugst!$R$5:$W$9,MATCH(ROUNDUP((AB$1)/10,0)*10,[1]Hugst!$R$4:$W$4,0))))</f>
        <v>106.12022667532625</v>
      </c>
      <c r="AC183">
        <f ca="1">IF($C183-AC$1&lt;År1,0,AB182*(1-VLOOKUP($A183,[1]Hugst!$R$5:$W$9,MATCH(ROUNDUP((AC$1)/10,0)*10,[1]Hugst!$R$4:$W$4,0))))</f>
        <v>106.27703271431785</v>
      </c>
      <c r="AD183">
        <f ca="1">IF($C183-AD$1&lt;År1,0,AC182*(1-VLOOKUP($A183,[1]Hugst!$R$5:$W$9,MATCH(ROUNDUP((AD$1)/10,0)*10,[1]Hugst!$R$4:$W$4,0))))</f>
        <v>106.4346267233563</v>
      </c>
      <c r="AE183">
        <f ca="1">IF($C183-AE$1&lt;År1,0,AD182*(1-VLOOKUP($A183,[1]Hugst!$R$5:$W$9,MATCH(ROUNDUP((AE$1)/10,0)*10,[1]Hugst!$R$4:$W$4,0))))</f>
        <v>106.59301266208753</v>
      </c>
      <c r="AF183">
        <f ca="1">IF($C183-AF$1&lt;År1,0,AE182*(1-VLOOKUP($A183,[1]Hugst!$R$5:$W$9,MATCH(ROUNDUP((AF$1)/10,0)*10,[1]Hugst!$R$4:$W$4,0))))</f>
        <v>106.75219451005873</v>
      </c>
      <c r="AG183">
        <f>IF($C183-AG$1&lt;År1,0,AF182*(1-VLOOKUP($A183,[1]Hugst!$R$5:$W$9,MATCH(ROUNDUP((AG$1)/10,0)*10,[1]Hugst!$R$4:$W$4,0))))</f>
        <v>0</v>
      </c>
      <c r="AH183">
        <f>IF($C183-AH$1&lt;År1,0,AG182*(1-VLOOKUP($A183,[1]Hugst!$R$5:$W$9,MATCH(ROUNDUP((AH$1)/10,0)*10,[1]Hugst!$R$4:$W$4,0))))</f>
        <v>0</v>
      </c>
      <c r="AI183">
        <f>IF($C183-AI$1&lt;År1,0,AH182*(1-VLOOKUP($A183,[1]Hugst!$R$5:$W$9,MATCH(ROUNDUP((AI$1)/10,0)*10,[1]Hugst!$R$4:$W$4,0))))</f>
        <v>0</v>
      </c>
      <c r="AJ183">
        <f>IF($C183-AJ$1&lt;År1,0,AI182*(1-VLOOKUP($A183,[1]Hugst!$R$5:$W$9,MATCH(ROUNDUP((AJ$1)/10,0)*10,[1]Hugst!$R$4:$W$4,0))))</f>
        <v>0</v>
      </c>
    </row>
    <row r="184" spans="1:36" x14ac:dyDescent="0.25">
      <c r="A184" t="s">
        <v>178</v>
      </c>
      <c r="B184" t="s">
        <v>24</v>
      </c>
      <c r="C184">
        <v>2047</v>
      </c>
      <c r="D184" cm="1">
        <f t="array" ref="D184">(IF(B184="Vestdanmark",Skovbrug!$C$22-(Skovbrug!$C$22)*(1-Skovbrug!$C$9)^(C184-Skovbrug!$B$12),Skovbrug!$F$22-(Skovbrug!$F$22)*(1-Skovbrug!$C$9)^(C184-Skovbrug!$B$12)))*VLOOKUP(A184,Skovbrug!$A$13:$D$17,IF('Skovbrug-alder'!C184&lt;=År2,3,4),FALSE)
-IF(C184&gt;2020,SUM(INDEX($C$1:$D$311,MATCH(1,(2020=$C$1:$C$311)*(B184=$B$1:$B$311)*(A184=$A$1:$A$311),0),2):D183),0)</f>
        <v>27.806524988094225</v>
      </c>
      <c r="E184">
        <f t="shared" ca="1" si="3"/>
        <v>0</v>
      </c>
      <c r="F184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69.010228691797948</v>
      </c>
      <c r="G184">
        <f ca="1">IF($C184-G$1&lt;År1,0,F183*(1-VLOOKUP($A184,[1]Hugst!$R$5:$W$9,MATCH(ROUNDUP((G$1)/10,0)*10,[1]Hugst!$R$4:$W$4,0))))</f>
        <v>69.149959973147048</v>
      </c>
      <c r="H184">
        <f ca="1">IF($C184-H$1&lt;År1,0,G183*(1-VLOOKUP($A184,[1]Hugst!$R$5:$W$9,MATCH(ROUNDUP((H$1)/10,0)*10,[1]Hugst!$R$4:$W$4,0))))</f>
        <v>69.290393421736468</v>
      </c>
      <c r="I184">
        <f ca="1">IF($C184-I$1&lt;År1,0,H183*(1-VLOOKUP($A184,[1]Hugst!$R$5:$W$9,MATCH(ROUNDUP((I$1)/10,0)*10,[1]Hugst!$R$4:$W$4,0))))</f>
        <v>69.431532566047878</v>
      </c>
      <c r="J184">
        <f ca="1">IF($C184-J$1&lt;År1,0,I183*(1-VLOOKUP($A184,[1]Hugst!$R$5:$W$9,MATCH(ROUNDUP((J$1)/10,0)*10,[1]Hugst!$R$4:$W$4,0))))</f>
        <v>69.573380952291387</v>
      </c>
      <c r="K184">
        <f ca="1">IF($C184-K$1&lt;År1,0,J183*(1-VLOOKUP($A184,[1]Hugst!$R$5:$W$9,MATCH(ROUNDUP((K$1)/10,0)*10,[1]Hugst!$R$4:$W$4,0))))</f>
        <v>69.715942144495131</v>
      </c>
      <c r="L184">
        <f ca="1">IF($C184-L$1&lt;År1,0,K183*(1-VLOOKUP($A184,[1]Hugst!$R$5:$W$9,MATCH(ROUNDUP((L$1)/10,0)*10,[1]Hugst!$R$4:$W$4,0))))</f>
        <v>69.859219724599853</v>
      </c>
      <c r="M184">
        <f ca="1">IF($C184-M$1&lt;År1,0,L183*(1-VLOOKUP($A184,[1]Hugst!$R$5:$W$9,MATCH(ROUNDUP((M$1)/10,0)*10,[1]Hugst!$R$4:$W$4,0))))</f>
        <v>70.003217292543724</v>
      </c>
      <c r="N184">
        <f ca="1">IF($C184-N$1&lt;År1,0,M183*(1-VLOOKUP($A184,[1]Hugst!$R$5:$W$9,MATCH(ROUNDUP((N$1)/10,0)*10,[1]Hugst!$R$4:$W$4,0))))</f>
        <v>70.147938466356578</v>
      </c>
      <c r="O184">
        <f ca="1">IF($C184-O$1&lt;År1,0,N183*(1-VLOOKUP($A184,[1]Hugst!$R$5:$W$9,MATCH(ROUNDUP((O$1)/10,0)*10,[1]Hugst!$R$4:$W$4,0))))</f>
        <v>70.293386882250417</v>
      </c>
      <c r="P184">
        <f ca="1">IF($C184-P$1&lt;År1,0,O183*(1-VLOOKUP($A184,[1]Hugst!$R$5:$W$9,MATCH(ROUNDUP((P$1)/10,0)*10,[1]Hugst!$R$4:$W$4,0))))</f>
        <v>70.439566194704895</v>
      </c>
      <c r="Q184">
        <f ca="1">IF($C184-Q$1&lt;År1,0,P183*(1-VLOOKUP($A184,[1]Hugst!$R$5:$W$9,MATCH(ROUNDUP((Q$1)/10,0)*10,[1]Hugst!$R$4:$W$4,0))))</f>
        <v>70.586480076568961</v>
      </c>
      <c r="R184">
        <f ca="1">IF($C184-R$1&lt;År1,0,Q183*(1-VLOOKUP($A184,[1]Hugst!$R$5:$W$9,MATCH(ROUNDUP((R$1)/10,0)*10,[1]Hugst!$R$4:$W$4,0))))</f>
        <v>70.734132219146801</v>
      </c>
      <c r="S184">
        <f ca="1">IF($C184-S$1&lt;År1,0,R183*(1-VLOOKUP($A184,[1]Hugst!$R$5:$W$9,MATCH(ROUNDUP((S$1)/10,0)*10,[1]Hugst!$R$4:$W$4,0))))</f>
        <v>70.882526332289189</v>
      </c>
      <c r="T184">
        <f ca="1">IF($C184-T$1&lt;År1,0,S183*(1-VLOOKUP($A184,[1]Hugst!$R$5:$W$9,MATCH(ROUNDUP((T$1)/10,0)*10,[1]Hugst!$R$4:$W$4,0))))</f>
        <v>71.031666144492959</v>
      </c>
      <c r="U184">
        <f ca="1">IF($C184-U$1&lt;År1,0,T183*(1-VLOOKUP($A184,[1]Hugst!$R$5:$W$9,MATCH(ROUNDUP((U$1)/10,0)*10,[1]Hugst!$R$4:$W$4,0))))</f>
        <v>71.181555402989858</v>
      </c>
      <c r="V184">
        <f ca="1">IF($C184-V$1&lt;År1,0,U183*(1-VLOOKUP($A184,[1]Hugst!$R$5:$W$9,MATCH(ROUNDUP((V$1)/10,0)*10,[1]Hugst!$R$4:$W$4,0))))</f>
        <v>71.332197873839419</v>
      </c>
      <c r="W184">
        <f ca="1">IF($C184-W$1&lt;År1,0,V183*(1-VLOOKUP($A184,[1]Hugst!$R$5:$W$9,MATCH(ROUNDUP((W$1)/10,0)*10,[1]Hugst!$R$4:$W$4,0))))</f>
        <v>105.19571855415381</v>
      </c>
      <c r="X184">
        <f ca="1">IF($C184-X$1&lt;År1,0,W183*(1-VLOOKUP($A184,[1]Hugst!$R$5:$W$9,MATCH(ROUNDUP((X$1)/10,0)*10,[1]Hugst!$R$4:$W$4,0))))</f>
        <v>105.34787882369238</v>
      </c>
      <c r="Y184">
        <f ca="1">IF($C184-Y$1&lt;År1,0,X183*(1-VLOOKUP($A184,[1]Hugst!$R$5:$W$9,MATCH(ROUNDUP((Y$1)/10,0)*10,[1]Hugst!$R$4:$W$4,0))))</f>
        <v>105.50080371770207</v>
      </c>
      <c r="Z184">
        <f ca="1">IF($C184-Z$1&lt;År1,0,Y183*(1-VLOOKUP($A184,[1]Hugst!$R$5:$W$9,MATCH(ROUNDUP((Z$1)/10,0)*10,[1]Hugst!$R$4:$W$4,0))))</f>
        <v>105.65449707851479</v>
      </c>
      <c r="AA184">
        <f ca="1">IF($C184-AA$1&lt;År1,0,Z183*(1-VLOOKUP($A184,[1]Hugst!$R$5:$W$9,MATCH(ROUNDUP((AA$1)/10,0)*10,[1]Hugst!$R$4:$W$4,0))))</f>
        <v>105.80896276777605</v>
      </c>
      <c r="AB184">
        <f ca="1">IF($C184-AB$1&lt;År1,0,AA183*(1-VLOOKUP($A184,[1]Hugst!$R$5:$W$9,MATCH(ROUNDUP((AB$1)/10,0)*10,[1]Hugst!$R$4:$W$4,0))))</f>
        <v>105.96420466652819</v>
      </c>
      <c r="AC184">
        <f ca="1">IF($C184-AC$1&lt;År1,0,AB183*(1-VLOOKUP($A184,[1]Hugst!$R$5:$W$9,MATCH(ROUNDUP((AC$1)/10,0)*10,[1]Hugst!$R$4:$W$4,0))))</f>
        <v>106.12022667532625</v>
      </c>
      <c r="AD184">
        <f ca="1">IF($C184-AD$1&lt;År1,0,AC183*(1-VLOOKUP($A184,[1]Hugst!$R$5:$W$9,MATCH(ROUNDUP((AD$1)/10,0)*10,[1]Hugst!$R$4:$W$4,0))))</f>
        <v>106.27703271431785</v>
      </c>
      <c r="AE184">
        <f ca="1">IF($C184-AE$1&lt;År1,0,AD183*(1-VLOOKUP($A184,[1]Hugst!$R$5:$W$9,MATCH(ROUNDUP((AE$1)/10,0)*10,[1]Hugst!$R$4:$W$4,0))))</f>
        <v>106.4346267233563</v>
      </c>
      <c r="AF184">
        <f ca="1">IF($C184-AF$1&lt;År1,0,AE183*(1-VLOOKUP($A184,[1]Hugst!$R$5:$W$9,MATCH(ROUNDUP((AF$1)/10,0)*10,[1]Hugst!$R$4:$W$4,0))))</f>
        <v>106.59301266208753</v>
      </c>
      <c r="AG184">
        <f ca="1">IF($C184-AG$1&lt;År1,0,AF183*(1-VLOOKUP($A184,[1]Hugst!$R$5:$W$9,MATCH(ROUNDUP((AG$1)/10,0)*10,[1]Hugst!$R$4:$W$4,0))))</f>
        <v>106.75219451005873</v>
      </c>
      <c r="AH184">
        <f>IF($C184-AH$1&lt;År1,0,AG183*(1-VLOOKUP($A184,[1]Hugst!$R$5:$W$9,MATCH(ROUNDUP((AH$1)/10,0)*10,[1]Hugst!$R$4:$W$4,0))))</f>
        <v>0</v>
      </c>
      <c r="AI184">
        <f>IF($C184-AI$1&lt;År1,0,AH183*(1-VLOOKUP($A184,[1]Hugst!$R$5:$W$9,MATCH(ROUNDUP((AI$1)/10,0)*10,[1]Hugst!$R$4:$W$4,0))))</f>
        <v>0</v>
      </c>
      <c r="AJ184">
        <f>IF($C184-AJ$1&lt;År1,0,AI183*(1-VLOOKUP($A184,[1]Hugst!$R$5:$W$9,MATCH(ROUNDUP((AJ$1)/10,0)*10,[1]Hugst!$R$4:$W$4,0))))</f>
        <v>0</v>
      </c>
    </row>
    <row r="185" spans="1:36" x14ac:dyDescent="0.25">
      <c r="A185" t="s">
        <v>178</v>
      </c>
      <c r="B185" t="s">
        <v>24</v>
      </c>
      <c r="C185">
        <v>2048</v>
      </c>
      <c r="D185" cm="1">
        <f t="array" ref="D185">(IF(B185="Vestdanmark",Skovbrug!$C$22-(Skovbrug!$C$22)*(1-Skovbrug!$C$9)^(C185-Skovbrug!$B$12),Skovbrug!$F$22-(Skovbrug!$F$22)*(1-Skovbrug!$C$9)^(C185-Skovbrug!$B$12)))*VLOOKUP(A185,Skovbrug!$A$13:$D$17,IF('Skovbrug-alder'!C185&lt;=År2,3,4),FALSE)
-IF(C185&gt;2020,SUM(INDEX($C$1:$D$311,MATCH(1,(2020=$C$1:$C$311)*(B185=$B$1:$B$311)*(A185=$A$1:$A$311),0),2):D184),0)</f>
        <v>27.667492363154452</v>
      </c>
      <c r="E185">
        <f t="shared" ca="1" si="3"/>
        <v>0</v>
      </c>
      <c r="F185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68.871196066858175</v>
      </c>
      <c r="G185">
        <f ca="1">IF($C185-G$1&lt;År1,0,F184*(1-VLOOKUP($A185,[1]Hugst!$R$5:$W$9,MATCH(ROUNDUP((G$1)/10,0)*10,[1]Hugst!$R$4:$W$4,0))))</f>
        <v>69.010228691797948</v>
      </c>
      <c r="H185">
        <f ca="1">IF($C185-H$1&lt;År1,0,G184*(1-VLOOKUP($A185,[1]Hugst!$R$5:$W$9,MATCH(ROUNDUP((H$1)/10,0)*10,[1]Hugst!$R$4:$W$4,0))))</f>
        <v>69.149959973147048</v>
      </c>
      <c r="I185">
        <f ca="1">IF($C185-I$1&lt;År1,0,H184*(1-VLOOKUP($A185,[1]Hugst!$R$5:$W$9,MATCH(ROUNDUP((I$1)/10,0)*10,[1]Hugst!$R$4:$W$4,0))))</f>
        <v>69.290393421736468</v>
      </c>
      <c r="J185">
        <f ca="1">IF($C185-J$1&lt;År1,0,I184*(1-VLOOKUP($A185,[1]Hugst!$R$5:$W$9,MATCH(ROUNDUP((J$1)/10,0)*10,[1]Hugst!$R$4:$W$4,0))))</f>
        <v>69.431532566047878</v>
      </c>
      <c r="K185">
        <f ca="1">IF($C185-K$1&lt;År1,0,J184*(1-VLOOKUP($A185,[1]Hugst!$R$5:$W$9,MATCH(ROUNDUP((K$1)/10,0)*10,[1]Hugst!$R$4:$W$4,0))))</f>
        <v>69.573380952291387</v>
      </c>
      <c r="L185">
        <f ca="1">IF($C185-L$1&lt;År1,0,K184*(1-VLOOKUP($A185,[1]Hugst!$R$5:$W$9,MATCH(ROUNDUP((L$1)/10,0)*10,[1]Hugst!$R$4:$W$4,0))))</f>
        <v>69.715942144495131</v>
      </c>
      <c r="M185">
        <f ca="1">IF($C185-M$1&lt;År1,0,L184*(1-VLOOKUP($A185,[1]Hugst!$R$5:$W$9,MATCH(ROUNDUP((M$1)/10,0)*10,[1]Hugst!$R$4:$W$4,0))))</f>
        <v>69.859219724599853</v>
      </c>
      <c r="N185">
        <f ca="1">IF($C185-N$1&lt;År1,0,M184*(1-VLOOKUP($A185,[1]Hugst!$R$5:$W$9,MATCH(ROUNDUP((N$1)/10,0)*10,[1]Hugst!$R$4:$W$4,0))))</f>
        <v>70.003217292543724</v>
      </c>
      <c r="O185">
        <f ca="1">IF($C185-O$1&lt;År1,0,N184*(1-VLOOKUP($A185,[1]Hugst!$R$5:$W$9,MATCH(ROUNDUP((O$1)/10,0)*10,[1]Hugst!$R$4:$W$4,0))))</f>
        <v>70.147938466356578</v>
      </c>
      <c r="P185">
        <f ca="1">IF($C185-P$1&lt;År1,0,O184*(1-VLOOKUP($A185,[1]Hugst!$R$5:$W$9,MATCH(ROUNDUP((P$1)/10,0)*10,[1]Hugst!$R$4:$W$4,0))))</f>
        <v>70.293386882250417</v>
      </c>
      <c r="Q185">
        <f ca="1">IF($C185-Q$1&lt;År1,0,P184*(1-VLOOKUP($A185,[1]Hugst!$R$5:$W$9,MATCH(ROUNDUP((Q$1)/10,0)*10,[1]Hugst!$R$4:$W$4,0))))</f>
        <v>70.439566194704895</v>
      </c>
      <c r="R185">
        <f ca="1">IF($C185-R$1&lt;År1,0,Q184*(1-VLOOKUP($A185,[1]Hugst!$R$5:$W$9,MATCH(ROUNDUP((R$1)/10,0)*10,[1]Hugst!$R$4:$W$4,0))))</f>
        <v>70.586480076568961</v>
      </c>
      <c r="S185">
        <f ca="1">IF($C185-S$1&lt;År1,0,R184*(1-VLOOKUP($A185,[1]Hugst!$R$5:$W$9,MATCH(ROUNDUP((S$1)/10,0)*10,[1]Hugst!$R$4:$W$4,0))))</f>
        <v>70.734132219146801</v>
      </c>
      <c r="T185">
        <f ca="1">IF($C185-T$1&lt;År1,0,S184*(1-VLOOKUP($A185,[1]Hugst!$R$5:$W$9,MATCH(ROUNDUP((T$1)/10,0)*10,[1]Hugst!$R$4:$W$4,0))))</f>
        <v>70.882526332289189</v>
      </c>
      <c r="U185">
        <f ca="1">IF($C185-U$1&lt;År1,0,T184*(1-VLOOKUP($A185,[1]Hugst!$R$5:$W$9,MATCH(ROUNDUP((U$1)/10,0)*10,[1]Hugst!$R$4:$W$4,0))))</f>
        <v>71.031666144492959</v>
      </c>
      <c r="V185">
        <f ca="1">IF($C185-V$1&lt;År1,0,U184*(1-VLOOKUP($A185,[1]Hugst!$R$5:$W$9,MATCH(ROUNDUP((V$1)/10,0)*10,[1]Hugst!$R$4:$W$4,0))))</f>
        <v>71.181555402989858</v>
      </c>
      <c r="W185">
        <f ca="1">IF($C185-W$1&lt;År1,0,V184*(1-VLOOKUP($A185,[1]Hugst!$R$5:$W$9,MATCH(ROUNDUP((W$1)/10,0)*10,[1]Hugst!$R$4:$W$4,0))))</f>
        <v>71.332197873839419</v>
      </c>
      <c r="X185">
        <f ca="1">IF($C185-X$1&lt;År1,0,W184*(1-VLOOKUP($A185,[1]Hugst!$R$5:$W$9,MATCH(ROUNDUP((X$1)/10,0)*10,[1]Hugst!$R$4:$W$4,0))))</f>
        <v>105.19571855415381</v>
      </c>
      <c r="Y185">
        <f ca="1">IF($C185-Y$1&lt;År1,0,X184*(1-VLOOKUP($A185,[1]Hugst!$R$5:$W$9,MATCH(ROUNDUP((Y$1)/10,0)*10,[1]Hugst!$R$4:$W$4,0))))</f>
        <v>105.34787882369238</v>
      </c>
      <c r="Z185">
        <f ca="1">IF($C185-Z$1&lt;År1,0,Y184*(1-VLOOKUP($A185,[1]Hugst!$R$5:$W$9,MATCH(ROUNDUP((Z$1)/10,0)*10,[1]Hugst!$R$4:$W$4,0))))</f>
        <v>105.50080371770207</v>
      </c>
      <c r="AA185">
        <f ca="1">IF($C185-AA$1&lt;År1,0,Z184*(1-VLOOKUP($A185,[1]Hugst!$R$5:$W$9,MATCH(ROUNDUP((AA$1)/10,0)*10,[1]Hugst!$R$4:$W$4,0))))</f>
        <v>105.65449707851479</v>
      </c>
      <c r="AB185">
        <f ca="1">IF($C185-AB$1&lt;År1,0,AA184*(1-VLOOKUP($A185,[1]Hugst!$R$5:$W$9,MATCH(ROUNDUP((AB$1)/10,0)*10,[1]Hugst!$R$4:$W$4,0))))</f>
        <v>105.80896276777605</v>
      </c>
      <c r="AC185">
        <f ca="1">IF($C185-AC$1&lt;År1,0,AB184*(1-VLOOKUP($A185,[1]Hugst!$R$5:$W$9,MATCH(ROUNDUP((AC$1)/10,0)*10,[1]Hugst!$R$4:$W$4,0))))</f>
        <v>105.96420466652819</v>
      </c>
      <c r="AD185">
        <f ca="1">IF($C185-AD$1&lt;År1,0,AC184*(1-VLOOKUP($A185,[1]Hugst!$R$5:$W$9,MATCH(ROUNDUP((AD$1)/10,0)*10,[1]Hugst!$R$4:$W$4,0))))</f>
        <v>106.12022667532625</v>
      </c>
      <c r="AE185">
        <f ca="1">IF($C185-AE$1&lt;År1,0,AD184*(1-VLOOKUP($A185,[1]Hugst!$R$5:$W$9,MATCH(ROUNDUP((AE$1)/10,0)*10,[1]Hugst!$R$4:$W$4,0))))</f>
        <v>106.27703271431785</v>
      </c>
      <c r="AF185">
        <f ca="1">IF($C185-AF$1&lt;År1,0,AE184*(1-VLOOKUP($A185,[1]Hugst!$R$5:$W$9,MATCH(ROUNDUP((AF$1)/10,0)*10,[1]Hugst!$R$4:$W$4,0))))</f>
        <v>106.4346267233563</v>
      </c>
      <c r="AG185">
        <f ca="1">IF($C185-AG$1&lt;År1,0,AF184*(1-VLOOKUP($A185,[1]Hugst!$R$5:$W$9,MATCH(ROUNDUP((AG$1)/10,0)*10,[1]Hugst!$R$4:$W$4,0))))</f>
        <v>106.59301266208753</v>
      </c>
      <c r="AH185">
        <f ca="1">IF($C185-AH$1&lt;År1,0,AG184*(1-VLOOKUP($A185,[1]Hugst!$R$5:$W$9,MATCH(ROUNDUP((AH$1)/10,0)*10,[1]Hugst!$R$4:$W$4,0))))</f>
        <v>106.75219451005873</v>
      </c>
      <c r="AI185">
        <f>IF($C185-AI$1&lt;År1,0,AH184*(1-VLOOKUP($A185,[1]Hugst!$R$5:$W$9,MATCH(ROUNDUP((AI$1)/10,0)*10,[1]Hugst!$R$4:$W$4,0))))</f>
        <v>0</v>
      </c>
      <c r="AJ185">
        <f>IF($C185-AJ$1&lt;År1,0,AI184*(1-VLOOKUP($A185,[1]Hugst!$R$5:$W$9,MATCH(ROUNDUP((AJ$1)/10,0)*10,[1]Hugst!$R$4:$W$4,0))))</f>
        <v>0</v>
      </c>
    </row>
    <row r="186" spans="1:36" x14ac:dyDescent="0.25">
      <c r="A186" t="s">
        <v>178</v>
      </c>
      <c r="B186" t="s">
        <v>24</v>
      </c>
      <c r="C186">
        <v>2049</v>
      </c>
      <c r="D186" cm="1">
        <f t="array" ref="D186">(IF(B186="Vestdanmark",Skovbrug!$C$22-(Skovbrug!$C$22)*(1-Skovbrug!$C$9)^(C186-Skovbrug!$B$12),Skovbrug!$F$22-(Skovbrug!$F$22)*(1-Skovbrug!$C$9)^(C186-Skovbrug!$B$12)))*VLOOKUP(A186,Skovbrug!$A$13:$D$17,IF('Skovbrug-alder'!C186&lt;=År2,3,4),FALSE)
-IF(C186&gt;2020,SUM(INDEX($C$1:$D$311,MATCH(1,(2020=$C$1:$C$311)*(B186=$B$1:$B$311)*(A186=$A$1:$A$311),0),2):D185),0)</f>
        <v>27.529154901339666</v>
      </c>
      <c r="E186">
        <f t="shared" ca="1" si="3"/>
        <v>0</v>
      </c>
      <c r="F186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68.73285860504339</v>
      </c>
      <c r="G186">
        <f ca="1">IF($C186-G$1&lt;År1,0,F185*(1-VLOOKUP($A186,[1]Hugst!$R$5:$W$9,MATCH(ROUNDUP((G$1)/10,0)*10,[1]Hugst!$R$4:$W$4,0))))</f>
        <v>68.871196066858175</v>
      </c>
      <c r="H186">
        <f ca="1">IF($C186-H$1&lt;År1,0,G185*(1-VLOOKUP($A186,[1]Hugst!$R$5:$W$9,MATCH(ROUNDUP((H$1)/10,0)*10,[1]Hugst!$R$4:$W$4,0))))</f>
        <v>69.010228691797948</v>
      </c>
      <c r="I186">
        <f ca="1">IF($C186-I$1&lt;År1,0,H185*(1-VLOOKUP($A186,[1]Hugst!$R$5:$W$9,MATCH(ROUNDUP((I$1)/10,0)*10,[1]Hugst!$R$4:$W$4,0))))</f>
        <v>69.149959973147048</v>
      </c>
      <c r="J186">
        <f ca="1">IF($C186-J$1&lt;År1,0,I185*(1-VLOOKUP($A186,[1]Hugst!$R$5:$W$9,MATCH(ROUNDUP((J$1)/10,0)*10,[1]Hugst!$R$4:$W$4,0))))</f>
        <v>69.290393421736468</v>
      </c>
      <c r="K186">
        <f ca="1">IF($C186-K$1&lt;År1,0,J185*(1-VLOOKUP($A186,[1]Hugst!$R$5:$W$9,MATCH(ROUNDUP((K$1)/10,0)*10,[1]Hugst!$R$4:$W$4,0))))</f>
        <v>69.431532566047878</v>
      </c>
      <c r="L186">
        <f ca="1">IF($C186-L$1&lt;År1,0,K185*(1-VLOOKUP($A186,[1]Hugst!$R$5:$W$9,MATCH(ROUNDUP((L$1)/10,0)*10,[1]Hugst!$R$4:$W$4,0))))</f>
        <v>69.573380952291387</v>
      </c>
      <c r="M186">
        <f ca="1">IF($C186-M$1&lt;År1,0,L185*(1-VLOOKUP($A186,[1]Hugst!$R$5:$W$9,MATCH(ROUNDUP((M$1)/10,0)*10,[1]Hugst!$R$4:$W$4,0))))</f>
        <v>69.715942144495131</v>
      </c>
      <c r="N186">
        <f ca="1">IF($C186-N$1&lt;År1,0,M185*(1-VLOOKUP($A186,[1]Hugst!$R$5:$W$9,MATCH(ROUNDUP((N$1)/10,0)*10,[1]Hugst!$R$4:$W$4,0))))</f>
        <v>69.859219724599853</v>
      </c>
      <c r="O186">
        <f ca="1">IF($C186-O$1&lt;År1,0,N185*(1-VLOOKUP($A186,[1]Hugst!$R$5:$W$9,MATCH(ROUNDUP((O$1)/10,0)*10,[1]Hugst!$R$4:$W$4,0))))</f>
        <v>70.003217292543724</v>
      </c>
      <c r="P186">
        <f ca="1">IF($C186-P$1&lt;År1,0,O185*(1-VLOOKUP($A186,[1]Hugst!$R$5:$W$9,MATCH(ROUNDUP((P$1)/10,0)*10,[1]Hugst!$R$4:$W$4,0))))</f>
        <v>70.147938466356578</v>
      </c>
      <c r="Q186">
        <f ca="1">IF($C186-Q$1&lt;År1,0,P185*(1-VLOOKUP($A186,[1]Hugst!$R$5:$W$9,MATCH(ROUNDUP((Q$1)/10,0)*10,[1]Hugst!$R$4:$W$4,0))))</f>
        <v>70.293386882250417</v>
      </c>
      <c r="R186">
        <f ca="1">IF($C186-R$1&lt;År1,0,Q185*(1-VLOOKUP($A186,[1]Hugst!$R$5:$W$9,MATCH(ROUNDUP((R$1)/10,0)*10,[1]Hugst!$R$4:$W$4,0))))</f>
        <v>70.439566194704895</v>
      </c>
      <c r="S186">
        <f ca="1">IF($C186-S$1&lt;År1,0,R185*(1-VLOOKUP($A186,[1]Hugst!$R$5:$W$9,MATCH(ROUNDUP((S$1)/10,0)*10,[1]Hugst!$R$4:$W$4,0))))</f>
        <v>70.586480076568961</v>
      </c>
      <c r="T186">
        <f ca="1">IF($C186-T$1&lt;År1,0,S185*(1-VLOOKUP($A186,[1]Hugst!$R$5:$W$9,MATCH(ROUNDUP((T$1)/10,0)*10,[1]Hugst!$R$4:$W$4,0))))</f>
        <v>70.734132219146801</v>
      </c>
      <c r="U186">
        <f ca="1">IF($C186-U$1&lt;År1,0,T185*(1-VLOOKUP($A186,[1]Hugst!$R$5:$W$9,MATCH(ROUNDUP((U$1)/10,0)*10,[1]Hugst!$R$4:$W$4,0))))</f>
        <v>70.882526332289189</v>
      </c>
      <c r="V186">
        <f ca="1">IF($C186-V$1&lt;År1,0,U185*(1-VLOOKUP($A186,[1]Hugst!$R$5:$W$9,MATCH(ROUNDUP((V$1)/10,0)*10,[1]Hugst!$R$4:$W$4,0))))</f>
        <v>71.031666144492959</v>
      </c>
      <c r="W186">
        <f ca="1">IF($C186-W$1&lt;År1,0,V185*(1-VLOOKUP($A186,[1]Hugst!$R$5:$W$9,MATCH(ROUNDUP((W$1)/10,0)*10,[1]Hugst!$R$4:$W$4,0))))</f>
        <v>71.181555402989858</v>
      </c>
      <c r="X186">
        <f ca="1">IF($C186-X$1&lt;År1,0,W185*(1-VLOOKUP($A186,[1]Hugst!$R$5:$W$9,MATCH(ROUNDUP((X$1)/10,0)*10,[1]Hugst!$R$4:$W$4,0))))</f>
        <v>71.332197873839419</v>
      </c>
      <c r="Y186">
        <f ca="1">IF($C186-Y$1&lt;År1,0,X185*(1-VLOOKUP($A186,[1]Hugst!$R$5:$W$9,MATCH(ROUNDUP((Y$1)/10,0)*10,[1]Hugst!$R$4:$W$4,0))))</f>
        <v>105.19571855415381</v>
      </c>
      <c r="Z186">
        <f ca="1">IF($C186-Z$1&lt;År1,0,Y185*(1-VLOOKUP($A186,[1]Hugst!$R$5:$W$9,MATCH(ROUNDUP((Z$1)/10,0)*10,[1]Hugst!$R$4:$W$4,0))))</f>
        <v>105.34787882369238</v>
      </c>
      <c r="AA186">
        <f ca="1">IF($C186-AA$1&lt;År1,0,Z185*(1-VLOOKUP($A186,[1]Hugst!$R$5:$W$9,MATCH(ROUNDUP((AA$1)/10,0)*10,[1]Hugst!$R$4:$W$4,0))))</f>
        <v>105.50080371770207</v>
      </c>
      <c r="AB186">
        <f ca="1">IF($C186-AB$1&lt;År1,0,AA185*(1-VLOOKUP($A186,[1]Hugst!$R$5:$W$9,MATCH(ROUNDUP((AB$1)/10,0)*10,[1]Hugst!$R$4:$W$4,0))))</f>
        <v>105.65449707851479</v>
      </c>
      <c r="AC186">
        <f ca="1">IF($C186-AC$1&lt;År1,0,AB185*(1-VLOOKUP($A186,[1]Hugst!$R$5:$W$9,MATCH(ROUNDUP((AC$1)/10,0)*10,[1]Hugst!$R$4:$W$4,0))))</f>
        <v>105.80896276777605</v>
      </c>
      <c r="AD186">
        <f ca="1">IF($C186-AD$1&lt;År1,0,AC185*(1-VLOOKUP($A186,[1]Hugst!$R$5:$W$9,MATCH(ROUNDUP((AD$1)/10,0)*10,[1]Hugst!$R$4:$W$4,0))))</f>
        <v>105.96420466652819</v>
      </c>
      <c r="AE186">
        <f ca="1">IF($C186-AE$1&lt;År1,0,AD185*(1-VLOOKUP($A186,[1]Hugst!$R$5:$W$9,MATCH(ROUNDUP((AE$1)/10,0)*10,[1]Hugst!$R$4:$W$4,0))))</f>
        <v>106.12022667532625</v>
      </c>
      <c r="AF186">
        <f ca="1">IF($C186-AF$1&lt;År1,0,AE185*(1-VLOOKUP($A186,[1]Hugst!$R$5:$W$9,MATCH(ROUNDUP((AF$1)/10,0)*10,[1]Hugst!$R$4:$W$4,0))))</f>
        <v>106.27703271431785</v>
      </c>
      <c r="AG186">
        <f ca="1">IF($C186-AG$1&lt;År1,0,AF185*(1-VLOOKUP($A186,[1]Hugst!$R$5:$W$9,MATCH(ROUNDUP((AG$1)/10,0)*10,[1]Hugst!$R$4:$W$4,0))))</f>
        <v>106.4346267233563</v>
      </c>
      <c r="AH186">
        <f ca="1">IF($C186-AH$1&lt;År1,0,AG185*(1-VLOOKUP($A186,[1]Hugst!$R$5:$W$9,MATCH(ROUNDUP((AH$1)/10,0)*10,[1]Hugst!$R$4:$W$4,0))))</f>
        <v>106.59301266208753</v>
      </c>
      <c r="AI186">
        <f ca="1">IF($C186-AI$1&lt;År1,0,AH185*(1-VLOOKUP($A186,[1]Hugst!$R$5:$W$9,MATCH(ROUNDUP((AI$1)/10,0)*10,[1]Hugst!$R$4:$W$4,0))))</f>
        <v>106.75219451005873</v>
      </c>
      <c r="AJ186">
        <f>IF($C186-AJ$1&lt;År1,0,AI185*(1-VLOOKUP($A186,[1]Hugst!$R$5:$W$9,MATCH(ROUNDUP((AJ$1)/10,0)*10,[1]Hugst!$R$4:$W$4,0))))</f>
        <v>0</v>
      </c>
    </row>
    <row r="187" spans="1:36" x14ac:dyDescent="0.25">
      <c r="A187" t="s">
        <v>178</v>
      </c>
      <c r="B187" t="s">
        <v>24</v>
      </c>
      <c r="C187">
        <v>2050</v>
      </c>
      <c r="D187" cm="1">
        <f t="array" ref="D187">(IF(B187="Vestdanmark",Skovbrug!$C$22-(Skovbrug!$C$22)*(1-Skovbrug!$C$9)^(C187-Skovbrug!$B$12),Skovbrug!$F$22-(Skovbrug!$F$22)*(1-Skovbrug!$C$9)^(C187-Skovbrug!$B$12)))*VLOOKUP(A187,Skovbrug!$A$13:$D$17,IF('Skovbrug-alder'!C187&lt;=År2,3,4),FALSE)
-IF(C187&gt;2020,SUM(INDEX($C$1:$D$311,MATCH(1,(2020=$C$1:$C$311)*(B187=$B$1:$B$311)*(A187=$A$1:$A$311),0),2):D186),0)</f>
        <v>27.391509126832602</v>
      </c>
      <c r="E187">
        <f t="shared" ca="1" si="3"/>
        <v>0.1940948991091318</v>
      </c>
      <c r="F187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68.789307729645458</v>
      </c>
      <c r="G187">
        <f ca="1">IF($C187-G$1&lt;År1,0,F186*(1-VLOOKUP($A187,[1]Hugst!$R$5:$W$9,MATCH(ROUNDUP((G$1)/10,0)*10,[1]Hugst!$R$4:$W$4,0))))</f>
        <v>68.73285860504339</v>
      </c>
      <c r="H187">
        <f ca="1">IF($C187-H$1&lt;År1,0,G186*(1-VLOOKUP($A187,[1]Hugst!$R$5:$W$9,MATCH(ROUNDUP((H$1)/10,0)*10,[1]Hugst!$R$4:$W$4,0))))</f>
        <v>68.871196066858175</v>
      </c>
      <c r="I187">
        <f ca="1">IF($C187-I$1&lt;År1,0,H186*(1-VLOOKUP($A187,[1]Hugst!$R$5:$W$9,MATCH(ROUNDUP((I$1)/10,0)*10,[1]Hugst!$R$4:$W$4,0))))</f>
        <v>69.010228691797948</v>
      </c>
      <c r="J187">
        <f ca="1">IF($C187-J$1&lt;År1,0,I186*(1-VLOOKUP($A187,[1]Hugst!$R$5:$W$9,MATCH(ROUNDUP((J$1)/10,0)*10,[1]Hugst!$R$4:$W$4,0))))</f>
        <v>69.149959973147048</v>
      </c>
      <c r="K187">
        <f ca="1">IF($C187-K$1&lt;År1,0,J186*(1-VLOOKUP($A187,[1]Hugst!$R$5:$W$9,MATCH(ROUNDUP((K$1)/10,0)*10,[1]Hugst!$R$4:$W$4,0))))</f>
        <v>69.290393421736468</v>
      </c>
      <c r="L187">
        <f ca="1">IF($C187-L$1&lt;År1,0,K186*(1-VLOOKUP($A187,[1]Hugst!$R$5:$W$9,MATCH(ROUNDUP((L$1)/10,0)*10,[1]Hugst!$R$4:$W$4,0))))</f>
        <v>69.431532566047878</v>
      </c>
      <c r="M187">
        <f ca="1">IF($C187-M$1&lt;År1,0,L186*(1-VLOOKUP($A187,[1]Hugst!$R$5:$W$9,MATCH(ROUNDUP((M$1)/10,0)*10,[1]Hugst!$R$4:$W$4,0))))</f>
        <v>69.573380952291387</v>
      </c>
      <c r="N187">
        <f ca="1">IF($C187-N$1&lt;År1,0,M186*(1-VLOOKUP($A187,[1]Hugst!$R$5:$W$9,MATCH(ROUNDUP((N$1)/10,0)*10,[1]Hugst!$R$4:$W$4,0))))</f>
        <v>69.715942144495131</v>
      </c>
      <c r="O187">
        <f ca="1">IF($C187-O$1&lt;År1,0,N186*(1-VLOOKUP($A187,[1]Hugst!$R$5:$W$9,MATCH(ROUNDUP((O$1)/10,0)*10,[1]Hugst!$R$4:$W$4,0))))</f>
        <v>69.859219724599853</v>
      </c>
      <c r="P187">
        <f ca="1">IF($C187-P$1&lt;År1,0,O186*(1-VLOOKUP($A187,[1]Hugst!$R$5:$W$9,MATCH(ROUNDUP((P$1)/10,0)*10,[1]Hugst!$R$4:$W$4,0))))</f>
        <v>70.003217292543724</v>
      </c>
      <c r="Q187">
        <f ca="1">IF($C187-Q$1&lt;År1,0,P186*(1-VLOOKUP($A187,[1]Hugst!$R$5:$W$9,MATCH(ROUNDUP((Q$1)/10,0)*10,[1]Hugst!$R$4:$W$4,0))))</f>
        <v>70.147938466356578</v>
      </c>
      <c r="R187">
        <f ca="1">IF($C187-R$1&lt;År1,0,Q186*(1-VLOOKUP($A187,[1]Hugst!$R$5:$W$9,MATCH(ROUNDUP((R$1)/10,0)*10,[1]Hugst!$R$4:$W$4,0))))</f>
        <v>70.293386882250417</v>
      </c>
      <c r="S187">
        <f ca="1">IF($C187-S$1&lt;År1,0,R186*(1-VLOOKUP($A187,[1]Hugst!$R$5:$W$9,MATCH(ROUNDUP((S$1)/10,0)*10,[1]Hugst!$R$4:$W$4,0))))</f>
        <v>70.439566194704895</v>
      </c>
      <c r="T187">
        <f ca="1">IF($C187-T$1&lt;År1,0,S186*(1-VLOOKUP($A187,[1]Hugst!$R$5:$W$9,MATCH(ROUNDUP((T$1)/10,0)*10,[1]Hugst!$R$4:$W$4,0))))</f>
        <v>70.586480076568961</v>
      </c>
      <c r="U187">
        <f ca="1">IF($C187-U$1&lt;År1,0,T186*(1-VLOOKUP($A187,[1]Hugst!$R$5:$W$9,MATCH(ROUNDUP((U$1)/10,0)*10,[1]Hugst!$R$4:$W$4,0))))</f>
        <v>70.734132219146801</v>
      </c>
      <c r="V187">
        <f ca="1">IF($C187-V$1&lt;År1,0,U186*(1-VLOOKUP($A187,[1]Hugst!$R$5:$W$9,MATCH(ROUNDUP((V$1)/10,0)*10,[1]Hugst!$R$4:$W$4,0))))</f>
        <v>70.882526332289189</v>
      </c>
      <c r="W187">
        <f ca="1">IF($C187-W$1&lt;År1,0,V186*(1-VLOOKUP($A187,[1]Hugst!$R$5:$W$9,MATCH(ROUNDUP((W$1)/10,0)*10,[1]Hugst!$R$4:$W$4,0))))</f>
        <v>71.031666144492959</v>
      </c>
      <c r="X187">
        <f ca="1">IF($C187-X$1&lt;År1,0,W186*(1-VLOOKUP($A187,[1]Hugst!$R$5:$W$9,MATCH(ROUNDUP((X$1)/10,0)*10,[1]Hugst!$R$4:$W$4,0))))</f>
        <v>71.181555402989858</v>
      </c>
      <c r="Y187">
        <f ca="1">IF($C187-Y$1&lt;År1,0,X186*(1-VLOOKUP($A187,[1]Hugst!$R$5:$W$9,MATCH(ROUNDUP((Y$1)/10,0)*10,[1]Hugst!$R$4:$W$4,0))))</f>
        <v>71.332197873839419</v>
      </c>
      <c r="Z187">
        <f ca="1">IF($C187-Z$1&lt;År1,0,Y186*(1-VLOOKUP($A187,[1]Hugst!$R$5:$W$9,MATCH(ROUNDUP((Z$1)/10,0)*10,[1]Hugst!$R$4:$W$4,0))))</f>
        <v>105.19571855415381</v>
      </c>
      <c r="AA187">
        <f ca="1">IF($C187-AA$1&lt;År1,0,Z186*(1-VLOOKUP($A187,[1]Hugst!$R$5:$W$9,MATCH(ROUNDUP((AA$1)/10,0)*10,[1]Hugst!$R$4:$W$4,0))))</f>
        <v>105.34787882369238</v>
      </c>
      <c r="AB187">
        <f ca="1">IF($C187-AB$1&lt;År1,0,AA186*(1-VLOOKUP($A187,[1]Hugst!$R$5:$W$9,MATCH(ROUNDUP((AB$1)/10,0)*10,[1]Hugst!$R$4:$W$4,0))))</f>
        <v>105.50080371770207</v>
      </c>
      <c r="AC187">
        <f ca="1">IF($C187-AC$1&lt;År1,0,AB186*(1-VLOOKUP($A187,[1]Hugst!$R$5:$W$9,MATCH(ROUNDUP((AC$1)/10,0)*10,[1]Hugst!$R$4:$W$4,0))))</f>
        <v>105.65449707851479</v>
      </c>
      <c r="AD187">
        <f ca="1">IF($C187-AD$1&lt;År1,0,AC186*(1-VLOOKUP($A187,[1]Hugst!$R$5:$W$9,MATCH(ROUNDUP((AD$1)/10,0)*10,[1]Hugst!$R$4:$W$4,0))))</f>
        <v>105.80896276777605</v>
      </c>
      <c r="AE187">
        <f ca="1">IF($C187-AE$1&lt;År1,0,AD186*(1-VLOOKUP($A187,[1]Hugst!$R$5:$W$9,MATCH(ROUNDUP((AE$1)/10,0)*10,[1]Hugst!$R$4:$W$4,0))))</f>
        <v>105.96420466652819</v>
      </c>
      <c r="AF187">
        <f ca="1">IF($C187-AF$1&lt;År1,0,AE186*(1-VLOOKUP($A187,[1]Hugst!$R$5:$W$9,MATCH(ROUNDUP((AF$1)/10,0)*10,[1]Hugst!$R$4:$W$4,0))))</f>
        <v>106.12022667532625</v>
      </c>
      <c r="AG187">
        <f ca="1">IF($C187-AG$1&lt;År1,0,AF186*(1-VLOOKUP($A187,[1]Hugst!$R$5:$W$9,MATCH(ROUNDUP((AG$1)/10,0)*10,[1]Hugst!$R$4:$W$4,0))))</f>
        <v>106.27703271431785</v>
      </c>
      <c r="AH187">
        <f ca="1">IF($C187-AH$1&lt;År1,0,AG186*(1-VLOOKUP($A187,[1]Hugst!$R$5:$W$9,MATCH(ROUNDUP((AH$1)/10,0)*10,[1]Hugst!$R$4:$W$4,0))))</f>
        <v>106.4346267233563</v>
      </c>
      <c r="AI187">
        <f ca="1">IF($C187-AI$1&lt;År1,0,AH186*(1-VLOOKUP($A187,[1]Hugst!$R$5:$W$9,MATCH(ROUNDUP((AI$1)/10,0)*10,[1]Hugst!$R$4:$W$4,0))))</f>
        <v>106.59301266208753</v>
      </c>
      <c r="AJ187">
        <f ca="1">IF($C187-AJ$1&lt;År1,0,AI186*(1-VLOOKUP($A187,[1]Hugst!$R$5:$W$9,MATCH(ROUNDUP((AJ$1)/10,0)*10,[1]Hugst!$R$4:$W$4,0))))</f>
        <v>106.55809961094953</v>
      </c>
    </row>
    <row r="188" spans="1:36" x14ac:dyDescent="0.25">
      <c r="A188" t="s">
        <v>179</v>
      </c>
      <c r="B188" t="s">
        <v>23</v>
      </c>
      <c r="C188">
        <v>2020</v>
      </c>
      <c r="D188" cm="1">
        <f t="array" ref="D188">(IF(B188="Vestdanmark",Skovbrug!$C$22-(Skovbrug!$C$22)*(1-Skovbrug!$C$9)^(C188-Skovbrug!$B$12),Skovbrug!$F$22-(Skovbrug!$F$22)*(1-Skovbrug!$C$9)^(C188-Skovbrug!$B$12)))*VLOOKUP(A188,Skovbrug!$A$13:$D$17,IF('Skovbrug-alder'!C188&lt;=År2,3,4),FALSE)
-IF(C188&gt;2020,SUM(INDEX($C$1:$D$311,MATCH(1,(2020=$C$1:$C$311)*(B188=$B$1:$B$311)*(A188=$A$1:$A$311),0),2):D187),0)</f>
        <v>978.89517365189681</v>
      </c>
      <c r="E188">
        <f>IF(C188=2020,SUM(G188:AJ188),SUM(F187:AJ187)-SUM(G188:AJ188))</f>
        <v>0</v>
      </c>
      <c r="F18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5418.2891130458347</v>
      </c>
      <c r="G188">
        <f>IF($C188-G$1&lt;År1,0,F187*(1-VLOOKUP($A188,[1]Hugst!$R$5:$W$9,MATCH(ROUNDUP((G$1)/10,0)*10,[1]Hugst!$R$4:$W$4,0))))</f>
        <v>0</v>
      </c>
      <c r="H188">
        <f>IF($C188-H$1&lt;År1,0,G187*(1-VLOOKUP($A188,[1]Hugst!$R$5:$W$9,MATCH(ROUNDUP((H$1)/10,0)*10,[1]Hugst!$R$4:$W$4,0))))</f>
        <v>0</v>
      </c>
      <c r="I188">
        <f>IF($C188-I$1&lt;År1,0,H187*(1-VLOOKUP($A188,[1]Hugst!$R$5:$W$9,MATCH(ROUNDUP((I$1)/10,0)*10,[1]Hugst!$R$4:$W$4,0))))</f>
        <v>0</v>
      </c>
      <c r="J188">
        <f>IF($C188-J$1&lt;År1,0,I187*(1-VLOOKUP($A188,[1]Hugst!$R$5:$W$9,MATCH(ROUNDUP((J$1)/10,0)*10,[1]Hugst!$R$4:$W$4,0))))</f>
        <v>0</v>
      </c>
      <c r="K188">
        <f>IF($C188-K$1&lt;År1,0,J187*(1-VLOOKUP($A188,[1]Hugst!$R$5:$W$9,MATCH(ROUNDUP((K$1)/10,0)*10,[1]Hugst!$R$4:$W$4,0))))</f>
        <v>0</v>
      </c>
      <c r="L188">
        <f>IF($C188-L$1&lt;År1,0,K187*(1-VLOOKUP($A188,[1]Hugst!$R$5:$W$9,MATCH(ROUNDUP((L$1)/10,0)*10,[1]Hugst!$R$4:$W$4,0))))</f>
        <v>0</v>
      </c>
      <c r="M188">
        <f>IF($C188-M$1&lt;År1,0,L187*(1-VLOOKUP($A188,[1]Hugst!$R$5:$W$9,MATCH(ROUNDUP((M$1)/10,0)*10,[1]Hugst!$R$4:$W$4,0))))</f>
        <v>0</v>
      </c>
      <c r="N188">
        <f>IF($C188-N$1&lt;År1,0,M187*(1-VLOOKUP($A188,[1]Hugst!$R$5:$W$9,MATCH(ROUNDUP((N$1)/10,0)*10,[1]Hugst!$R$4:$W$4,0))))</f>
        <v>0</v>
      </c>
      <c r="O188">
        <f>IF($C188-O$1&lt;År1,0,N187*(1-VLOOKUP($A188,[1]Hugst!$R$5:$W$9,MATCH(ROUNDUP((O$1)/10,0)*10,[1]Hugst!$R$4:$W$4,0))))</f>
        <v>0</v>
      </c>
      <c r="P188">
        <f>IF($C188-P$1&lt;År1,0,O187*(1-VLOOKUP($A188,[1]Hugst!$R$5:$W$9,MATCH(ROUNDUP((P$1)/10,0)*10,[1]Hugst!$R$4:$W$4,0))))</f>
        <v>0</v>
      </c>
      <c r="Q188">
        <f>IF($C188-Q$1&lt;År1,0,P187*(1-VLOOKUP($A188,[1]Hugst!$R$5:$W$9,MATCH(ROUNDUP((Q$1)/10,0)*10,[1]Hugst!$R$4:$W$4,0))))</f>
        <v>0</v>
      </c>
      <c r="R188">
        <f>IF($C188-R$1&lt;År1,0,Q187*(1-VLOOKUP($A188,[1]Hugst!$R$5:$W$9,MATCH(ROUNDUP((R$1)/10,0)*10,[1]Hugst!$R$4:$W$4,0))))</f>
        <v>0</v>
      </c>
      <c r="S188">
        <f>IF($C188-S$1&lt;År1,0,R187*(1-VLOOKUP($A188,[1]Hugst!$R$5:$W$9,MATCH(ROUNDUP((S$1)/10,0)*10,[1]Hugst!$R$4:$W$4,0))))</f>
        <v>0</v>
      </c>
      <c r="T188">
        <f>IF($C188-T$1&lt;År1,0,S187*(1-VLOOKUP($A188,[1]Hugst!$R$5:$W$9,MATCH(ROUNDUP((T$1)/10,0)*10,[1]Hugst!$R$4:$W$4,0))))</f>
        <v>0</v>
      </c>
      <c r="U188">
        <f>IF($C188-U$1&lt;År1,0,T187*(1-VLOOKUP($A188,[1]Hugst!$R$5:$W$9,MATCH(ROUNDUP((U$1)/10,0)*10,[1]Hugst!$R$4:$W$4,0))))</f>
        <v>0</v>
      </c>
      <c r="V188">
        <f>IF($C188-V$1&lt;År1,0,U187*(1-VLOOKUP($A188,[1]Hugst!$R$5:$W$9,MATCH(ROUNDUP((V$1)/10,0)*10,[1]Hugst!$R$4:$W$4,0))))</f>
        <v>0</v>
      </c>
      <c r="W188">
        <f>IF($C188-W$1&lt;År1,0,V187*(1-VLOOKUP($A188,[1]Hugst!$R$5:$W$9,MATCH(ROUNDUP((W$1)/10,0)*10,[1]Hugst!$R$4:$W$4,0))))</f>
        <v>0</v>
      </c>
      <c r="X188">
        <f>IF($C188-X$1&lt;År1,0,W187*(1-VLOOKUP($A188,[1]Hugst!$R$5:$W$9,MATCH(ROUNDUP((X$1)/10,0)*10,[1]Hugst!$R$4:$W$4,0))))</f>
        <v>0</v>
      </c>
      <c r="Y188">
        <f>IF($C188-Y$1&lt;År1,0,X187*(1-VLOOKUP($A188,[1]Hugst!$R$5:$W$9,MATCH(ROUNDUP((Y$1)/10,0)*10,[1]Hugst!$R$4:$W$4,0))))</f>
        <v>0</v>
      </c>
      <c r="Z188">
        <f>IF($C188-Z$1&lt;År1,0,Y187*(1-VLOOKUP($A188,[1]Hugst!$R$5:$W$9,MATCH(ROUNDUP((Z$1)/10,0)*10,[1]Hugst!$R$4:$W$4,0))))</f>
        <v>0</v>
      </c>
      <c r="AA188">
        <f>IF($C188-AA$1&lt;År1,0,Z187*(1-VLOOKUP($A188,[1]Hugst!$R$5:$W$9,MATCH(ROUNDUP((AA$1)/10,0)*10,[1]Hugst!$R$4:$W$4,0))))</f>
        <v>0</v>
      </c>
      <c r="AB188">
        <f>IF($C188-AB$1&lt;År1,0,AA187*(1-VLOOKUP($A188,[1]Hugst!$R$5:$W$9,MATCH(ROUNDUP((AB$1)/10,0)*10,[1]Hugst!$R$4:$W$4,0))))</f>
        <v>0</v>
      </c>
      <c r="AC188">
        <f>IF($C188-AC$1&lt;År1,0,AB187*(1-VLOOKUP($A188,[1]Hugst!$R$5:$W$9,MATCH(ROUNDUP((AC$1)/10,0)*10,[1]Hugst!$R$4:$W$4,0))))</f>
        <v>0</v>
      </c>
      <c r="AD188">
        <f>IF($C188-AD$1&lt;År1,0,AC187*(1-VLOOKUP($A188,[1]Hugst!$R$5:$W$9,MATCH(ROUNDUP((AD$1)/10,0)*10,[1]Hugst!$R$4:$W$4,0))))</f>
        <v>0</v>
      </c>
      <c r="AE188">
        <f>IF($C188-AE$1&lt;År1,0,AD187*(1-VLOOKUP($A188,[1]Hugst!$R$5:$W$9,MATCH(ROUNDUP((AE$1)/10,0)*10,[1]Hugst!$R$4:$W$4,0))))</f>
        <v>0</v>
      </c>
      <c r="AF188">
        <f>IF($C188-AF$1&lt;År1,0,AE187*(1-VLOOKUP($A188,[1]Hugst!$R$5:$W$9,MATCH(ROUNDUP((AF$1)/10,0)*10,[1]Hugst!$R$4:$W$4,0))))</f>
        <v>0</v>
      </c>
      <c r="AG188">
        <f>IF($C188-AG$1&lt;År1,0,AF187*(1-VLOOKUP($A188,[1]Hugst!$R$5:$W$9,MATCH(ROUNDUP((AG$1)/10,0)*10,[1]Hugst!$R$4:$W$4,0))))</f>
        <v>0</v>
      </c>
      <c r="AH188">
        <f>IF($C188-AH$1&lt;År1,0,AG187*(1-VLOOKUP($A188,[1]Hugst!$R$5:$W$9,MATCH(ROUNDUP((AH$1)/10,0)*10,[1]Hugst!$R$4:$W$4,0))))</f>
        <v>0</v>
      </c>
      <c r="AI188">
        <f>IF($C188-AI$1&lt;År1,0,AH187*(1-VLOOKUP($A188,[1]Hugst!$R$5:$W$9,MATCH(ROUNDUP((AI$1)/10,0)*10,[1]Hugst!$R$4:$W$4,0))))</f>
        <v>0</v>
      </c>
      <c r="AJ188">
        <f>IF($C188-AJ$1&lt;År1,0,AI187*(1-VLOOKUP($A188,[1]Hugst!$R$5:$W$9,MATCH(ROUNDUP((AJ$1)/10,0)*10,[1]Hugst!$R$4:$W$4,0))))</f>
        <v>0</v>
      </c>
    </row>
    <row r="189" spans="1:36" x14ac:dyDescent="0.25">
      <c r="A189" t="s">
        <v>179</v>
      </c>
      <c r="B189" t="s">
        <v>23</v>
      </c>
      <c r="C189">
        <v>2021</v>
      </c>
      <c r="D189" cm="1">
        <f t="array" ref="D189">(IF(B189="Vestdanmark",Skovbrug!$C$22-(Skovbrug!$C$22)*(1-Skovbrug!$C$9)^(C189-Skovbrug!$B$12),Skovbrug!$F$22-(Skovbrug!$F$22)*(1-Skovbrug!$C$9)^(C189-Skovbrug!$B$12)))*VLOOKUP(A189,Skovbrug!$A$13:$D$17,IF('Skovbrug-alder'!C189&lt;=År2,3,4),FALSE)
-IF(C189&gt;2020,SUM(INDEX($C$1:$D$311,MATCH(1,(2020=$C$1:$C$311)*(B189=$B$1:$B$311)*(A189=$A$1:$A$311),0),2):D188),0)</f>
        <v>974.00069778361353</v>
      </c>
      <c r="E189">
        <f t="shared" ref="E189:E218" ca="1" si="4">IF(C189=2020,SUM(G189:AJ189),SUM(F188:AJ188)-SUM(G189:AJ189))</f>
        <v>0</v>
      </c>
      <c r="F189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5413.3946371775519</v>
      </c>
      <c r="G189">
        <f ca="1">IF($C189-G$1&lt;År1,0,F188*(1-VLOOKUP($A189,[1]Hugst!$R$5:$W$9,MATCH(ROUNDUP((G$1)/10,0)*10,[1]Hugst!$R$4:$W$4,0))))</f>
        <v>5418.2891130458347</v>
      </c>
      <c r="H189">
        <f>IF($C189-H$1&lt;År1,0,G188*(1-VLOOKUP($A189,[1]Hugst!$R$5:$W$9,MATCH(ROUNDUP((H$1)/10,0)*10,[1]Hugst!$R$4:$W$4,0))))</f>
        <v>0</v>
      </c>
      <c r="I189">
        <f>IF($C189-I$1&lt;År1,0,H188*(1-VLOOKUP($A189,[1]Hugst!$R$5:$W$9,MATCH(ROUNDUP((I$1)/10,0)*10,[1]Hugst!$R$4:$W$4,0))))</f>
        <v>0</v>
      </c>
      <c r="J189">
        <f>IF($C189-J$1&lt;År1,0,I188*(1-VLOOKUP($A189,[1]Hugst!$R$5:$W$9,MATCH(ROUNDUP((J$1)/10,0)*10,[1]Hugst!$R$4:$W$4,0))))</f>
        <v>0</v>
      </c>
      <c r="K189">
        <f>IF($C189-K$1&lt;År1,0,J188*(1-VLOOKUP($A189,[1]Hugst!$R$5:$W$9,MATCH(ROUNDUP((K$1)/10,0)*10,[1]Hugst!$R$4:$W$4,0))))</f>
        <v>0</v>
      </c>
      <c r="L189">
        <f>IF($C189-L$1&lt;År1,0,K188*(1-VLOOKUP($A189,[1]Hugst!$R$5:$W$9,MATCH(ROUNDUP((L$1)/10,0)*10,[1]Hugst!$R$4:$W$4,0))))</f>
        <v>0</v>
      </c>
      <c r="M189">
        <f>IF($C189-M$1&lt;År1,0,L188*(1-VLOOKUP($A189,[1]Hugst!$R$5:$W$9,MATCH(ROUNDUP((M$1)/10,0)*10,[1]Hugst!$R$4:$W$4,0))))</f>
        <v>0</v>
      </c>
      <c r="N189">
        <f>IF($C189-N$1&lt;År1,0,M188*(1-VLOOKUP($A189,[1]Hugst!$R$5:$W$9,MATCH(ROUNDUP((N$1)/10,0)*10,[1]Hugst!$R$4:$W$4,0))))</f>
        <v>0</v>
      </c>
      <c r="O189">
        <f>IF($C189-O$1&lt;År1,0,N188*(1-VLOOKUP($A189,[1]Hugst!$R$5:$W$9,MATCH(ROUNDUP((O$1)/10,0)*10,[1]Hugst!$R$4:$W$4,0))))</f>
        <v>0</v>
      </c>
      <c r="P189">
        <f>IF($C189-P$1&lt;År1,0,O188*(1-VLOOKUP($A189,[1]Hugst!$R$5:$W$9,MATCH(ROUNDUP((P$1)/10,0)*10,[1]Hugst!$R$4:$W$4,0))))</f>
        <v>0</v>
      </c>
      <c r="Q189">
        <f>IF($C189-Q$1&lt;År1,0,P188*(1-VLOOKUP($A189,[1]Hugst!$R$5:$W$9,MATCH(ROUNDUP((Q$1)/10,0)*10,[1]Hugst!$R$4:$W$4,0))))</f>
        <v>0</v>
      </c>
      <c r="R189">
        <f>IF($C189-R$1&lt;År1,0,Q188*(1-VLOOKUP($A189,[1]Hugst!$R$5:$W$9,MATCH(ROUNDUP((R$1)/10,0)*10,[1]Hugst!$R$4:$W$4,0))))</f>
        <v>0</v>
      </c>
      <c r="S189">
        <f>IF($C189-S$1&lt;År1,0,R188*(1-VLOOKUP($A189,[1]Hugst!$R$5:$W$9,MATCH(ROUNDUP((S$1)/10,0)*10,[1]Hugst!$R$4:$W$4,0))))</f>
        <v>0</v>
      </c>
      <c r="T189">
        <f>IF($C189-T$1&lt;År1,0,S188*(1-VLOOKUP($A189,[1]Hugst!$R$5:$W$9,MATCH(ROUNDUP((T$1)/10,0)*10,[1]Hugst!$R$4:$W$4,0))))</f>
        <v>0</v>
      </c>
      <c r="U189">
        <f>IF($C189-U$1&lt;År1,0,T188*(1-VLOOKUP($A189,[1]Hugst!$R$5:$W$9,MATCH(ROUNDUP((U$1)/10,0)*10,[1]Hugst!$R$4:$W$4,0))))</f>
        <v>0</v>
      </c>
      <c r="V189">
        <f>IF($C189-V$1&lt;År1,0,U188*(1-VLOOKUP($A189,[1]Hugst!$R$5:$W$9,MATCH(ROUNDUP((V$1)/10,0)*10,[1]Hugst!$R$4:$W$4,0))))</f>
        <v>0</v>
      </c>
      <c r="W189">
        <f>IF($C189-W$1&lt;År1,0,V188*(1-VLOOKUP($A189,[1]Hugst!$R$5:$W$9,MATCH(ROUNDUP((W$1)/10,0)*10,[1]Hugst!$R$4:$W$4,0))))</f>
        <v>0</v>
      </c>
      <c r="X189">
        <f>IF($C189-X$1&lt;År1,0,W188*(1-VLOOKUP($A189,[1]Hugst!$R$5:$W$9,MATCH(ROUNDUP((X$1)/10,0)*10,[1]Hugst!$R$4:$W$4,0))))</f>
        <v>0</v>
      </c>
      <c r="Y189">
        <f>IF($C189-Y$1&lt;År1,0,X188*(1-VLOOKUP($A189,[1]Hugst!$R$5:$W$9,MATCH(ROUNDUP((Y$1)/10,0)*10,[1]Hugst!$R$4:$W$4,0))))</f>
        <v>0</v>
      </c>
      <c r="Z189">
        <f>IF($C189-Z$1&lt;År1,0,Y188*(1-VLOOKUP($A189,[1]Hugst!$R$5:$W$9,MATCH(ROUNDUP((Z$1)/10,0)*10,[1]Hugst!$R$4:$W$4,0))))</f>
        <v>0</v>
      </c>
      <c r="AA189">
        <f>IF($C189-AA$1&lt;År1,0,Z188*(1-VLOOKUP($A189,[1]Hugst!$R$5:$W$9,MATCH(ROUNDUP((AA$1)/10,0)*10,[1]Hugst!$R$4:$W$4,0))))</f>
        <v>0</v>
      </c>
      <c r="AB189">
        <f>IF($C189-AB$1&lt;År1,0,AA188*(1-VLOOKUP($A189,[1]Hugst!$R$5:$W$9,MATCH(ROUNDUP((AB$1)/10,0)*10,[1]Hugst!$R$4:$W$4,0))))</f>
        <v>0</v>
      </c>
      <c r="AC189">
        <f>IF($C189-AC$1&lt;År1,0,AB188*(1-VLOOKUP($A189,[1]Hugst!$R$5:$W$9,MATCH(ROUNDUP((AC$1)/10,0)*10,[1]Hugst!$R$4:$W$4,0))))</f>
        <v>0</v>
      </c>
      <c r="AD189">
        <f>IF($C189-AD$1&lt;År1,0,AC188*(1-VLOOKUP($A189,[1]Hugst!$R$5:$W$9,MATCH(ROUNDUP((AD$1)/10,0)*10,[1]Hugst!$R$4:$W$4,0))))</f>
        <v>0</v>
      </c>
      <c r="AE189">
        <f>IF($C189-AE$1&lt;År1,0,AD188*(1-VLOOKUP($A189,[1]Hugst!$R$5:$W$9,MATCH(ROUNDUP((AE$1)/10,0)*10,[1]Hugst!$R$4:$W$4,0))))</f>
        <v>0</v>
      </c>
      <c r="AF189">
        <f>IF($C189-AF$1&lt;År1,0,AE188*(1-VLOOKUP($A189,[1]Hugst!$R$5:$W$9,MATCH(ROUNDUP((AF$1)/10,0)*10,[1]Hugst!$R$4:$W$4,0))))</f>
        <v>0</v>
      </c>
      <c r="AG189">
        <f>IF($C189-AG$1&lt;År1,0,AF188*(1-VLOOKUP($A189,[1]Hugst!$R$5:$W$9,MATCH(ROUNDUP((AG$1)/10,0)*10,[1]Hugst!$R$4:$W$4,0))))</f>
        <v>0</v>
      </c>
      <c r="AH189">
        <f>IF($C189-AH$1&lt;År1,0,AG188*(1-VLOOKUP($A189,[1]Hugst!$R$5:$W$9,MATCH(ROUNDUP((AH$1)/10,0)*10,[1]Hugst!$R$4:$W$4,0))))</f>
        <v>0</v>
      </c>
      <c r="AI189">
        <f>IF($C189-AI$1&lt;År1,0,AH188*(1-VLOOKUP($A189,[1]Hugst!$R$5:$W$9,MATCH(ROUNDUP((AI$1)/10,0)*10,[1]Hugst!$R$4:$W$4,0))))</f>
        <v>0</v>
      </c>
      <c r="AJ189">
        <f>IF($C189-AJ$1&lt;År1,0,AI188*(1-VLOOKUP($A189,[1]Hugst!$R$5:$W$9,MATCH(ROUNDUP((AJ$1)/10,0)*10,[1]Hugst!$R$4:$W$4,0))))</f>
        <v>0</v>
      </c>
    </row>
    <row r="190" spans="1:36" x14ac:dyDescent="0.25">
      <c r="A190" t="s">
        <v>179</v>
      </c>
      <c r="B190" t="s">
        <v>23</v>
      </c>
      <c r="C190">
        <v>2022</v>
      </c>
      <c r="D190" cm="1">
        <f t="array" ref="D190">(IF(B190="Vestdanmark",Skovbrug!$C$22-(Skovbrug!$C$22)*(1-Skovbrug!$C$9)^(C190-Skovbrug!$B$12),Skovbrug!$F$22-(Skovbrug!$F$22)*(1-Skovbrug!$C$9)^(C190-Skovbrug!$B$12)))*VLOOKUP(A190,Skovbrug!$A$13:$D$17,IF('Skovbrug-alder'!C190&lt;=År2,3,4),FALSE)
-IF(C190&gt;2020,SUM(INDEX($C$1:$D$311,MATCH(1,(2020=$C$1:$C$311)*(B190=$B$1:$B$311)*(A190=$A$1:$A$311),0),2):D189),0)</f>
        <v>969.13069429472398</v>
      </c>
      <c r="E190">
        <f t="shared" ca="1" si="4"/>
        <v>0</v>
      </c>
      <c r="F190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5408.5246336886621</v>
      </c>
      <c r="G190">
        <f ca="1">IF($C190-G$1&lt;År1,0,F189*(1-VLOOKUP($A190,[1]Hugst!$R$5:$W$9,MATCH(ROUNDUP((G$1)/10,0)*10,[1]Hugst!$R$4:$W$4,0))))</f>
        <v>5413.3946371775519</v>
      </c>
      <c r="H190">
        <f ca="1">IF($C190-H$1&lt;År1,0,G189*(1-VLOOKUP($A190,[1]Hugst!$R$5:$W$9,MATCH(ROUNDUP((H$1)/10,0)*10,[1]Hugst!$R$4:$W$4,0))))</f>
        <v>5418.2891130458347</v>
      </c>
      <c r="I190">
        <f>IF($C190-I$1&lt;År1,0,H189*(1-VLOOKUP($A190,[1]Hugst!$R$5:$W$9,MATCH(ROUNDUP((I$1)/10,0)*10,[1]Hugst!$R$4:$W$4,0))))</f>
        <v>0</v>
      </c>
      <c r="J190">
        <f>IF($C190-J$1&lt;År1,0,I189*(1-VLOOKUP($A190,[1]Hugst!$R$5:$W$9,MATCH(ROUNDUP((J$1)/10,0)*10,[1]Hugst!$R$4:$W$4,0))))</f>
        <v>0</v>
      </c>
      <c r="K190">
        <f>IF($C190-K$1&lt;År1,0,J189*(1-VLOOKUP($A190,[1]Hugst!$R$5:$W$9,MATCH(ROUNDUP((K$1)/10,0)*10,[1]Hugst!$R$4:$W$4,0))))</f>
        <v>0</v>
      </c>
      <c r="L190">
        <f>IF($C190-L$1&lt;År1,0,K189*(1-VLOOKUP($A190,[1]Hugst!$R$5:$W$9,MATCH(ROUNDUP((L$1)/10,0)*10,[1]Hugst!$R$4:$W$4,0))))</f>
        <v>0</v>
      </c>
      <c r="M190">
        <f>IF($C190-M$1&lt;År1,0,L189*(1-VLOOKUP($A190,[1]Hugst!$R$5:$W$9,MATCH(ROUNDUP((M$1)/10,0)*10,[1]Hugst!$R$4:$W$4,0))))</f>
        <v>0</v>
      </c>
      <c r="N190">
        <f>IF($C190-N$1&lt;År1,0,M189*(1-VLOOKUP($A190,[1]Hugst!$R$5:$W$9,MATCH(ROUNDUP((N$1)/10,0)*10,[1]Hugst!$R$4:$W$4,0))))</f>
        <v>0</v>
      </c>
      <c r="O190">
        <f>IF($C190-O$1&lt;År1,0,N189*(1-VLOOKUP($A190,[1]Hugst!$R$5:$W$9,MATCH(ROUNDUP((O$1)/10,0)*10,[1]Hugst!$R$4:$W$4,0))))</f>
        <v>0</v>
      </c>
      <c r="P190">
        <f>IF($C190-P$1&lt;År1,0,O189*(1-VLOOKUP($A190,[1]Hugst!$R$5:$W$9,MATCH(ROUNDUP((P$1)/10,0)*10,[1]Hugst!$R$4:$W$4,0))))</f>
        <v>0</v>
      </c>
      <c r="Q190">
        <f>IF($C190-Q$1&lt;År1,0,P189*(1-VLOOKUP($A190,[1]Hugst!$R$5:$W$9,MATCH(ROUNDUP((Q$1)/10,0)*10,[1]Hugst!$R$4:$W$4,0))))</f>
        <v>0</v>
      </c>
      <c r="R190">
        <f>IF($C190-R$1&lt;År1,0,Q189*(1-VLOOKUP($A190,[1]Hugst!$R$5:$W$9,MATCH(ROUNDUP((R$1)/10,0)*10,[1]Hugst!$R$4:$W$4,0))))</f>
        <v>0</v>
      </c>
      <c r="S190">
        <f>IF($C190-S$1&lt;År1,0,R189*(1-VLOOKUP($A190,[1]Hugst!$R$5:$W$9,MATCH(ROUNDUP((S$1)/10,0)*10,[1]Hugst!$R$4:$W$4,0))))</f>
        <v>0</v>
      </c>
      <c r="T190">
        <f>IF($C190-T$1&lt;År1,0,S189*(1-VLOOKUP($A190,[1]Hugst!$R$5:$W$9,MATCH(ROUNDUP((T$1)/10,0)*10,[1]Hugst!$R$4:$W$4,0))))</f>
        <v>0</v>
      </c>
      <c r="U190">
        <f>IF($C190-U$1&lt;År1,0,T189*(1-VLOOKUP($A190,[1]Hugst!$R$5:$W$9,MATCH(ROUNDUP((U$1)/10,0)*10,[1]Hugst!$R$4:$W$4,0))))</f>
        <v>0</v>
      </c>
      <c r="V190">
        <f>IF($C190-V$1&lt;År1,0,U189*(1-VLOOKUP($A190,[1]Hugst!$R$5:$W$9,MATCH(ROUNDUP((V$1)/10,0)*10,[1]Hugst!$R$4:$W$4,0))))</f>
        <v>0</v>
      </c>
      <c r="W190">
        <f>IF($C190-W$1&lt;År1,0,V189*(1-VLOOKUP($A190,[1]Hugst!$R$5:$W$9,MATCH(ROUNDUP((W$1)/10,0)*10,[1]Hugst!$R$4:$W$4,0))))</f>
        <v>0</v>
      </c>
      <c r="X190">
        <f>IF($C190-X$1&lt;År1,0,W189*(1-VLOOKUP($A190,[1]Hugst!$R$5:$W$9,MATCH(ROUNDUP((X$1)/10,0)*10,[1]Hugst!$R$4:$W$4,0))))</f>
        <v>0</v>
      </c>
      <c r="Y190">
        <f>IF($C190-Y$1&lt;År1,0,X189*(1-VLOOKUP($A190,[1]Hugst!$R$5:$W$9,MATCH(ROUNDUP((Y$1)/10,0)*10,[1]Hugst!$R$4:$W$4,0))))</f>
        <v>0</v>
      </c>
      <c r="Z190">
        <f>IF($C190-Z$1&lt;År1,0,Y189*(1-VLOOKUP($A190,[1]Hugst!$R$5:$W$9,MATCH(ROUNDUP((Z$1)/10,0)*10,[1]Hugst!$R$4:$W$4,0))))</f>
        <v>0</v>
      </c>
      <c r="AA190">
        <f>IF($C190-AA$1&lt;År1,0,Z189*(1-VLOOKUP($A190,[1]Hugst!$R$5:$W$9,MATCH(ROUNDUP((AA$1)/10,0)*10,[1]Hugst!$R$4:$W$4,0))))</f>
        <v>0</v>
      </c>
      <c r="AB190">
        <f>IF($C190-AB$1&lt;År1,0,AA189*(1-VLOOKUP($A190,[1]Hugst!$R$5:$W$9,MATCH(ROUNDUP((AB$1)/10,0)*10,[1]Hugst!$R$4:$W$4,0))))</f>
        <v>0</v>
      </c>
      <c r="AC190">
        <f>IF($C190-AC$1&lt;År1,0,AB189*(1-VLOOKUP($A190,[1]Hugst!$R$5:$W$9,MATCH(ROUNDUP((AC$1)/10,0)*10,[1]Hugst!$R$4:$W$4,0))))</f>
        <v>0</v>
      </c>
      <c r="AD190">
        <f>IF($C190-AD$1&lt;År1,0,AC189*(1-VLOOKUP($A190,[1]Hugst!$R$5:$W$9,MATCH(ROUNDUP((AD$1)/10,0)*10,[1]Hugst!$R$4:$W$4,0))))</f>
        <v>0</v>
      </c>
      <c r="AE190">
        <f>IF($C190-AE$1&lt;År1,0,AD189*(1-VLOOKUP($A190,[1]Hugst!$R$5:$W$9,MATCH(ROUNDUP((AE$1)/10,0)*10,[1]Hugst!$R$4:$W$4,0))))</f>
        <v>0</v>
      </c>
      <c r="AF190">
        <f>IF($C190-AF$1&lt;År1,0,AE189*(1-VLOOKUP($A190,[1]Hugst!$R$5:$W$9,MATCH(ROUNDUP((AF$1)/10,0)*10,[1]Hugst!$R$4:$W$4,0))))</f>
        <v>0</v>
      </c>
      <c r="AG190">
        <f>IF($C190-AG$1&lt;År1,0,AF189*(1-VLOOKUP($A190,[1]Hugst!$R$5:$W$9,MATCH(ROUNDUP((AG$1)/10,0)*10,[1]Hugst!$R$4:$W$4,0))))</f>
        <v>0</v>
      </c>
      <c r="AH190">
        <f>IF($C190-AH$1&lt;År1,0,AG189*(1-VLOOKUP($A190,[1]Hugst!$R$5:$W$9,MATCH(ROUNDUP((AH$1)/10,0)*10,[1]Hugst!$R$4:$W$4,0))))</f>
        <v>0</v>
      </c>
      <c r="AI190">
        <f>IF($C190-AI$1&lt;År1,0,AH189*(1-VLOOKUP($A190,[1]Hugst!$R$5:$W$9,MATCH(ROUNDUP((AI$1)/10,0)*10,[1]Hugst!$R$4:$W$4,0))))</f>
        <v>0</v>
      </c>
      <c r="AJ190">
        <f>IF($C190-AJ$1&lt;År1,0,AI189*(1-VLOOKUP($A190,[1]Hugst!$R$5:$W$9,MATCH(ROUNDUP((AJ$1)/10,0)*10,[1]Hugst!$R$4:$W$4,0))))</f>
        <v>0</v>
      </c>
    </row>
    <row r="191" spans="1:36" x14ac:dyDescent="0.25">
      <c r="A191" t="s">
        <v>179</v>
      </c>
      <c r="B191" t="s">
        <v>23</v>
      </c>
      <c r="C191">
        <v>2023</v>
      </c>
      <c r="D191" cm="1">
        <f t="array" ref="D191">(IF(B191="Vestdanmark",Skovbrug!$C$22-(Skovbrug!$C$22)*(1-Skovbrug!$C$9)^(C191-Skovbrug!$B$12),Skovbrug!$F$22-(Skovbrug!$F$22)*(1-Skovbrug!$C$9)^(C191-Skovbrug!$B$12)))*VLOOKUP(A191,Skovbrug!$A$13:$D$17,IF('Skovbrug-alder'!C191&lt;=År2,3,4),FALSE)
-IF(C191&gt;2020,SUM(INDEX($C$1:$D$311,MATCH(1,(2020=$C$1:$C$311)*(B191=$B$1:$B$311)*(A191=$A$1:$A$311),0),2):D190),0)</f>
        <v>964.2850408232448</v>
      </c>
      <c r="E191">
        <f t="shared" ca="1" si="4"/>
        <v>0</v>
      </c>
      <c r="F191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5403.6789802171825</v>
      </c>
      <c r="G191">
        <f ca="1">IF($C191-G$1&lt;År1,0,F190*(1-VLOOKUP($A191,[1]Hugst!$R$5:$W$9,MATCH(ROUNDUP((G$1)/10,0)*10,[1]Hugst!$R$4:$W$4,0))))</f>
        <v>5408.5246336886621</v>
      </c>
      <c r="H191">
        <f ca="1">IF($C191-H$1&lt;År1,0,G190*(1-VLOOKUP($A191,[1]Hugst!$R$5:$W$9,MATCH(ROUNDUP((H$1)/10,0)*10,[1]Hugst!$R$4:$W$4,0))))</f>
        <v>5413.3946371775519</v>
      </c>
      <c r="I191">
        <f ca="1">IF($C191-I$1&lt;År1,0,H190*(1-VLOOKUP($A191,[1]Hugst!$R$5:$W$9,MATCH(ROUNDUP((I$1)/10,0)*10,[1]Hugst!$R$4:$W$4,0))))</f>
        <v>5418.2891130458347</v>
      </c>
      <c r="J191">
        <f>IF($C191-J$1&lt;År1,0,I190*(1-VLOOKUP($A191,[1]Hugst!$R$5:$W$9,MATCH(ROUNDUP((J$1)/10,0)*10,[1]Hugst!$R$4:$W$4,0))))</f>
        <v>0</v>
      </c>
      <c r="K191">
        <f>IF($C191-K$1&lt;År1,0,J190*(1-VLOOKUP($A191,[1]Hugst!$R$5:$W$9,MATCH(ROUNDUP((K$1)/10,0)*10,[1]Hugst!$R$4:$W$4,0))))</f>
        <v>0</v>
      </c>
      <c r="L191">
        <f>IF($C191-L$1&lt;År1,0,K190*(1-VLOOKUP($A191,[1]Hugst!$R$5:$W$9,MATCH(ROUNDUP((L$1)/10,0)*10,[1]Hugst!$R$4:$W$4,0))))</f>
        <v>0</v>
      </c>
      <c r="M191">
        <f>IF($C191-M$1&lt;År1,0,L190*(1-VLOOKUP($A191,[1]Hugst!$R$5:$W$9,MATCH(ROUNDUP((M$1)/10,0)*10,[1]Hugst!$R$4:$W$4,0))))</f>
        <v>0</v>
      </c>
      <c r="N191">
        <f>IF($C191-N$1&lt;År1,0,M190*(1-VLOOKUP($A191,[1]Hugst!$R$5:$W$9,MATCH(ROUNDUP((N$1)/10,0)*10,[1]Hugst!$R$4:$W$4,0))))</f>
        <v>0</v>
      </c>
      <c r="O191">
        <f>IF($C191-O$1&lt;År1,0,N190*(1-VLOOKUP($A191,[1]Hugst!$R$5:$W$9,MATCH(ROUNDUP((O$1)/10,0)*10,[1]Hugst!$R$4:$W$4,0))))</f>
        <v>0</v>
      </c>
      <c r="P191">
        <f>IF($C191-P$1&lt;År1,0,O190*(1-VLOOKUP($A191,[1]Hugst!$R$5:$W$9,MATCH(ROUNDUP((P$1)/10,0)*10,[1]Hugst!$R$4:$W$4,0))))</f>
        <v>0</v>
      </c>
      <c r="Q191">
        <f>IF($C191-Q$1&lt;År1,0,P190*(1-VLOOKUP($A191,[1]Hugst!$R$5:$W$9,MATCH(ROUNDUP((Q$1)/10,0)*10,[1]Hugst!$R$4:$W$4,0))))</f>
        <v>0</v>
      </c>
      <c r="R191">
        <f>IF($C191-R$1&lt;År1,0,Q190*(1-VLOOKUP($A191,[1]Hugst!$R$5:$W$9,MATCH(ROUNDUP((R$1)/10,0)*10,[1]Hugst!$R$4:$W$4,0))))</f>
        <v>0</v>
      </c>
      <c r="S191">
        <f>IF($C191-S$1&lt;År1,0,R190*(1-VLOOKUP($A191,[1]Hugst!$R$5:$W$9,MATCH(ROUNDUP((S$1)/10,0)*10,[1]Hugst!$R$4:$W$4,0))))</f>
        <v>0</v>
      </c>
      <c r="T191">
        <f>IF($C191-T$1&lt;År1,0,S190*(1-VLOOKUP($A191,[1]Hugst!$R$5:$W$9,MATCH(ROUNDUP((T$1)/10,0)*10,[1]Hugst!$R$4:$W$4,0))))</f>
        <v>0</v>
      </c>
      <c r="U191">
        <f>IF($C191-U$1&lt;År1,0,T190*(1-VLOOKUP($A191,[1]Hugst!$R$5:$W$9,MATCH(ROUNDUP((U$1)/10,0)*10,[1]Hugst!$R$4:$W$4,0))))</f>
        <v>0</v>
      </c>
      <c r="V191">
        <f>IF($C191-V$1&lt;År1,0,U190*(1-VLOOKUP($A191,[1]Hugst!$R$5:$W$9,MATCH(ROUNDUP((V$1)/10,0)*10,[1]Hugst!$R$4:$W$4,0))))</f>
        <v>0</v>
      </c>
      <c r="W191">
        <f>IF($C191-W$1&lt;År1,0,V190*(1-VLOOKUP($A191,[1]Hugst!$R$5:$W$9,MATCH(ROUNDUP((W$1)/10,0)*10,[1]Hugst!$R$4:$W$4,0))))</f>
        <v>0</v>
      </c>
      <c r="X191">
        <f>IF($C191-X$1&lt;År1,0,W190*(1-VLOOKUP($A191,[1]Hugst!$R$5:$W$9,MATCH(ROUNDUP((X$1)/10,0)*10,[1]Hugst!$R$4:$W$4,0))))</f>
        <v>0</v>
      </c>
      <c r="Y191">
        <f>IF($C191-Y$1&lt;År1,0,X190*(1-VLOOKUP($A191,[1]Hugst!$R$5:$W$9,MATCH(ROUNDUP((Y$1)/10,0)*10,[1]Hugst!$R$4:$W$4,0))))</f>
        <v>0</v>
      </c>
      <c r="Z191">
        <f>IF($C191-Z$1&lt;År1,0,Y190*(1-VLOOKUP($A191,[1]Hugst!$R$5:$W$9,MATCH(ROUNDUP((Z$1)/10,0)*10,[1]Hugst!$R$4:$W$4,0))))</f>
        <v>0</v>
      </c>
      <c r="AA191">
        <f>IF($C191-AA$1&lt;År1,0,Z190*(1-VLOOKUP($A191,[1]Hugst!$R$5:$W$9,MATCH(ROUNDUP((AA$1)/10,0)*10,[1]Hugst!$R$4:$W$4,0))))</f>
        <v>0</v>
      </c>
      <c r="AB191">
        <f>IF($C191-AB$1&lt;År1,0,AA190*(1-VLOOKUP($A191,[1]Hugst!$R$5:$W$9,MATCH(ROUNDUP((AB$1)/10,0)*10,[1]Hugst!$R$4:$W$4,0))))</f>
        <v>0</v>
      </c>
      <c r="AC191">
        <f>IF($C191-AC$1&lt;År1,0,AB190*(1-VLOOKUP($A191,[1]Hugst!$R$5:$W$9,MATCH(ROUNDUP((AC$1)/10,0)*10,[1]Hugst!$R$4:$W$4,0))))</f>
        <v>0</v>
      </c>
      <c r="AD191">
        <f>IF($C191-AD$1&lt;År1,0,AC190*(1-VLOOKUP($A191,[1]Hugst!$R$5:$W$9,MATCH(ROUNDUP((AD$1)/10,0)*10,[1]Hugst!$R$4:$W$4,0))))</f>
        <v>0</v>
      </c>
      <c r="AE191">
        <f>IF($C191-AE$1&lt;År1,0,AD190*(1-VLOOKUP($A191,[1]Hugst!$R$5:$W$9,MATCH(ROUNDUP((AE$1)/10,0)*10,[1]Hugst!$R$4:$W$4,0))))</f>
        <v>0</v>
      </c>
      <c r="AF191">
        <f>IF($C191-AF$1&lt;År1,0,AE190*(1-VLOOKUP($A191,[1]Hugst!$R$5:$W$9,MATCH(ROUNDUP((AF$1)/10,0)*10,[1]Hugst!$R$4:$W$4,0))))</f>
        <v>0</v>
      </c>
      <c r="AG191">
        <f>IF($C191-AG$1&lt;År1,0,AF190*(1-VLOOKUP($A191,[1]Hugst!$R$5:$W$9,MATCH(ROUNDUP((AG$1)/10,0)*10,[1]Hugst!$R$4:$W$4,0))))</f>
        <v>0</v>
      </c>
      <c r="AH191">
        <f>IF($C191-AH$1&lt;År1,0,AG190*(1-VLOOKUP($A191,[1]Hugst!$R$5:$W$9,MATCH(ROUNDUP((AH$1)/10,0)*10,[1]Hugst!$R$4:$W$4,0))))</f>
        <v>0</v>
      </c>
      <c r="AI191">
        <f>IF($C191-AI$1&lt;År1,0,AH190*(1-VLOOKUP($A191,[1]Hugst!$R$5:$W$9,MATCH(ROUNDUP((AI$1)/10,0)*10,[1]Hugst!$R$4:$W$4,0))))</f>
        <v>0</v>
      </c>
      <c r="AJ191">
        <f>IF($C191-AJ$1&lt;År1,0,AI190*(1-VLOOKUP($A191,[1]Hugst!$R$5:$W$9,MATCH(ROUNDUP((AJ$1)/10,0)*10,[1]Hugst!$R$4:$W$4,0))))</f>
        <v>0</v>
      </c>
    </row>
    <row r="192" spans="1:36" x14ac:dyDescent="0.25">
      <c r="A192" t="s">
        <v>179</v>
      </c>
      <c r="B192" t="s">
        <v>23</v>
      </c>
      <c r="C192">
        <v>2024</v>
      </c>
      <c r="D192" cm="1">
        <f t="array" ref="D192">(IF(B192="Vestdanmark",Skovbrug!$C$22-(Skovbrug!$C$22)*(1-Skovbrug!$C$9)^(C192-Skovbrug!$B$12),Skovbrug!$F$22-(Skovbrug!$F$22)*(1-Skovbrug!$C$9)^(C192-Skovbrug!$B$12)))*VLOOKUP(A192,Skovbrug!$A$13:$D$17,IF('Skovbrug-alder'!C192&lt;=År2,3,4),FALSE)
-IF(C192&gt;2020,SUM(INDEX($C$1:$D$311,MATCH(1,(2020=$C$1:$C$311)*(B192=$B$1:$B$311)*(A192=$A$1:$A$311),0),2):D191),0)</f>
        <v>959.46361561912681</v>
      </c>
      <c r="E192">
        <f t="shared" ca="1" si="4"/>
        <v>0</v>
      </c>
      <c r="F192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5398.8575550130645</v>
      </c>
      <c r="G192">
        <f ca="1">IF($C192-G$1&lt;År1,0,F191*(1-VLOOKUP($A192,[1]Hugst!$R$5:$W$9,MATCH(ROUNDUP((G$1)/10,0)*10,[1]Hugst!$R$4:$W$4,0))))</f>
        <v>5403.6789802171825</v>
      </c>
      <c r="H192">
        <f ca="1">IF($C192-H$1&lt;År1,0,G191*(1-VLOOKUP($A192,[1]Hugst!$R$5:$W$9,MATCH(ROUNDUP((H$1)/10,0)*10,[1]Hugst!$R$4:$W$4,0))))</f>
        <v>5408.5246336886621</v>
      </c>
      <c r="I192">
        <f ca="1">IF($C192-I$1&lt;År1,0,H191*(1-VLOOKUP($A192,[1]Hugst!$R$5:$W$9,MATCH(ROUNDUP((I$1)/10,0)*10,[1]Hugst!$R$4:$W$4,0))))</f>
        <v>5413.3946371775519</v>
      </c>
      <c r="J192">
        <f ca="1">IF($C192-J$1&lt;År1,0,I191*(1-VLOOKUP($A192,[1]Hugst!$R$5:$W$9,MATCH(ROUNDUP((J$1)/10,0)*10,[1]Hugst!$R$4:$W$4,0))))</f>
        <v>5418.2891130458347</v>
      </c>
      <c r="K192">
        <f>IF($C192-K$1&lt;År1,0,J191*(1-VLOOKUP($A192,[1]Hugst!$R$5:$W$9,MATCH(ROUNDUP((K$1)/10,0)*10,[1]Hugst!$R$4:$W$4,0))))</f>
        <v>0</v>
      </c>
      <c r="L192">
        <f>IF($C192-L$1&lt;År1,0,K191*(1-VLOOKUP($A192,[1]Hugst!$R$5:$W$9,MATCH(ROUNDUP((L$1)/10,0)*10,[1]Hugst!$R$4:$W$4,0))))</f>
        <v>0</v>
      </c>
      <c r="M192">
        <f>IF($C192-M$1&lt;År1,0,L191*(1-VLOOKUP($A192,[1]Hugst!$R$5:$W$9,MATCH(ROUNDUP((M$1)/10,0)*10,[1]Hugst!$R$4:$W$4,0))))</f>
        <v>0</v>
      </c>
      <c r="N192">
        <f>IF($C192-N$1&lt;År1,0,M191*(1-VLOOKUP($A192,[1]Hugst!$R$5:$W$9,MATCH(ROUNDUP((N$1)/10,0)*10,[1]Hugst!$R$4:$W$4,0))))</f>
        <v>0</v>
      </c>
      <c r="O192">
        <f>IF($C192-O$1&lt;År1,0,N191*(1-VLOOKUP($A192,[1]Hugst!$R$5:$W$9,MATCH(ROUNDUP((O$1)/10,0)*10,[1]Hugst!$R$4:$W$4,0))))</f>
        <v>0</v>
      </c>
      <c r="P192">
        <f>IF($C192-P$1&lt;År1,0,O191*(1-VLOOKUP($A192,[1]Hugst!$R$5:$W$9,MATCH(ROUNDUP((P$1)/10,0)*10,[1]Hugst!$R$4:$W$4,0))))</f>
        <v>0</v>
      </c>
      <c r="Q192">
        <f>IF($C192-Q$1&lt;År1,0,P191*(1-VLOOKUP($A192,[1]Hugst!$R$5:$W$9,MATCH(ROUNDUP((Q$1)/10,0)*10,[1]Hugst!$R$4:$W$4,0))))</f>
        <v>0</v>
      </c>
      <c r="R192">
        <f>IF($C192-R$1&lt;År1,0,Q191*(1-VLOOKUP($A192,[1]Hugst!$R$5:$W$9,MATCH(ROUNDUP((R$1)/10,0)*10,[1]Hugst!$R$4:$W$4,0))))</f>
        <v>0</v>
      </c>
      <c r="S192">
        <f>IF($C192-S$1&lt;År1,0,R191*(1-VLOOKUP($A192,[1]Hugst!$R$5:$W$9,MATCH(ROUNDUP((S$1)/10,0)*10,[1]Hugst!$R$4:$W$4,0))))</f>
        <v>0</v>
      </c>
      <c r="T192">
        <f>IF($C192-T$1&lt;År1,0,S191*(1-VLOOKUP($A192,[1]Hugst!$R$5:$W$9,MATCH(ROUNDUP((T$1)/10,0)*10,[1]Hugst!$R$4:$W$4,0))))</f>
        <v>0</v>
      </c>
      <c r="U192">
        <f>IF($C192-U$1&lt;År1,0,T191*(1-VLOOKUP($A192,[1]Hugst!$R$5:$W$9,MATCH(ROUNDUP((U$1)/10,0)*10,[1]Hugst!$R$4:$W$4,0))))</f>
        <v>0</v>
      </c>
      <c r="V192">
        <f>IF($C192-V$1&lt;År1,0,U191*(1-VLOOKUP($A192,[1]Hugst!$R$5:$W$9,MATCH(ROUNDUP((V$1)/10,0)*10,[1]Hugst!$R$4:$W$4,0))))</f>
        <v>0</v>
      </c>
      <c r="W192">
        <f>IF($C192-W$1&lt;År1,0,V191*(1-VLOOKUP($A192,[1]Hugst!$R$5:$W$9,MATCH(ROUNDUP((W$1)/10,0)*10,[1]Hugst!$R$4:$W$4,0))))</f>
        <v>0</v>
      </c>
      <c r="X192">
        <f>IF($C192-X$1&lt;År1,0,W191*(1-VLOOKUP($A192,[1]Hugst!$R$5:$W$9,MATCH(ROUNDUP((X$1)/10,0)*10,[1]Hugst!$R$4:$W$4,0))))</f>
        <v>0</v>
      </c>
      <c r="Y192">
        <f>IF($C192-Y$1&lt;År1,0,X191*(1-VLOOKUP($A192,[1]Hugst!$R$5:$W$9,MATCH(ROUNDUP((Y$1)/10,0)*10,[1]Hugst!$R$4:$W$4,0))))</f>
        <v>0</v>
      </c>
      <c r="Z192">
        <f>IF($C192-Z$1&lt;År1,0,Y191*(1-VLOOKUP($A192,[1]Hugst!$R$5:$W$9,MATCH(ROUNDUP((Z$1)/10,0)*10,[1]Hugst!$R$4:$W$4,0))))</f>
        <v>0</v>
      </c>
      <c r="AA192">
        <f>IF($C192-AA$1&lt;År1,0,Z191*(1-VLOOKUP($A192,[1]Hugst!$R$5:$W$9,MATCH(ROUNDUP((AA$1)/10,0)*10,[1]Hugst!$R$4:$W$4,0))))</f>
        <v>0</v>
      </c>
      <c r="AB192">
        <f>IF($C192-AB$1&lt;År1,0,AA191*(1-VLOOKUP($A192,[1]Hugst!$R$5:$W$9,MATCH(ROUNDUP((AB$1)/10,0)*10,[1]Hugst!$R$4:$W$4,0))))</f>
        <v>0</v>
      </c>
      <c r="AC192">
        <f>IF($C192-AC$1&lt;År1,0,AB191*(1-VLOOKUP($A192,[1]Hugst!$R$5:$W$9,MATCH(ROUNDUP((AC$1)/10,0)*10,[1]Hugst!$R$4:$W$4,0))))</f>
        <v>0</v>
      </c>
      <c r="AD192">
        <f>IF($C192-AD$1&lt;År1,0,AC191*(1-VLOOKUP($A192,[1]Hugst!$R$5:$W$9,MATCH(ROUNDUP((AD$1)/10,0)*10,[1]Hugst!$R$4:$W$4,0))))</f>
        <v>0</v>
      </c>
      <c r="AE192">
        <f>IF($C192-AE$1&lt;År1,0,AD191*(1-VLOOKUP($A192,[1]Hugst!$R$5:$W$9,MATCH(ROUNDUP((AE$1)/10,0)*10,[1]Hugst!$R$4:$W$4,0))))</f>
        <v>0</v>
      </c>
      <c r="AF192">
        <f>IF($C192-AF$1&lt;År1,0,AE191*(1-VLOOKUP($A192,[1]Hugst!$R$5:$W$9,MATCH(ROUNDUP((AF$1)/10,0)*10,[1]Hugst!$R$4:$W$4,0))))</f>
        <v>0</v>
      </c>
      <c r="AG192">
        <f>IF($C192-AG$1&lt;År1,0,AF191*(1-VLOOKUP($A192,[1]Hugst!$R$5:$W$9,MATCH(ROUNDUP((AG$1)/10,0)*10,[1]Hugst!$R$4:$W$4,0))))</f>
        <v>0</v>
      </c>
      <c r="AH192">
        <f>IF($C192-AH$1&lt;År1,0,AG191*(1-VLOOKUP($A192,[1]Hugst!$R$5:$W$9,MATCH(ROUNDUP((AH$1)/10,0)*10,[1]Hugst!$R$4:$W$4,0))))</f>
        <v>0</v>
      </c>
      <c r="AI192">
        <f>IF($C192-AI$1&lt;År1,0,AH191*(1-VLOOKUP($A192,[1]Hugst!$R$5:$W$9,MATCH(ROUNDUP((AI$1)/10,0)*10,[1]Hugst!$R$4:$W$4,0))))</f>
        <v>0</v>
      </c>
      <c r="AJ192">
        <f>IF($C192-AJ$1&lt;År1,0,AI191*(1-VLOOKUP($A192,[1]Hugst!$R$5:$W$9,MATCH(ROUNDUP((AJ$1)/10,0)*10,[1]Hugst!$R$4:$W$4,0))))</f>
        <v>0</v>
      </c>
    </row>
    <row r="193" spans="1:36" x14ac:dyDescent="0.25">
      <c r="A193" t="s">
        <v>179</v>
      </c>
      <c r="B193" t="s">
        <v>23</v>
      </c>
      <c r="C193">
        <v>2025</v>
      </c>
      <c r="D193" cm="1">
        <f t="array" ref="D193">(IF(B193="Vestdanmark",Skovbrug!$C$22-(Skovbrug!$C$22)*(1-Skovbrug!$C$9)^(C193-Skovbrug!$B$12),Skovbrug!$F$22-(Skovbrug!$F$22)*(1-Skovbrug!$C$9)^(C193-Skovbrug!$B$12)))*VLOOKUP(A193,Skovbrug!$A$13:$D$17,IF('Skovbrug-alder'!C193&lt;=År2,3,4),FALSE)
-IF(C193&gt;2020,SUM(INDEX($C$1:$D$311,MATCH(1,(2020=$C$1:$C$311)*(B193=$B$1:$B$311)*(A193=$A$1:$A$311),0),2):D192),0)</f>
        <v>954.66629754102632</v>
      </c>
      <c r="E193">
        <f t="shared" ca="1" si="4"/>
        <v>0</v>
      </c>
      <c r="F193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5394.0602369349645</v>
      </c>
      <c r="G193">
        <f ca="1">IF($C193-G$1&lt;År1,0,F192*(1-VLOOKUP($A193,[1]Hugst!$R$5:$W$9,MATCH(ROUNDUP((G$1)/10,0)*10,[1]Hugst!$R$4:$W$4,0))))</f>
        <v>5398.8575550130645</v>
      </c>
      <c r="H193">
        <f ca="1">IF($C193-H$1&lt;År1,0,G192*(1-VLOOKUP($A193,[1]Hugst!$R$5:$W$9,MATCH(ROUNDUP((H$1)/10,0)*10,[1]Hugst!$R$4:$W$4,0))))</f>
        <v>5403.6789802171825</v>
      </c>
      <c r="I193">
        <f ca="1">IF($C193-I$1&lt;År1,0,H192*(1-VLOOKUP($A193,[1]Hugst!$R$5:$W$9,MATCH(ROUNDUP((I$1)/10,0)*10,[1]Hugst!$R$4:$W$4,0))))</f>
        <v>5408.5246336886621</v>
      </c>
      <c r="J193">
        <f ca="1">IF($C193-J$1&lt;År1,0,I192*(1-VLOOKUP($A193,[1]Hugst!$R$5:$W$9,MATCH(ROUNDUP((J$1)/10,0)*10,[1]Hugst!$R$4:$W$4,0))))</f>
        <v>5413.3946371775519</v>
      </c>
      <c r="K193">
        <f ca="1">IF($C193-K$1&lt;År1,0,J192*(1-VLOOKUP($A193,[1]Hugst!$R$5:$W$9,MATCH(ROUNDUP((K$1)/10,0)*10,[1]Hugst!$R$4:$W$4,0))))</f>
        <v>5418.2891130458347</v>
      </c>
      <c r="L193">
        <f>IF($C193-L$1&lt;År1,0,K192*(1-VLOOKUP($A193,[1]Hugst!$R$5:$W$9,MATCH(ROUNDUP((L$1)/10,0)*10,[1]Hugst!$R$4:$W$4,0))))</f>
        <v>0</v>
      </c>
      <c r="M193">
        <f>IF($C193-M$1&lt;År1,0,L192*(1-VLOOKUP($A193,[1]Hugst!$R$5:$W$9,MATCH(ROUNDUP((M$1)/10,0)*10,[1]Hugst!$R$4:$W$4,0))))</f>
        <v>0</v>
      </c>
      <c r="N193">
        <f>IF($C193-N$1&lt;År1,0,M192*(1-VLOOKUP($A193,[1]Hugst!$R$5:$W$9,MATCH(ROUNDUP((N$1)/10,0)*10,[1]Hugst!$R$4:$W$4,0))))</f>
        <v>0</v>
      </c>
      <c r="O193">
        <f>IF($C193-O$1&lt;År1,0,N192*(1-VLOOKUP($A193,[1]Hugst!$R$5:$W$9,MATCH(ROUNDUP((O$1)/10,0)*10,[1]Hugst!$R$4:$W$4,0))))</f>
        <v>0</v>
      </c>
      <c r="P193">
        <f>IF($C193-P$1&lt;År1,0,O192*(1-VLOOKUP($A193,[1]Hugst!$R$5:$W$9,MATCH(ROUNDUP((P$1)/10,0)*10,[1]Hugst!$R$4:$W$4,0))))</f>
        <v>0</v>
      </c>
      <c r="Q193">
        <f>IF($C193-Q$1&lt;År1,0,P192*(1-VLOOKUP($A193,[1]Hugst!$R$5:$W$9,MATCH(ROUNDUP((Q$1)/10,0)*10,[1]Hugst!$R$4:$W$4,0))))</f>
        <v>0</v>
      </c>
      <c r="R193">
        <f>IF($C193-R$1&lt;År1,0,Q192*(1-VLOOKUP($A193,[1]Hugst!$R$5:$W$9,MATCH(ROUNDUP((R$1)/10,0)*10,[1]Hugst!$R$4:$W$4,0))))</f>
        <v>0</v>
      </c>
      <c r="S193">
        <f>IF($C193-S$1&lt;År1,0,R192*(1-VLOOKUP($A193,[1]Hugst!$R$5:$W$9,MATCH(ROUNDUP((S$1)/10,0)*10,[1]Hugst!$R$4:$W$4,0))))</f>
        <v>0</v>
      </c>
      <c r="T193">
        <f>IF($C193-T$1&lt;År1,0,S192*(1-VLOOKUP($A193,[1]Hugst!$R$5:$W$9,MATCH(ROUNDUP((T$1)/10,0)*10,[1]Hugst!$R$4:$W$4,0))))</f>
        <v>0</v>
      </c>
      <c r="U193">
        <f>IF($C193-U$1&lt;År1,0,T192*(1-VLOOKUP($A193,[1]Hugst!$R$5:$W$9,MATCH(ROUNDUP((U$1)/10,0)*10,[1]Hugst!$R$4:$W$4,0))))</f>
        <v>0</v>
      </c>
      <c r="V193">
        <f>IF($C193-V$1&lt;År1,0,U192*(1-VLOOKUP($A193,[1]Hugst!$R$5:$W$9,MATCH(ROUNDUP((V$1)/10,0)*10,[1]Hugst!$R$4:$W$4,0))))</f>
        <v>0</v>
      </c>
      <c r="W193">
        <f>IF($C193-W$1&lt;År1,0,V192*(1-VLOOKUP($A193,[1]Hugst!$R$5:$W$9,MATCH(ROUNDUP((W$1)/10,0)*10,[1]Hugst!$R$4:$W$4,0))))</f>
        <v>0</v>
      </c>
      <c r="X193">
        <f>IF($C193-X$1&lt;År1,0,W192*(1-VLOOKUP($A193,[1]Hugst!$R$5:$W$9,MATCH(ROUNDUP((X$1)/10,0)*10,[1]Hugst!$R$4:$W$4,0))))</f>
        <v>0</v>
      </c>
      <c r="Y193">
        <f>IF($C193-Y$1&lt;År1,0,X192*(1-VLOOKUP($A193,[1]Hugst!$R$5:$W$9,MATCH(ROUNDUP((Y$1)/10,0)*10,[1]Hugst!$R$4:$W$4,0))))</f>
        <v>0</v>
      </c>
      <c r="Z193">
        <f>IF($C193-Z$1&lt;År1,0,Y192*(1-VLOOKUP($A193,[1]Hugst!$R$5:$W$9,MATCH(ROUNDUP((Z$1)/10,0)*10,[1]Hugst!$R$4:$W$4,0))))</f>
        <v>0</v>
      </c>
      <c r="AA193">
        <f>IF($C193-AA$1&lt;År1,0,Z192*(1-VLOOKUP($A193,[1]Hugst!$R$5:$W$9,MATCH(ROUNDUP((AA$1)/10,0)*10,[1]Hugst!$R$4:$W$4,0))))</f>
        <v>0</v>
      </c>
      <c r="AB193">
        <f>IF($C193-AB$1&lt;År1,0,AA192*(1-VLOOKUP($A193,[1]Hugst!$R$5:$W$9,MATCH(ROUNDUP((AB$1)/10,0)*10,[1]Hugst!$R$4:$W$4,0))))</f>
        <v>0</v>
      </c>
      <c r="AC193">
        <f>IF($C193-AC$1&lt;År1,0,AB192*(1-VLOOKUP($A193,[1]Hugst!$R$5:$W$9,MATCH(ROUNDUP((AC$1)/10,0)*10,[1]Hugst!$R$4:$W$4,0))))</f>
        <v>0</v>
      </c>
      <c r="AD193">
        <f>IF($C193-AD$1&lt;År1,0,AC192*(1-VLOOKUP($A193,[1]Hugst!$R$5:$W$9,MATCH(ROUNDUP((AD$1)/10,0)*10,[1]Hugst!$R$4:$W$4,0))))</f>
        <v>0</v>
      </c>
      <c r="AE193">
        <f>IF($C193-AE$1&lt;År1,0,AD192*(1-VLOOKUP($A193,[1]Hugst!$R$5:$W$9,MATCH(ROUNDUP((AE$1)/10,0)*10,[1]Hugst!$R$4:$W$4,0))))</f>
        <v>0</v>
      </c>
      <c r="AF193">
        <f>IF($C193-AF$1&lt;År1,0,AE192*(1-VLOOKUP($A193,[1]Hugst!$R$5:$W$9,MATCH(ROUNDUP((AF$1)/10,0)*10,[1]Hugst!$R$4:$W$4,0))))</f>
        <v>0</v>
      </c>
      <c r="AG193">
        <f>IF($C193-AG$1&lt;År1,0,AF192*(1-VLOOKUP($A193,[1]Hugst!$R$5:$W$9,MATCH(ROUNDUP((AG$1)/10,0)*10,[1]Hugst!$R$4:$W$4,0))))</f>
        <v>0</v>
      </c>
      <c r="AH193">
        <f>IF($C193-AH$1&lt;År1,0,AG192*(1-VLOOKUP($A193,[1]Hugst!$R$5:$W$9,MATCH(ROUNDUP((AH$1)/10,0)*10,[1]Hugst!$R$4:$W$4,0))))</f>
        <v>0</v>
      </c>
      <c r="AI193">
        <f>IF($C193-AI$1&lt;År1,0,AH192*(1-VLOOKUP($A193,[1]Hugst!$R$5:$W$9,MATCH(ROUNDUP((AI$1)/10,0)*10,[1]Hugst!$R$4:$W$4,0))))</f>
        <v>0</v>
      </c>
      <c r="AJ193">
        <f>IF($C193-AJ$1&lt;År1,0,AI192*(1-VLOOKUP($A193,[1]Hugst!$R$5:$W$9,MATCH(ROUNDUP((AJ$1)/10,0)*10,[1]Hugst!$R$4:$W$4,0))))</f>
        <v>0</v>
      </c>
    </row>
    <row r="194" spans="1:36" x14ac:dyDescent="0.25">
      <c r="A194" t="s">
        <v>179</v>
      </c>
      <c r="B194" t="s">
        <v>23</v>
      </c>
      <c r="C194">
        <v>2026</v>
      </c>
      <c r="D194" cm="1">
        <f t="array" ref="D194">(IF(B194="Vestdanmark",Skovbrug!$C$22-(Skovbrug!$C$22)*(1-Skovbrug!$C$9)^(C194-Skovbrug!$B$12),Skovbrug!$F$22-(Skovbrug!$F$22)*(1-Skovbrug!$C$9)^(C194-Skovbrug!$B$12)))*VLOOKUP(A194,Skovbrug!$A$13:$D$17,IF('Skovbrug-alder'!C194&lt;=År2,3,4),FALSE)
-IF(C194&gt;2020,SUM(INDEX($C$1:$D$311,MATCH(1,(2020=$C$1:$C$311)*(B194=$B$1:$B$311)*(A194=$A$1:$A$311),0),2):D193),0)</f>
        <v>949.89296605332584</v>
      </c>
      <c r="E194">
        <f t="shared" ca="1" si="4"/>
        <v>0</v>
      </c>
      <c r="F194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5389.286905447264</v>
      </c>
      <c r="G194">
        <f ca="1">IF($C194-G$1&lt;År1,0,F193*(1-VLOOKUP($A194,[1]Hugst!$R$5:$W$9,MATCH(ROUNDUP((G$1)/10,0)*10,[1]Hugst!$R$4:$W$4,0))))</f>
        <v>5394.0602369349645</v>
      </c>
      <c r="H194">
        <f ca="1">IF($C194-H$1&lt;År1,0,G193*(1-VLOOKUP($A194,[1]Hugst!$R$5:$W$9,MATCH(ROUNDUP((H$1)/10,0)*10,[1]Hugst!$R$4:$W$4,0))))</f>
        <v>5398.8575550130645</v>
      </c>
      <c r="I194">
        <f ca="1">IF($C194-I$1&lt;År1,0,H193*(1-VLOOKUP($A194,[1]Hugst!$R$5:$W$9,MATCH(ROUNDUP((I$1)/10,0)*10,[1]Hugst!$R$4:$W$4,0))))</f>
        <v>5403.6789802171825</v>
      </c>
      <c r="J194">
        <f ca="1">IF($C194-J$1&lt;År1,0,I193*(1-VLOOKUP($A194,[1]Hugst!$R$5:$W$9,MATCH(ROUNDUP((J$1)/10,0)*10,[1]Hugst!$R$4:$W$4,0))))</f>
        <v>5408.5246336886621</v>
      </c>
      <c r="K194">
        <f ca="1">IF($C194-K$1&lt;År1,0,J193*(1-VLOOKUP($A194,[1]Hugst!$R$5:$W$9,MATCH(ROUNDUP((K$1)/10,0)*10,[1]Hugst!$R$4:$W$4,0))))</f>
        <v>5413.3946371775519</v>
      </c>
      <c r="L194">
        <f ca="1">IF($C194-L$1&lt;År1,0,K193*(1-VLOOKUP($A194,[1]Hugst!$R$5:$W$9,MATCH(ROUNDUP((L$1)/10,0)*10,[1]Hugst!$R$4:$W$4,0))))</f>
        <v>5418.2891130458347</v>
      </c>
      <c r="M194">
        <f>IF($C194-M$1&lt;År1,0,L193*(1-VLOOKUP($A194,[1]Hugst!$R$5:$W$9,MATCH(ROUNDUP((M$1)/10,0)*10,[1]Hugst!$R$4:$W$4,0))))</f>
        <v>0</v>
      </c>
      <c r="N194">
        <f>IF($C194-N$1&lt;År1,0,M193*(1-VLOOKUP($A194,[1]Hugst!$R$5:$W$9,MATCH(ROUNDUP((N$1)/10,0)*10,[1]Hugst!$R$4:$W$4,0))))</f>
        <v>0</v>
      </c>
      <c r="O194">
        <f>IF($C194-O$1&lt;År1,0,N193*(1-VLOOKUP($A194,[1]Hugst!$R$5:$W$9,MATCH(ROUNDUP((O$1)/10,0)*10,[1]Hugst!$R$4:$W$4,0))))</f>
        <v>0</v>
      </c>
      <c r="P194">
        <f>IF($C194-P$1&lt;År1,0,O193*(1-VLOOKUP($A194,[1]Hugst!$R$5:$W$9,MATCH(ROUNDUP((P$1)/10,0)*10,[1]Hugst!$R$4:$W$4,0))))</f>
        <v>0</v>
      </c>
      <c r="Q194">
        <f>IF($C194-Q$1&lt;År1,0,P193*(1-VLOOKUP($A194,[1]Hugst!$R$5:$W$9,MATCH(ROUNDUP((Q$1)/10,0)*10,[1]Hugst!$R$4:$W$4,0))))</f>
        <v>0</v>
      </c>
      <c r="R194">
        <f>IF($C194-R$1&lt;År1,0,Q193*(1-VLOOKUP($A194,[1]Hugst!$R$5:$W$9,MATCH(ROUNDUP((R$1)/10,0)*10,[1]Hugst!$R$4:$W$4,0))))</f>
        <v>0</v>
      </c>
      <c r="S194">
        <f>IF($C194-S$1&lt;År1,0,R193*(1-VLOOKUP($A194,[1]Hugst!$R$5:$W$9,MATCH(ROUNDUP((S$1)/10,0)*10,[1]Hugst!$R$4:$W$4,0))))</f>
        <v>0</v>
      </c>
      <c r="T194">
        <f>IF($C194-T$1&lt;År1,0,S193*(1-VLOOKUP($A194,[1]Hugst!$R$5:$W$9,MATCH(ROUNDUP((T$1)/10,0)*10,[1]Hugst!$R$4:$W$4,0))))</f>
        <v>0</v>
      </c>
      <c r="U194">
        <f>IF($C194-U$1&lt;År1,0,T193*(1-VLOOKUP($A194,[1]Hugst!$R$5:$W$9,MATCH(ROUNDUP((U$1)/10,0)*10,[1]Hugst!$R$4:$W$4,0))))</f>
        <v>0</v>
      </c>
      <c r="V194">
        <f>IF($C194-V$1&lt;År1,0,U193*(1-VLOOKUP($A194,[1]Hugst!$R$5:$W$9,MATCH(ROUNDUP((V$1)/10,0)*10,[1]Hugst!$R$4:$W$4,0))))</f>
        <v>0</v>
      </c>
      <c r="W194">
        <f>IF($C194-W$1&lt;År1,0,V193*(1-VLOOKUP($A194,[1]Hugst!$R$5:$W$9,MATCH(ROUNDUP((W$1)/10,0)*10,[1]Hugst!$R$4:$W$4,0))))</f>
        <v>0</v>
      </c>
      <c r="X194">
        <f>IF($C194-X$1&lt;År1,0,W193*(1-VLOOKUP($A194,[1]Hugst!$R$5:$W$9,MATCH(ROUNDUP((X$1)/10,0)*10,[1]Hugst!$R$4:$W$4,0))))</f>
        <v>0</v>
      </c>
      <c r="Y194">
        <f>IF($C194-Y$1&lt;År1,0,X193*(1-VLOOKUP($A194,[1]Hugst!$R$5:$W$9,MATCH(ROUNDUP((Y$1)/10,0)*10,[1]Hugst!$R$4:$W$4,0))))</f>
        <v>0</v>
      </c>
      <c r="Z194">
        <f>IF($C194-Z$1&lt;År1,0,Y193*(1-VLOOKUP($A194,[1]Hugst!$R$5:$W$9,MATCH(ROUNDUP((Z$1)/10,0)*10,[1]Hugst!$R$4:$W$4,0))))</f>
        <v>0</v>
      </c>
      <c r="AA194">
        <f>IF($C194-AA$1&lt;År1,0,Z193*(1-VLOOKUP($A194,[1]Hugst!$R$5:$W$9,MATCH(ROUNDUP((AA$1)/10,0)*10,[1]Hugst!$R$4:$W$4,0))))</f>
        <v>0</v>
      </c>
      <c r="AB194">
        <f>IF($C194-AB$1&lt;År1,0,AA193*(1-VLOOKUP($A194,[1]Hugst!$R$5:$W$9,MATCH(ROUNDUP((AB$1)/10,0)*10,[1]Hugst!$R$4:$W$4,0))))</f>
        <v>0</v>
      </c>
      <c r="AC194">
        <f>IF($C194-AC$1&lt;År1,0,AB193*(1-VLOOKUP($A194,[1]Hugst!$R$5:$W$9,MATCH(ROUNDUP((AC$1)/10,0)*10,[1]Hugst!$R$4:$W$4,0))))</f>
        <v>0</v>
      </c>
      <c r="AD194">
        <f>IF($C194-AD$1&lt;År1,0,AC193*(1-VLOOKUP($A194,[1]Hugst!$R$5:$W$9,MATCH(ROUNDUP((AD$1)/10,0)*10,[1]Hugst!$R$4:$W$4,0))))</f>
        <v>0</v>
      </c>
      <c r="AE194">
        <f>IF($C194-AE$1&lt;År1,0,AD193*(1-VLOOKUP($A194,[1]Hugst!$R$5:$W$9,MATCH(ROUNDUP((AE$1)/10,0)*10,[1]Hugst!$R$4:$W$4,0))))</f>
        <v>0</v>
      </c>
      <c r="AF194">
        <f>IF($C194-AF$1&lt;År1,0,AE193*(1-VLOOKUP($A194,[1]Hugst!$R$5:$W$9,MATCH(ROUNDUP((AF$1)/10,0)*10,[1]Hugst!$R$4:$W$4,0))))</f>
        <v>0</v>
      </c>
      <c r="AG194">
        <f>IF($C194-AG$1&lt;År1,0,AF193*(1-VLOOKUP($A194,[1]Hugst!$R$5:$W$9,MATCH(ROUNDUP((AG$1)/10,0)*10,[1]Hugst!$R$4:$W$4,0))))</f>
        <v>0</v>
      </c>
      <c r="AH194">
        <f>IF($C194-AH$1&lt;År1,0,AG193*(1-VLOOKUP($A194,[1]Hugst!$R$5:$W$9,MATCH(ROUNDUP((AH$1)/10,0)*10,[1]Hugst!$R$4:$W$4,0))))</f>
        <v>0</v>
      </c>
      <c r="AI194">
        <f>IF($C194-AI$1&lt;År1,0,AH193*(1-VLOOKUP($A194,[1]Hugst!$R$5:$W$9,MATCH(ROUNDUP((AI$1)/10,0)*10,[1]Hugst!$R$4:$W$4,0))))</f>
        <v>0</v>
      </c>
      <c r="AJ194">
        <f>IF($C194-AJ$1&lt;År1,0,AI193*(1-VLOOKUP($A194,[1]Hugst!$R$5:$W$9,MATCH(ROUNDUP((AJ$1)/10,0)*10,[1]Hugst!$R$4:$W$4,0))))</f>
        <v>0</v>
      </c>
    </row>
    <row r="195" spans="1:36" x14ac:dyDescent="0.25">
      <c r="A195" t="s">
        <v>179</v>
      </c>
      <c r="B195" t="s">
        <v>23</v>
      </c>
      <c r="C195">
        <v>2027</v>
      </c>
      <c r="D195" cm="1">
        <f t="array" ref="D195">(IF(B195="Vestdanmark",Skovbrug!$C$22-(Skovbrug!$C$22)*(1-Skovbrug!$C$9)^(C195-Skovbrug!$B$12),Skovbrug!$F$22-(Skovbrug!$F$22)*(1-Skovbrug!$C$9)^(C195-Skovbrug!$B$12)))*VLOOKUP(A195,Skovbrug!$A$13:$D$17,IF('Skovbrug-alder'!C195&lt;=År2,3,4),FALSE)
-IF(C195&gt;2020,SUM(INDEX($C$1:$D$311,MATCH(1,(2020=$C$1:$C$311)*(B195=$B$1:$B$311)*(A195=$A$1:$A$311),0),2):D194),0)</f>
        <v>945.14350122306769</v>
      </c>
      <c r="E195">
        <f t="shared" ca="1" si="4"/>
        <v>0</v>
      </c>
      <c r="F195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5384.5374406170058</v>
      </c>
      <c r="G195">
        <f ca="1">IF($C195-G$1&lt;År1,0,F194*(1-VLOOKUP($A195,[1]Hugst!$R$5:$W$9,MATCH(ROUNDUP((G$1)/10,0)*10,[1]Hugst!$R$4:$W$4,0))))</f>
        <v>5389.286905447264</v>
      </c>
      <c r="H195">
        <f ca="1">IF($C195-H$1&lt;År1,0,G194*(1-VLOOKUP($A195,[1]Hugst!$R$5:$W$9,MATCH(ROUNDUP((H$1)/10,0)*10,[1]Hugst!$R$4:$W$4,0))))</f>
        <v>5394.0602369349645</v>
      </c>
      <c r="I195">
        <f ca="1">IF($C195-I$1&lt;År1,0,H194*(1-VLOOKUP($A195,[1]Hugst!$R$5:$W$9,MATCH(ROUNDUP((I$1)/10,0)*10,[1]Hugst!$R$4:$W$4,0))))</f>
        <v>5398.8575550130645</v>
      </c>
      <c r="J195">
        <f ca="1">IF($C195-J$1&lt;År1,0,I194*(1-VLOOKUP($A195,[1]Hugst!$R$5:$W$9,MATCH(ROUNDUP((J$1)/10,0)*10,[1]Hugst!$R$4:$W$4,0))))</f>
        <v>5403.6789802171825</v>
      </c>
      <c r="K195">
        <f ca="1">IF($C195-K$1&lt;År1,0,J194*(1-VLOOKUP($A195,[1]Hugst!$R$5:$W$9,MATCH(ROUNDUP((K$1)/10,0)*10,[1]Hugst!$R$4:$W$4,0))))</f>
        <v>5408.5246336886621</v>
      </c>
      <c r="L195">
        <f ca="1">IF($C195-L$1&lt;År1,0,K194*(1-VLOOKUP($A195,[1]Hugst!$R$5:$W$9,MATCH(ROUNDUP((L$1)/10,0)*10,[1]Hugst!$R$4:$W$4,0))))</f>
        <v>5413.3946371775519</v>
      </c>
      <c r="M195">
        <f ca="1">IF($C195-M$1&lt;År1,0,L194*(1-VLOOKUP($A195,[1]Hugst!$R$5:$W$9,MATCH(ROUNDUP((M$1)/10,0)*10,[1]Hugst!$R$4:$W$4,0))))</f>
        <v>5418.2891130458347</v>
      </c>
      <c r="N195">
        <f>IF($C195-N$1&lt;År1,0,M194*(1-VLOOKUP($A195,[1]Hugst!$R$5:$W$9,MATCH(ROUNDUP((N$1)/10,0)*10,[1]Hugst!$R$4:$W$4,0))))</f>
        <v>0</v>
      </c>
      <c r="O195">
        <f>IF($C195-O$1&lt;År1,0,N194*(1-VLOOKUP($A195,[1]Hugst!$R$5:$W$9,MATCH(ROUNDUP((O$1)/10,0)*10,[1]Hugst!$R$4:$W$4,0))))</f>
        <v>0</v>
      </c>
      <c r="P195">
        <f>IF($C195-P$1&lt;År1,0,O194*(1-VLOOKUP($A195,[1]Hugst!$R$5:$W$9,MATCH(ROUNDUP((P$1)/10,0)*10,[1]Hugst!$R$4:$W$4,0))))</f>
        <v>0</v>
      </c>
      <c r="Q195">
        <f>IF($C195-Q$1&lt;År1,0,P194*(1-VLOOKUP($A195,[1]Hugst!$R$5:$W$9,MATCH(ROUNDUP((Q$1)/10,0)*10,[1]Hugst!$R$4:$W$4,0))))</f>
        <v>0</v>
      </c>
      <c r="R195">
        <f>IF($C195-R$1&lt;År1,0,Q194*(1-VLOOKUP($A195,[1]Hugst!$R$5:$W$9,MATCH(ROUNDUP((R$1)/10,0)*10,[1]Hugst!$R$4:$W$4,0))))</f>
        <v>0</v>
      </c>
      <c r="S195">
        <f>IF($C195-S$1&lt;År1,0,R194*(1-VLOOKUP($A195,[1]Hugst!$R$5:$W$9,MATCH(ROUNDUP((S$1)/10,0)*10,[1]Hugst!$R$4:$W$4,0))))</f>
        <v>0</v>
      </c>
      <c r="T195">
        <f>IF($C195-T$1&lt;År1,0,S194*(1-VLOOKUP($A195,[1]Hugst!$R$5:$W$9,MATCH(ROUNDUP((T$1)/10,0)*10,[1]Hugst!$R$4:$W$4,0))))</f>
        <v>0</v>
      </c>
      <c r="U195">
        <f>IF($C195-U$1&lt;År1,0,T194*(1-VLOOKUP($A195,[1]Hugst!$R$5:$W$9,MATCH(ROUNDUP((U$1)/10,0)*10,[1]Hugst!$R$4:$W$4,0))))</f>
        <v>0</v>
      </c>
      <c r="V195">
        <f>IF($C195-V$1&lt;År1,0,U194*(1-VLOOKUP($A195,[1]Hugst!$R$5:$W$9,MATCH(ROUNDUP((V$1)/10,0)*10,[1]Hugst!$R$4:$W$4,0))))</f>
        <v>0</v>
      </c>
      <c r="W195">
        <f>IF($C195-W$1&lt;År1,0,V194*(1-VLOOKUP($A195,[1]Hugst!$R$5:$W$9,MATCH(ROUNDUP((W$1)/10,0)*10,[1]Hugst!$R$4:$W$4,0))))</f>
        <v>0</v>
      </c>
      <c r="X195">
        <f>IF($C195-X$1&lt;År1,0,W194*(1-VLOOKUP($A195,[1]Hugst!$R$5:$W$9,MATCH(ROUNDUP((X$1)/10,0)*10,[1]Hugst!$R$4:$W$4,0))))</f>
        <v>0</v>
      </c>
      <c r="Y195">
        <f>IF($C195-Y$1&lt;År1,0,X194*(1-VLOOKUP($A195,[1]Hugst!$R$5:$W$9,MATCH(ROUNDUP((Y$1)/10,0)*10,[1]Hugst!$R$4:$W$4,0))))</f>
        <v>0</v>
      </c>
      <c r="Z195">
        <f>IF($C195-Z$1&lt;År1,0,Y194*(1-VLOOKUP($A195,[1]Hugst!$R$5:$W$9,MATCH(ROUNDUP((Z$1)/10,0)*10,[1]Hugst!$R$4:$W$4,0))))</f>
        <v>0</v>
      </c>
      <c r="AA195">
        <f>IF($C195-AA$1&lt;År1,0,Z194*(1-VLOOKUP($A195,[1]Hugst!$R$5:$W$9,MATCH(ROUNDUP((AA$1)/10,0)*10,[1]Hugst!$R$4:$W$4,0))))</f>
        <v>0</v>
      </c>
      <c r="AB195">
        <f>IF($C195-AB$1&lt;År1,0,AA194*(1-VLOOKUP($A195,[1]Hugst!$R$5:$W$9,MATCH(ROUNDUP((AB$1)/10,0)*10,[1]Hugst!$R$4:$W$4,0))))</f>
        <v>0</v>
      </c>
      <c r="AC195">
        <f>IF($C195-AC$1&lt;År1,0,AB194*(1-VLOOKUP($A195,[1]Hugst!$R$5:$W$9,MATCH(ROUNDUP((AC$1)/10,0)*10,[1]Hugst!$R$4:$W$4,0))))</f>
        <v>0</v>
      </c>
      <c r="AD195">
        <f>IF($C195-AD$1&lt;År1,0,AC194*(1-VLOOKUP($A195,[1]Hugst!$R$5:$W$9,MATCH(ROUNDUP((AD$1)/10,0)*10,[1]Hugst!$R$4:$W$4,0))))</f>
        <v>0</v>
      </c>
      <c r="AE195">
        <f>IF($C195-AE$1&lt;År1,0,AD194*(1-VLOOKUP($A195,[1]Hugst!$R$5:$W$9,MATCH(ROUNDUP((AE$1)/10,0)*10,[1]Hugst!$R$4:$W$4,0))))</f>
        <v>0</v>
      </c>
      <c r="AF195">
        <f>IF($C195-AF$1&lt;År1,0,AE194*(1-VLOOKUP($A195,[1]Hugst!$R$5:$W$9,MATCH(ROUNDUP((AF$1)/10,0)*10,[1]Hugst!$R$4:$W$4,0))))</f>
        <v>0</v>
      </c>
      <c r="AG195">
        <f>IF($C195-AG$1&lt;År1,0,AF194*(1-VLOOKUP($A195,[1]Hugst!$R$5:$W$9,MATCH(ROUNDUP((AG$1)/10,0)*10,[1]Hugst!$R$4:$W$4,0))))</f>
        <v>0</v>
      </c>
      <c r="AH195">
        <f>IF($C195-AH$1&lt;År1,0,AG194*(1-VLOOKUP($A195,[1]Hugst!$R$5:$W$9,MATCH(ROUNDUP((AH$1)/10,0)*10,[1]Hugst!$R$4:$W$4,0))))</f>
        <v>0</v>
      </c>
      <c r="AI195">
        <f>IF($C195-AI$1&lt;År1,0,AH194*(1-VLOOKUP($A195,[1]Hugst!$R$5:$W$9,MATCH(ROUNDUP((AI$1)/10,0)*10,[1]Hugst!$R$4:$W$4,0))))</f>
        <v>0</v>
      </c>
      <c r="AJ195">
        <f>IF($C195-AJ$1&lt;År1,0,AI194*(1-VLOOKUP($A195,[1]Hugst!$R$5:$W$9,MATCH(ROUNDUP((AJ$1)/10,0)*10,[1]Hugst!$R$4:$W$4,0))))</f>
        <v>0</v>
      </c>
    </row>
    <row r="196" spans="1:36" x14ac:dyDescent="0.25">
      <c r="A196" t="s">
        <v>179</v>
      </c>
      <c r="B196" t="s">
        <v>23</v>
      </c>
      <c r="C196">
        <v>2028</v>
      </c>
      <c r="D196" cm="1">
        <f t="array" ref="D196">(IF(B196="Vestdanmark",Skovbrug!$C$22-(Skovbrug!$C$22)*(1-Skovbrug!$C$9)^(C196-Skovbrug!$B$12),Skovbrug!$F$22-(Skovbrug!$F$22)*(1-Skovbrug!$C$9)^(C196-Skovbrug!$B$12)))*VLOOKUP(A196,Skovbrug!$A$13:$D$17,IF('Skovbrug-alder'!C196&lt;=År2,3,4),FALSE)
-IF(C196&gt;2020,SUM(INDEX($C$1:$D$311,MATCH(1,(2020=$C$1:$C$311)*(B196=$B$1:$B$311)*(A196=$A$1:$A$311),0),2):D195),0)</f>
        <v>940.41778371696546</v>
      </c>
      <c r="E196">
        <f t="shared" ca="1" si="4"/>
        <v>0</v>
      </c>
      <c r="F196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5379.8117231109036</v>
      </c>
      <c r="G196">
        <f ca="1">IF($C196-G$1&lt;År1,0,F195*(1-VLOOKUP($A196,[1]Hugst!$R$5:$W$9,MATCH(ROUNDUP((G$1)/10,0)*10,[1]Hugst!$R$4:$W$4,0))))</f>
        <v>5384.5374406170058</v>
      </c>
      <c r="H196">
        <f ca="1">IF($C196-H$1&lt;År1,0,G195*(1-VLOOKUP($A196,[1]Hugst!$R$5:$W$9,MATCH(ROUNDUP((H$1)/10,0)*10,[1]Hugst!$R$4:$W$4,0))))</f>
        <v>5389.286905447264</v>
      </c>
      <c r="I196">
        <f ca="1">IF($C196-I$1&lt;År1,0,H195*(1-VLOOKUP($A196,[1]Hugst!$R$5:$W$9,MATCH(ROUNDUP((I$1)/10,0)*10,[1]Hugst!$R$4:$W$4,0))))</f>
        <v>5394.0602369349645</v>
      </c>
      <c r="J196">
        <f ca="1">IF($C196-J$1&lt;År1,0,I195*(1-VLOOKUP($A196,[1]Hugst!$R$5:$W$9,MATCH(ROUNDUP((J$1)/10,0)*10,[1]Hugst!$R$4:$W$4,0))))</f>
        <v>5398.8575550130645</v>
      </c>
      <c r="K196">
        <f ca="1">IF($C196-K$1&lt;År1,0,J195*(1-VLOOKUP($A196,[1]Hugst!$R$5:$W$9,MATCH(ROUNDUP((K$1)/10,0)*10,[1]Hugst!$R$4:$W$4,0))))</f>
        <v>5403.6789802171825</v>
      </c>
      <c r="L196">
        <f ca="1">IF($C196-L$1&lt;År1,0,K195*(1-VLOOKUP($A196,[1]Hugst!$R$5:$W$9,MATCH(ROUNDUP((L$1)/10,0)*10,[1]Hugst!$R$4:$W$4,0))))</f>
        <v>5408.5246336886621</v>
      </c>
      <c r="M196">
        <f ca="1">IF($C196-M$1&lt;År1,0,L195*(1-VLOOKUP($A196,[1]Hugst!$R$5:$W$9,MATCH(ROUNDUP((M$1)/10,0)*10,[1]Hugst!$R$4:$W$4,0))))</f>
        <v>5413.3946371775519</v>
      </c>
      <c r="N196">
        <f ca="1">IF($C196-N$1&lt;År1,0,M195*(1-VLOOKUP($A196,[1]Hugst!$R$5:$W$9,MATCH(ROUNDUP((N$1)/10,0)*10,[1]Hugst!$R$4:$W$4,0))))</f>
        <v>5418.2891130458347</v>
      </c>
      <c r="O196">
        <f>IF($C196-O$1&lt;År1,0,N195*(1-VLOOKUP($A196,[1]Hugst!$R$5:$W$9,MATCH(ROUNDUP((O$1)/10,0)*10,[1]Hugst!$R$4:$W$4,0))))</f>
        <v>0</v>
      </c>
      <c r="P196">
        <f>IF($C196-P$1&lt;År1,0,O195*(1-VLOOKUP($A196,[1]Hugst!$R$5:$W$9,MATCH(ROUNDUP((P$1)/10,0)*10,[1]Hugst!$R$4:$W$4,0))))</f>
        <v>0</v>
      </c>
      <c r="Q196">
        <f>IF($C196-Q$1&lt;År1,0,P195*(1-VLOOKUP($A196,[1]Hugst!$R$5:$W$9,MATCH(ROUNDUP((Q$1)/10,0)*10,[1]Hugst!$R$4:$W$4,0))))</f>
        <v>0</v>
      </c>
      <c r="R196">
        <f>IF($C196-R$1&lt;År1,0,Q195*(1-VLOOKUP($A196,[1]Hugst!$R$5:$W$9,MATCH(ROUNDUP((R$1)/10,0)*10,[1]Hugst!$R$4:$W$4,0))))</f>
        <v>0</v>
      </c>
      <c r="S196">
        <f>IF($C196-S$1&lt;År1,0,R195*(1-VLOOKUP($A196,[1]Hugst!$R$5:$W$9,MATCH(ROUNDUP((S$1)/10,0)*10,[1]Hugst!$R$4:$W$4,0))))</f>
        <v>0</v>
      </c>
      <c r="T196">
        <f>IF($C196-T$1&lt;År1,0,S195*(1-VLOOKUP($A196,[1]Hugst!$R$5:$W$9,MATCH(ROUNDUP((T$1)/10,0)*10,[1]Hugst!$R$4:$W$4,0))))</f>
        <v>0</v>
      </c>
      <c r="U196">
        <f>IF($C196-U$1&lt;År1,0,T195*(1-VLOOKUP($A196,[1]Hugst!$R$5:$W$9,MATCH(ROUNDUP((U$1)/10,0)*10,[1]Hugst!$R$4:$W$4,0))))</f>
        <v>0</v>
      </c>
      <c r="V196">
        <f>IF($C196-V$1&lt;År1,0,U195*(1-VLOOKUP($A196,[1]Hugst!$R$5:$W$9,MATCH(ROUNDUP((V$1)/10,0)*10,[1]Hugst!$R$4:$W$4,0))))</f>
        <v>0</v>
      </c>
      <c r="W196">
        <f>IF($C196-W$1&lt;År1,0,V195*(1-VLOOKUP($A196,[1]Hugst!$R$5:$W$9,MATCH(ROUNDUP((W$1)/10,0)*10,[1]Hugst!$R$4:$W$4,0))))</f>
        <v>0</v>
      </c>
      <c r="X196">
        <f>IF($C196-X$1&lt;År1,0,W195*(1-VLOOKUP($A196,[1]Hugst!$R$5:$W$9,MATCH(ROUNDUP((X$1)/10,0)*10,[1]Hugst!$R$4:$W$4,0))))</f>
        <v>0</v>
      </c>
      <c r="Y196">
        <f>IF($C196-Y$1&lt;År1,0,X195*(1-VLOOKUP($A196,[1]Hugst!$R$5:$W$9,MATCH(ROUNDUP((Y$1)/10,0)*10,[1]Hugst!$R$4:$W$4,0))))</f>
        <v>0</v>
      </c>
      <c r="Z196">
        <f>IF($C196-Z$1&lt;År1,0,Y195*(1-VLOOKUP($A196,[1]Hugst!$R$5:$W$9,MATCH(ROUNDUP((Z$1)/10,0)*10,[1]Hugst!$R$4:$W$4,0))))</f>
        <v>0</v>
      </c>
      <c r="AA196">
        <f>IF($C196-AA$1&lt;År1,0,Z195*(1-VLOOKUP($A196,[1]Hugst!$R$5:$W$9,MATCH(ROUNDUP((AA$1)/10,0)*10,[1]Hugst!$R$4:$W$4,0))))</f>
        <v>0</v>
      </c>
      <c r="AB196">
        <f>IF($C196-AB$1&lt;År1,0,AA195*(1-VLOOKUP($A196,[1]Hugst!$R$5:$W$9,MATCH(ROUNDUP((AB$1)/10,0)*10,[1]Hugst!$R$4:$W$4,0))))</f>
        <v>0</v>
      </c>
      <c r="AC196">
        <f>IF($C196-AC$1&lt;År1,0,AB195*(1-VLOOKUP($A196,[1]Hugst!$R$5:$W$9,MATCH(ROUNDUP((AC$1)/10,0)*10,[1]Hugst!$R$4:$W$4,0))))</f>
        <v>0</v>
      </c>
      <c r="AD196">
        <f>IF($C196-AD$1&lt;År1,0,AC195*(1-VLOOKUP($A196,[1]Hugst!$R$5:$W$9,MATCH(ROUNDUP((AD$1)/10,0)*10,[1]Hugst!$R$4:$W$4,0))))</f>
        <v>0</v>
      </c>
      <c r="AE196">
        <f>IF($C196-AE$1&lt;År1,0,AD195*(1-VLOOKUP($A196,[1]Hugst!$R$5:$W$9,MATCH(ROUNDUP((AE$1)/10,0)*10,[1]Hugst!$R$4:$W$4,0))))</f>
        <v>0</v>
      </c>
      <c r="AF196">
        <f>IF($C196-AF$1&lt;År1,0,AE195*(1-VLOOKUP($A196,[1]Hugst!$R$5:$W$9,MATCH(ROUNDUP((AF$1)/10,0)*10,[1]Hugst!$R$4:$W$4,0))))</f>
        <v>0</v>
      </c>
      <c r="AG196">
        <f>IF($C196-AG$1&lt;År1,0,AF195*(1-VLOOKUP($A196,[1]Hugst!$R$5:$W$9,MATCH(ROUNDUP((AG$1)/10,0)*10,[1]Hugst!$R$4:$W$4,0))))</f>
        <v>0</v>
      </c>
      <c r="AH196">
        <f>IF($C196-AH$1&lt;År1,0,AG195*(1-VLOOKUP($A196,[1]Hugst!$R$5:$W$9,MATCH(ROUNDUP((AH$1)/10,0)*10,[1]Hugst!$R$4:$W$4,0))))</f>
        <v>0</v>
      </c>
      <c r="AI196">
        <f>IF($C196-AI$1&lt;År1,0,AH195*(1-VLOOKUP($A196,[1]Hugst!$R$5:$W$9,MATCH(ROUNDUP((AI$1)/10,0)*10,[1]Hugst!$R$4:$W$4,0))))</f>
        <v>0</v>
      </c>
      <c r="AJ196">
        <f>IF($C196-AJ$1&lt;År1,0,AI195*(1-VLOOKUP($A196,[1]Hugst!$R$5:$W$9,MATCH(ROUNDUP((AJ$1)/10,0)*10,[1]Hugst!$R$4:$W$4,0))))</f>
        <v>0</v>
      </c>
    </row>
    <row r="197" spans="1:36" x14ac:dyDescent="0.25">
      <c r="A197" t="s">
        <v>179</v>
      </c>
      <c r="B197" t="s">
        <v>23</v>
      </c>
      <c r="C197">
        <v>2029</v>
      </c>
      <c r="D197" cm="1">
        <f t="array" ref="D197">(IF(B197="Vestdanmark",Skovbrug!$C$22-(Skovbrug!$C$22)*(1-Skovbrug!$C$9)^(C197-Skovbrug!$B$12),Skovbrug!$F$22-(Skovbrug!$F$22)*(1-Skovbrug!$C$9)^(C197-Skovbrug!$B$12)))*VLOOKUP(A197,Skovbrug!$A$13:$D$17,IF('Skovbrug-alder'!C197&lt;=År2,3,4),FALSE)
-IF(C197&gt;2020,SUM(INDEX($C$1:$D$311,MATCH(1,(2020=$C$1:$C$311)*(B197=$B$1:$B$311)*(A197=$A$1:$A$311),0),2):D196),0)</f>
        <v>935.7156947983367</v>
      </c>
      <c r="E197">
        <f t="shared" ca="1" si="4"/>
        <v>0</v>
      </c>
      <c r="F197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5375.1096341922748</v>
      </c>
      <c r="G197">
        <f ca="1">IF($C197-G$1&lt;År1,0,F196*(1-VLOOKUP($A197,[1]Hugst!$R$5:$W$9,MATCH(ROUNDUP((G$1)/10,0)*10,[1]Hugst!$R$4:$W$4,0))))</f>
        <v>5379.8117231109036</v>
      </c>
      <c r="H197">
        <f ca="1">IF($C197-H$1&lt;År1,0,G196*(1-VLOOKUP($A197,[1]Hugst!$R$5:$W$9,MATCH(ROUNDUP((H$1)/10,0)*10,[1]Hugst!$R$4:$W$4,0))))</f>
        <v>5384.5374406170058</v>
      </c>
      <c r="I197">
        <f ca="1">IF($C197-I$1&lt;År1,0,H196*(1-VLOOKUP($A197,[1]Hugst!$R$5:$W$9,MATCH(ROUNDUP((I$1)/10,0)*10,[1]Hugst!$R$4:$W$4,0))))</f>
        <v>5389.286905447264</v>
      </c>
      <c r="J197">
        <f ca="1">IF($C197-J$1&lt;År1,0,I196*(1-VLOOKUP($A197,[1]Hugst!$R$5:$W$9,MATCH(ROUNDUP((J$1)/10,0)*10,[1]Hugst!$R$4:$W$4,0))))</f>
        <v>5394.0602369349645</v>
      </c>
      <c r="K197">
        <f ca="1">IF($C197-K$1&lt;År1,0,J196*(1-VLOOKUP($A197,[1]Hugst!$R$5:$W$9,MATCH(ROUNDUP((K$1)/10,0)*10,[1]Hugst!$R$4:$W$4,0))))</f>
        <v>5398.8575550130645</v>
      </c>
      <c r="L197">
        <f ca="1">IF($C197-L$1&lt;År1,0,K196*(1-VLOOKUP($A197,[1]Hugst!$R$5:$W$9,MATCH(ROUNDUP((L$1)/10,0)*10,[1]Hugst!$R$4:$W$4,0))))</f>
        <v>5403.6789802171825</v>
      </c>
      <c r="M197">
        <f ca="1">IF($C197-M$1&lt;År1,0,L196*(1-VLOOKUP($A197,[1]Hugst!$R$5:$W$9,MATCH(ROUNDUP((M$1)/10,0)*10,[1]Hugst!$R$4:$W$4,0))))</f>
        <v>5408.5246336886621</v>
      </c>
      <c r="N197">
        <f ca="1">IF($C197-N$1&lt;År1,0,M196*(1-VLOOKUP($A197,[1]Hugst!$R$5:$W$9,MATCH(ROUNDUP((N$1)/10,0)*10,[1]Hugst!$R$4:$W$4,0))))</f>
        <v>5413.3946371775519</v>
      </c>
      <c r="O197">
        <f ca="1">IF($C197-O$1&lt;År1,0,N196*(1-VLOOKUP($A197,[1]Hugst!$R$5:$W$9,MATCH(ROUNDUP((O$1)/10,0)*10,[1]Hugst!$R$4:$W$4,0))))</f>
        <v>5418.2891130458347</v>
      </c>
      <c r="P197">
        <f>IF($C197-P$1&lt;År1,0,O196*(1-VLOOKUP($A197,[1]Hugst!$R$5:$W$9,MATCH(ROUNDUP((P$1)/10,0)*10,[1]Hugst!$R$4:$W$4,0))))</f>
        <v>0</v>
      </c>
      <c r="Q197">
        <f>IF($C197-Q$1&lt;År1,0,P196*(1-VLOOKUP($A197,[1]Hugst!$R$5:$W$9,MATCH(ROUNDUP((Q$1)/10,0)*10,[1]Hugst!$R$4:$W$4,0))))</f>
        <v>0</v>
      </c>
      <c r="R197">
        <f>IF($C197-R$1&lt;År1,0,Q196*(1-VLOOKUP($A197,[1]Hugst!$R$5:$W$9,MATCH(ROUNDUP((R$1)/10,0)*10,[1]Hugst!$R$4:$W$4,0))))</f>
        <v>0</v>
      </c>
      <c r="S197">
        <f>IF($C197-S$1&lt;År1,0,R196*(1-VLOOKUP($A197,[1]Hugst!$R$5:$W$9,MATCH(ROUNDUP((S$1)/10,0)*10,[1]Hugst!$R$4:$W$4,0))))</f>
        <v>0</v>
      </c>
      <c r="T197">
        <f>IF($C197-T$1&lt;År1,0,S196*(1-VLOOKUP($A197,[1]Hugst!$R$5:$W$9,MATCH(ROUNDUP((T$1)/10,0)*10,[1]Hugst!$R$4:$W$4,0))))</f>
        <v>0</v>
      </c>
      <c r="U197">
        <f>IF($C197-U$1&lt;År1,0,T196*(1-VLOOKUP($A197,[1]Hugst!$R$5:$W$9,MATCH(ROUNDUP((U$1)/10,0)*10,[1]Hugst!$R$4:$W$4,0))))</f>
        <v>0</v>
      </c>
      <c r="V197">
        <f>IF($C197-V$1&lt;År1,0,U196*(1-VLOOKUP($A197,[1]Hugst!$R$5:$W$9,MATCH(ROUNDUP((V$1)/10,0)*10,[1]Hugst!$R$4:$W$4,0))))</f>
        <v>0</v>
      </c>
      <c r="W197">
        <f>IF($C197-W$1&lt;År1,0,V196*(1-VLOOKUP($A197,[1]Hugst!$R$5:$W$9,MATCH(ROUNDUP((W$1)/10,0)*10,[1]Hugst!$R$4:$W$4,0))))</f>
        <v>0</v>
      </c>
      <c r="X197">
        <f>IF($C197-X$1&lt;År1,0,W196*(1-VLOOKUP($A197,[1]Hugst!$R$5:$W$9,MATCH(ROUNDUP((X$1)/10,0)*10,[1]Hugst!$R$4:$W$4,0))))</f>
        <v>0</v>
      </c>
      <c r="Y197">
        <f>IF($C197-Y$1&lt;År1,0,X196*(1-VLOOKUP($A197,[1]Hugst!$R$5:$W$9,MATCH(ROUNDUP((Y$1)/10,0)*10,[1]Hugst!$R$4:$W$4,0))))</f>
        <v>0</v>
      </c>
      <c r="Z197">
        <f>IF($C197-Z$1&lt;År1,0,Y196*(1-VLOOKUP($A197,[1]Hugst!$R$5:$W$9,MATCH(ROUNDUP((Z$1)/10,0)*10,[1]Hugst!$R$4:$W$4,0))))</f>
        <v>0</v>
      </c>
      <c r="AA197">
        <f>IF($C197-AA$1&lt;År1,0,Z196*(1-VLOOKUP($A197,[1]Hugst!$R$5:$W$9,MATCH(ROUNDUP((AA$1)/10,0)*10,[1]Hugst!$R$4:$W$4,0))))</f>
        <v>0</v>
      </c>
      <c r="AB197">
        <f>IF($C197-AB$1&lt;År1,0,AA196*(1-VLOOKUP($A197,[1]Hugst!$R$5:$W$9,MATCH(ROUNDUP((AB$1)/10,0)*10,[1]Hugst!$R$4:$W$4,0))))</f>
        <v>0</v>
      </c>
      <c r="AC197">
        <f>IF($C197-AC$1&lt;År1,0,AB196*(1-VLOOKUP($A197,[1]Hugst!$R$5:$W$9,MATCH(ROUNDUP((AC$1)/10,0)*10,[1]Hugst!$R$4:$W$4,0))))</f>
        <v>0</v>
      </c>
      <c r="AD197">
        <f>IF($C197-AD$1&lt;År1,0,AC196*(1-VLOOKUP($A197,[1]Hugst!$R$5:$W$9,MATCH(ROUNDUP((AD$1)/10,0)*10,[1]Hugst!$R$4:$W$4,0))))</f>
        <v>0</v>
      </c>
      <c r="AE197">
        <f>IF($C197-AE$1&lt;År1,0,AD196*(1-VLOOKUP($A197,[1]Hugst!$R$5:$W$9,MATCH(ROUNDUP((AE$1)/10,0)*10,[1]Hugst!$R$4:$W$4,0))))</f>
        <v>0</v>
      </c>
      <c r="AF197">
        <f>IF($C197-AF$1&lt;År1,0,AE196*(1-VLOOKUP($A197,[1]Hugst!$R$5:$W$9,MATCH(ROUNDUP((AF$1)/10,0)*10,[1]Hugst!$R$4:$W$4,0))))</f>
        <v>0</v>
      </c>
      <c r="AG197">
        <f>IF($C197-AG$1&lt;År1,0,AF196*(1-VLOOKUP($A197,[1]Hugst!$R$5:$W$9,MATCH(ROUNDUP((AG$1)/10,0)*10,[1]Hugst!$R$4:$W$4,0))))</f>
        <v>0</v>
      </c>
      <c r="AH197">
        <f>IF($C197-AH$1&lt;År1,0,AG196*(1-VLOOKUP($A197,[1]Hugst!$R$5:$W$9,MATCH(ROUNDUP((AH$1)/10,0)*10,[1]Hugst!$R$4:$W$4,0))))</f>
        <v>0</v>
      </c>
      <c r="AI197">
        <f>IF($C197-AI$1&lt;År1,0,AH196*(1-VLOOKUP($A197,[1]Hugst!$R$5:$W$9,MATCH(ROUNDUP((AI$1)/10,0)*10,[1]Hugst!$R$4:$W$4,0))))</f>
        <v>0</v>
      </c>
      <c r="AJ197">
        <f>IF($C197-AJ$1&lt;År1,0,AI196*(1-VLOOKUP($A197,[1]Hugst!$R$5:$W$9,MATCH(ROUNDUP((AJ$1)/10,0)*10,[1]Hugst!$R$4:$W$4,0))))</f>
        <v>0</v>
      </c>
    </row>
    <row r="198" spans="1:36" x14ac:dyDescent="0.25">
      <c r="A198" t="s">
        <v>179</v>
      </c>
      <c r="B198" t="s">
        <v>23</v>
      </c>
      <c r="C198">
        <v>2030</v>
      </c>
      <c r="D198" cm="1">
        <f t="array" ref="D198">(IF(B198="Vestdanmark",Skovbrug!$C$22-(Skovbrug!$C$22)*(1-Skovbrug!$C$9)^(C198-Skovbrug!$B$12),Skovbrug!$F$22-(Skovbrug!$F$22)*(1-Skovbrug!$C$9)^(C198-Skovbrug!$B$12)))*VLOOKUP(A198,Skovbrug!$A$13:$D$17,IF('Skovbrug-alder'!C198&lt;=År2,3,4),FALSE)
-IF(C198&gt;2020,SUM(INDEX($C$1:$D$311,MATCH(1,(2020=$C$1:$C$311)*(B198=$B$1:$B$311)*(A198=$A$1:$A$311),0),2):D197),0)</f>
        <v>931.03711632439263</v>
      </c>
      <c r="E198">
        <f t="shared" ca="1" si="4"/>
        <v>11.893805370105838</v>
      </c>
      <c r="F19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5382.3248610884366</v>
      </c>
      <c r="G198">
        <f ca="1">IF($C198-G$1&lt;År1,0,F197*(1-VLOOKUP($A198,[1]Hugst!$R$5:$W$9,MATCH(ROUNDUP((G$1)/10,0)*10,[1]Hugst!$R$4:$W$4,0))))</f>
        <v>5375.1096341922748</v>
      </c>
      <c r="H198">
        <f ca="1">IF($C198-H$1&lt;År1,0,G197*(1-VLOOKUP($A198,[1]Hugst!$R$5:$W$9,MATCH(ROUNDUP((H$1)/10,0)*10,[1]Hugst!$R$4:$W$4,0))))</f>
        <v>5379.8117231109036</v>
      </c>
      <c r="I198">
        <f ca="1">IF($C198-I$1&lt;År1,0,H197*(1-VLOOKUP($A198,[1]Hugst!$R$5:$W$9,MATCH(ROUNDUP((I$1)/10,0)*10,[1]Hugst!$R$4:$W$4,0))))</f>
        <v>5384.5374406170058</v>
      </c>
      <c r="J198">
        <f ca="1">IF($C198-J$1&lt;År1,0,I197*(1-VLOOKUP($A198,[1]Hugst!$R$5:$W$9,MATCH(ROUNDUP((J$1)/10,0)*10,[1]Hugst!$R$4:$W$4,0))))</f>
        <v>5389.286905447264</v>
      </c>
      <c r="K198">
        <f ca="1">IF($C198-K$1&lt;År1,0,J197*(1-VLOOKUP($A198,[1]Hugst!$R$5:$W$9,MATCH(ROUNDUP((K$1)/10,0)*10,[1]Hugst!$R$4:$W$4,0))))</f>
        <v>5394.0602369349645</v>
      </c>
      <c r="L198">
        <f ca="1">IF($C198-L$1&lt;År1,0,K197*(1-VLOOKUP($A198,[1]Hugst!$R$5:$W$9,MATCH(ROUNDUP((L$1)/10,0)*10,[1]Hugst!$R$4:$W$4,0))))</f>
        <v>5398.8575550130645</v>
      </c>
      <c r="M198">
        <f ca="1">IF($C198-M$1&lt;År1,0,L197*(1-VLOOKUP($A198,[1]Hugst!$R$5:$W$9,MATCH(ROUNDUP((M$1)/10,0)*10,[1]Hugst!$R$4:$W$4,0))))</f>
        <v>5403.6789802171825</v>
      </c>
      <c r="N198">
        <f ca="1">IF($C198-N$1&lt;År1,0,M197*(1-VLOOKUP($A198,[1]Hugst!$R$5:$W$9,MATCH(ROUNDUP((N$1)/10,0)*10,[1]Hugst!$R$4:$W$4,0))))</f>
        <v>5408.5246336886621</v>
      </c>
      <c r="O198">
        <f ca="1">IF($C198-O$1&lt;År1,0,N197*(1-VLOOKUP($A198,[1]Hugst!$R$5:$W$9,MATCH(ROUNDUP((O$1)/10,0)*10,[1]Hugst!$R$4:$W$4,0))))</f>
        <v>5413.3946371775519</v>
      </c>
      <c r="P198">
        <f ca="1">IF($C198-P$1&lt;År1,0,O197*(1-VLOOKUP($A198,[1]Hugst!$R$5:$W$9,MATCH(ROUNDUP((P$1)/10,0)*10,[1]Hugst!$R$4:$W$4,0))))</f>
        <v>5406.3953076757343</v>
      </c>
      <c r="Q198">
        <f>IF($C198-Q$1&lt;År1,0,P197*(1-VLOOKUP($A198,[1]Hugst!$R$5:$W$9,MATCH(ROUNDUP((Q$1)/10,0)*10,[1]Hugst!$R$4:$W$4,0))))</f>
        <v>0</v>
      </c>
      <c r="R198">
        <f>IF($C198-R$1&lt;År1,0,Q197*(1-VLOOKUP($A198,[1]Hugst!$R$5:$W$9,MATCH(ROUNDUP((R$1)/10,0)*10,[1]Hugst!$R$4:$W$4,0))))</f>
        <v>0</v>
      </c>
      <c r="S198">
        <f>IF($C198-S$1&lt;År1,0,R197*(1-VLOOKUP($A198,[1]Hugst!$R$5:$W$9,MATCH(ROUNDUP((S$1)/10,0)*10,[1]Hugst!$R$4:$W$4,0))))</f>
        <v>0</v>
      </c>
      <c r="T198">
        <f>IF($C198-T$1&lt;År1,0,S197*(1-VLOOKUP($A198,[1]Hugst!$R$5:$W$9,MATCH(ROUNDUP((T$1)/10,0)*10,[1]Hugst!$R$4:$W$4,0))))</f>
        <v>0</v>
      </c>
      <c r="U198">
        <f>IF($C198-U$1&lt;År1,0,T197*(1-VLOOKUP($A198,[1]Hugst!$R$5:$W$9,MATCH(ROUNDUP((U$1)/10,0)*10,[1]Hugst!$R$4:$W$4,0))))</f>
        <v>0</v>
      </c>
      <c r="V198">
        <f>IF($C198-V$1&lt;År1,0,U197*(1-VLOOKUP($A198,[1]Hugst!$R$5:$W$9,MATCH(ROUNDUP((V$1)/10,0)*10,[1]Hugst!$R$4:$W$4,0))))</f>
        <v>0</v>
      </c>
      <c r="W198">
        <f>IF($C198-W$1&lt;År1,0,V197*(1-VLOOKUP($A198,[1]Hugst!$R$5:$W$9,MATCH(ROUNDUP((W$1)/10,0)*10,[1]Hugst!$R$4:$W$4,0))))</f>
        <v>0</v>
      </c>
      <c r="X198">
        <f>IF($C198-X$1&lt;År1,0,W197*(1-VLOOKUP($A198,[1]Hugst!$R$5:$W$9,MATCH(ROUNDUP((X$1)/10,0)*10,[1]Hugst!$R$4:$W$4,0))))</f>
        <v>0</v>
      </c>
      <c r="Y198">
        <f>IF($C198-Y$1&lt;År1,0,X197*(1-VLOOKUP($A198,[1]Hugst!$R$5:$W$9,MATCH(ROUNDUP((Y$1)/10,0)*10,[1]Hugst!$R$4:$W$4,0))))</f>
        <v>0</v>
      </c>
      <c r="Z198">
        <f>IF($C198-Z$1&lt;År1,0,Y197*(1-VLOOKUP($A198,[1]Hugst!$R$5:$W$9,MATCH(ROUNDUP((Z$1)/10,0)*10,[1]Hugst!$R$4:$W$4,0))))</f>
        <v>0</v>
      </c>
      <c r="AA198">
        <f>IF($C198-AA$1&lt;År1,0,Z197*(1-VLOOKUP($A198,[1]Hugst!$R$5:$W$9,MATCH(ROUNDUP((AA$1)/10,0)*10,[1]Hugst!$R$4:$W$4,0))))</f>
        <v>0</v>
      </c>
      <c r="AB198">
        <f>IF($C198-AB$1&lt;År1,0,AA197*(1-VLOOKUP($A198,[1]Hugst!$R$5:$W$9,MATCH(ROUNDUP((AB$1)/10,0)*10,[1]Hugst!$R$4:$W$4,0))))</f>
        <v>0</v>
      </c>
      <c r="AC198">
        <f>IF($C198-AC$1&lt;År1,0,AB197*(1-VLOOKUP($A198,[1]Hugst!$R$5:$W$9,MATCH(ROUNDUP((AC$1)/10,0)*10,[1]Hugst!$R$4:$W$4,0))))</f>
        <v>0</v>
      </c>
      <c r="AD198">
        <f>IF($C198-AD$1&lt;År1,0,AC197*(1-VLOOKUP($A198,[1]Hugst!$R$5:$W$9,MATCH(ROUNDUP((AD$1)/10,0)*10,[1]Hugst!$R$4:$W$4,0))))</f>
        <v>0</v>
      </c>
      <c r="AE198">
        <f>IF($C198-AE$1&lt;År1,0,AD197*(1-VLOOKUP($A198,[1]Hugst!$R$5:$W$9,MATCH(ROUNDUP((AE$1)/10,0)*10,[1]Hugst!$R$4:$W$4,0))))</f>
        <v>0</v>
      </c>
      <c r="AF198">
        <f>IF($C198-AF$1&lt;År1,0,AE197*(1-VLOOKUP($A198,[1]Hugst!$R$5:$W$9,MATCH(ROUNDUP((AF$1)/10,0)*10,[1]Hugst!$R$4:$W$4,0))))</f>
        <v>0</v>
      </c>
      <c r="AG198">
        <f>IF($C198-AG$1&lt;År1,0,AF197*(1-VLOOKUP($A198,[1]Hugst!$R$5:$W$9,MATCH(ROUNDUP((AG$1)/10,0)*10,[1]Hugst!$R$4:$W$4,0))))</f>
        <v>0</v>
      </c>
      <c r="AH198">
        <f>IF($C198-AH$1&lt;År1,0,AG197*(1-VLOOKUP($A198,[1]Hugst!$R$5:$W$9,MATCH(ROUNDUP((AH$1)/10,0)*10,[1]Hugst!$R$4:$W$4,0))))</f>
        <v>0</v>
      </c>
      <c r="AI198">
        <f>IF($C198-AI$1&lt;År1,0,AH197*(1-VLOOKUP($A198,[1]Hugst!$R$5:$W$9,MATCH(ROUNDUP((AI$1)/10,0)*10,[1]Hugst!$R$4:$W$4,0))))</f>
        <v>0</v>
      </c>
      <c r="AJ198">
        <f>IF($C198-AJ$1&lt;År1,0,AI197*(1-VLOOKUP($A198,[1]Hugst!$R$5:$W$9,MATCH(ROUNDUP((AJ$1)/10,0)*10,[1]Hugst!$R$4:$W$4,0))))</f>
        <v>0</v>
      </c>
    </row>
    <row r="199" spans="1:36" x14ac:dyDescent="0.25">
      <c r="A199" t="s">
        <v>179</v>
      </c>
      <c r="B199" t="s">
        <v>23</v>
      </c>
      <c r="C199">
        <v>2031</v>
      </c>
      <c r="D199" cm="1">
        <f t="array" ref="D199">(IF(B199="Vestdanmark",Skovbrug!$C$22-(Skovbrug!$C$22)*(1-Skovbrug!$C$9)^(C199-Skovbrug!$B$12),Skovbrug!$F$22-(Skovbrug!$F$22)*(1-Skovbrug!$C$9)^(C199-Skovbrug!$B$12)))*VLOOKUP(A199,Skovbrug!$A$13:$D$17,IF('Skovbrug-alder'!C199&lt;=År2,3,4),FALSE)
-IF(C199&gt;2020,SUM(INDEX($C$1:$D$311,MATCH(1,(2020=$C$1:$C$311)*(B199=$B$1:$B$311)*(A199=$A$1:$A$311),0),2):D198),0)</f>
        <v>926.3819307427093</v>
      </c>
      <c r="E199">
        <f t="shared" ca="1" si="4"/>
        <v>23.750758415531891</v>
      </c>
      <c r="F199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3391.7993558249086</v>
      </c>
      <c r="G199">
        <f ca="1">IF($C199-G$1&lt;År1,0,F198*(1-VLOOKUP($A199,[1]Hugst!$R$5:$W$9,MATCH(ROUNDUP((G$1)/10,0)*10,[1]Hugst!$R$4:$W$4,0))))</f>
        <v>5382.3248610884366</v>
      </c>
      <c r="H199">
        <f ca="1">IF($C199-H$1&lt;År1,0,G198*(1-VLOOKUP($A199,[1]Hugst!$R$5:$W$9,MATCH(ROUNDUP((H$1)/10,0)*10,[1]Hugst!$R$4:$W$4,0))))</f>
        <v>5375.1096341922748</v>
      </c>
      <c r="I199">
        <f ca="1">IF($C199-I$1&lt;År1,0,H198*(1-VLOOKUP($A199,[1]Hugst!$R$5:$W$9,MATCH(ROUNDUP((I$1)/10,0)*10,[1]Hugst!$R$4:$W$4,0))))</f>
        <v>5379.8117231109036</v>
      </c>
      <c r="J199">
        <f ca="1">IF($C199-J$1&lt;År1,0,I198*(1-VLOOKUP($A199,[1]Hugst!$R$5:$W$9,MATCH(ROUNDUP((J$1)/10,0)*10,[1]Hugst!$R$4:$W$4,0))))</f>
        <v>5384.5374406170058</v>
      </c>
      <c r="K199">
        <f ca="1">IF($C199-K$1&lt;År1,0,J198*(1-VLOOKUP($A199,[1]Hugst!$R$5:$W$9,MATCH(ROUNDUP((K$1)/10,0)*10,[1]Hugst!$R$4:$W$4,0))))</f>
        <v>5389.286905447264</v>
      </c>
      <c r="L199">
        <f ca="1">IF($C199-L$1&lt;År1,0,K198*(1-VLOOKUP($A199,[1]Hugst!$R$5:$W$9,MATCH(ROUNDUP((L$1)/10,0)*10,[1]Hugst!$R$4:$W$4,0))))</f>
        <v>5394.0602369349645</v>
      </c>
      <c r="M199">
        <f ca="1">IF($C199-M$1&lt;År1,0,L198*(1-VLOOKUP($A199,[1]Hugst!$R$5:$W$9,MATCH(ROUNDUP((M$1)/10,0)*10,[1]Hugst!$R$4:$W$4,0))))</f>
        <v>5398.8575550130645</v>
      </c>
      <c r="N199">
        <f ca="1">IF($C199-N$1&lt;År1,0,M198*(1-VLOOKUP($A199,[1]Hugst!$R$5:$W$9,MATCH(ROUNDUP((N$1)/10,0)*10,[1]Hugst!$R$4:$W$4,0))))</f>
        <v>5403.6789802171825</v>
      </c>
      <c r="O199">
        <f ca="1">IF($C199-O$1&lt;År1,0,N198*(1-VLOOKUP($A199,[1]Hugst!$R$5:$W$9,MATCH(ROUNDUP((O$1)/10,0)*10,[1]Hugst!$R$4:$W$4,0))))</f>
        <v>5408.5246336886621</v>
      </c>
      <c r="P199">
        <f ca="1">IF($C199-P$1&lt;År1,0,O198*(1-VLOOKUP($A199,[1]Hugst!$R$5:$W$9,MATCH(ROUNDUP((P$1)/10,0)*10,[1]Hugst!$R$4:$W$4,0))))</f>
        <v>5401.5115757788699</v>
      </c>
      <c r="Q199">
        <f ca="1">IF($C199-Q$1&lt;År1,0,P198*(1-VLOOKUP($A199,[1]Hugst!$R$5:$W$9,MATCH(ROUNDUP((Q$1)/10,0)*10,[1]Hugst!$R$4:$W$4,0))))</f>
        <v>5394.5276106588854</v>
      </c>
      <c r="R199">
        <f>IF($C199-R$1&lt;År1,0,Q198*(1-VLOOKUP($A199,[1]Hugst!$R$5:$W$9,MATCH(ROUNDUP((R$1)/10,0)*10,[1]Hugst!$R$4:$W$4,0))))</f>
        <v>0</v>
      </c>
      <c r="S199">
        <f>IF($C199-S$1&lt;År1,0,R198*(1-VLOOKUP($A199,[1]Hugst!$R$5:$W$9,MATCH(ROUNDUP((S$1)/10,0)*10,[1]Hugst!$R$4:$W$4,0))))</f>
        <v>0</v>
      </c>
      <c r="T199">
        <f>IF($C199-T$1&lt;År1,0,S198*(1-VLOOKUP($A199,[1]Hugst!$R$5:$W$9,MATCH(ROUNDUP((T$1)/10,0)*10,[1]Hugst!$R$4:$W$4,0))))</f>
        <v>0</v>
      </c>
      <c r="U199">
        <f>IF($C199-U$1&lt;År1,0,T198*(1-VLOOKUP($A199,[1]Hugst!$R$5:$W$9,MATCH(ROUNDUP((U$1)/10,0)*10,[1]Hugst!$R$4:$W$4,0))))</f>
        <v>0</v>
      </c>
      <c r="V199">
        <f>IF($C199-V$1&lt;År1,0,U198*(1-VLOOKUP($A199,[1]Hugst!$R$5:$W$9,MATCH(ROUNDUP((V$1)/10,0)*10,[1]Hugst!$R$4:$W$4,0))))</f>
        <v>0</v>
      </c>
      <c r="W199">
        <f>IF($C199-W$1&lt;År1,0,V198*(1-VLOOKUP($A199,[1]Hugst!$R$5:$W$9,MATCH(ROUNDUP((W$1)/10,0)*10,[1]Hugst!$R$4:$W$4,0))))</f>
        <v>0</v>
      </c>
      <c r="X199">
        <f>IF($C199-X$1&lt;År1,0,W198*(1-VLOOKUP($A199,[1]Hugst!$R$5:$W$9,MATCH(ROUNDUP((X$1)/10,0)*10,[1]Hugst!$R$4:$W$4,0))))</f>
        <v>0</v>
      </c>
      <c r="Y199">
        <f>IF($C199-Y$1&lt;År1,0,X198*(1-VLOOKUP($A199,[1]Hugst!$R$5:$W$9,MATCH(ROUNDUP((Y$1)/10,0)*10,[1]Hugst!$R$4:$W$4,0))))</f>
        <v>0</v>
      </c>
      <c r="Z199">
        <f>IF($C199-Z$1&lt;År1,0,Y198*(1-VLOOKUP($A199,[1]Hugst!$R$5:$W$9,MATCH(ROUNDUP((Z$1)/10,0)*10,[1]Hugst!$R$4:$W$4,0))))</f>
        <v>0</v>
      </c>
      <c r="AA199">
        <f>IF($C199-AA$1&lt;År1,0,Z198*(1-VLOOKUP($A199,[1]Hugst!$R$5:$W$9,MATCH(ROUNDUP((AA$1)/10,0)*10,[1]Hugst!$R$4:$W$4,0))))</f>
        <v>0</v>
      </c>
      <c r="AB199">
        <f>IF($C199-AB$1&lt;År1,0,AA198*(1-VLOOKUP($A199,[1]Hugst!$R$5:$W$9,MATCH(ROUNDUP((AB$1)/10,0)*10,[1]Hugst!$R$4:$W$4,0))))</f>
        <v>0</v>
      </c>
      <c r="AC199">
        <f>IF($C199-AC$1&lt;År1,0,AB198*(1-VLOOKUP($A199,[1]Hugst!$R$5:$W$9,MATCH(ROUNDUP((AC$1)/10,0)*10,[1]Hugst!$R$4:$W$4,0))))</f>
        <v>0</v>
      </c>
      <c r="AD199">
        <f>IF($C199-AD$1&lt;År1,0,AC198*(1-VLOOKUP($A199,[1]Hugst!$R$5:$W$9,MATCH(ROUNDUP((AD$1)/10,0)*10,[1]Hugst!$R$4:$W$4,0))))</f>
        <v>0</v>
      </c>
      <c r="AE199">
        <f>IF($C199-AE$1&lt;År1,0,AD198*(1-VLOOKUP($A199,[1]Hugst!$R$5:$W$9,MATCH(ROUNDUP((AE$1)/10,0)*10,[1]Hugst!$R$4:$W$4,0))))</f>
        <v>0</v>
      </c>
      <c r="AF199">
        <f>IF($C199-AF$1&lt;År1,0,AE198*(1-VLOOKUP($A199,[1]Hugst!$R$5:$W$9,MATCH(ROUNDUP((AF$1)/10,0)*10,[1]Hugst!$R$4:$W$4,0))))</f>
        <v>0</v>
      </c>
      <c r="AG199">
        <f>IF($C199-AG$1&lt;År1,0,AF198*(1-VLOOKUP($A199,[1]Hugst!$R$5:$W$9,MATCH(ROUNDUP((AG$1)/10,0)*10,[1]Hugst!$R$4:$W$4,0))))</f>
        <v>0</v>
      </c>
      <c r="AH199">
        <f>IF($C199-AH$1&lt;År1,0,AG198*(1-VLOOKUP($A199,[1]Hugst!$R$5:$W$9,MATCH(ROUNDUP((AH$1)/10,0)*10,[1]Hugst!$R$4:$W$4,0))))</f>
        <v>0</v>
      </c>
      <c r="AI199">
        <f>IF($C199-AI$1&lt;År1,0,AH198*(1-VLOOKUP($A199,[1]Hugst!$R$5:$W$9,MATCH(ROUNDUP((AI$1)/10,0)*10,[1]Hugst!$R$4:$W$4,0))))</f>
        <v>0</v>
      </c>
      <c r="AJ199">
        <f>IF($C199-AJ$1&lt;År1,0,AI198*(1-VLOOKUP($A199,[1]Hugst!$R$5:$W$9,MATCH(ROUNDUP((AJ$1)/10,0)*10,[1]Hugst!$R$4:$W$4,0))))</f>
        <v>0</v>
      </c>
    </row>
    <row r="200" spans="1:36" x14ac:dyDescent="0.25">
      <c r="A200" t="s">
        <v>179</v>
      </c>
      <c r="B200" t="s">
        <v>23</v>
      </c>
      <c r="C200">
        <v>2032</v>
      </c>
      <c r="D200" cm="1">
        <f t="array" ref="D200">(IF(B200="Vestdanmark",Skovbrug!$C$22-(Skovbrug!$C$22)*(1-Skovbrug!$C$9)^(C200-Skovbrug!$B$12),Skovbrug!$F$22-(Skovbrug!$F$22)*(1-Skovbrug!$C$9)^(C200-Skovbrug!$B$12)))*VLOOKUP(A200,Skovbrug!$A$13:$D$17,IF('Skovbrug-alder'!C200&lt;=År2,3,4),FALSE)
-IF(C200&gt;2020,SUM(INDEX($C$1:$D$311,MATCH(1,(2020=$C$1:$C$311)*(B200=$B$1:$B$311)*(A200=$A$1:$A$311),0),2):D199),0)</f>
        <v>921.750021089043</v>
      </c>
      <c r="E200">
        <f t="shared" ca="1" si="4"/>
        <v>35.570993751498463</v>
      </c>
      <c r="F200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3398.9876815072089</v>
      </c>
      <c r="G200">
        <f ca="1">IF($C200-G$1&lt;År1,0,F199*(1-VLOOKUP($A200,[1]Hugst!$R$5:$W$9,MATCH(ROUNDUP((G$1)/10,0)*10,[1]Hugst!$R$4:$W$4,0))))</f>
        <v>3391.7993558249086</v>
      </c>
      <c r="H200">
        <f ca="1">IF($C200-H$1&lt;År1,0,G199*(1-VLOOKUP($A200,[1]Hugst!$R$5:$W$9,MATCH(ROUNDUP((H$1)/10,0)*10,[1]Hugst!$R$4:$W$4,0))))</f>
        <v>5382.3248610884366</v>
      </c>
      <c r="I200">
        <f ca="1">IF($C200-I$1&lt;År1,0,H199*(1-VLOOKUP($A200,[1]Hugst!$R$5:$W$9,MATCH(ROUNDUP((I$1)/10,0)*10,[1]Hugst!$R$4:$W$4,0))))</f>
        <v>5375.1096341922748</v>
      </c>
      <c r="J200">
        <f ca="1">IF($C200-J$1&lt;År1,0,I199*(1-VLOOKUP($A200,[1]Hugst!$R$5:$W$9,MATCH(ROUNDUP((J$1)/10,0)*10,[1]Hugst!$R$4:$W$4,0))))</f>
        <v>5379.8117231109036</v>
      </c>
      <c r="K200">
        <f ca="1">IF($C200-K$1&lt;År1,0,J199*(1-VLOOKUP($A200,[1]Hugst!$R$5:$W$9,MATCH(ROUNDUP((K$1)/10,0)*10,[1]Hugst!$R$4:$W$4,0))))</f>
        <v>5384.5374406170058</v>
      </c>
      <c r="L200">
        <f ca="1">IF($C200-L$1&lt;År1,0,K199*(1-VLOOKUP($A200,[1]Hugst!$R$5:$W$9,MATCH(ROUNDUP((L$1)/10,0)*10,[1]Hugst!$R$4:$W$4,0))))</f>
        <v>5389.286905447264</v>
      </c>
      <c r="M200">
        <f ca="1">IF($C200-M$1&lt;År1,0,L199*(1-VLOOKUP($A200,[1]Hugst!$R$5:$W$9,MATCH(ROUNDUP((M$1)/10,0)*10,[1]Hugst!$R$4:$W$4,0))))</f>
        <v>5394.0602369349645</v>
      </c>
      <c r="N200">
        <f ca="1">IF($C200-N$1&lt;År1,0,M199*(1-VLOOKUP($A200,[1]Hugst!$R$5:$W$9,MATCH(ROUNDUP((N$1)/10,0)*10,[1]Hugst!$R$4:$W$4,0))))</f>
        <v>5398.8575550130645</v>
      </c>
      <c r="O200">
        <f ca="1">IF($C200-O$1&lt;År1,0,N199*(1-VLOOKUP($A200,[1]Hugst!$R$5:$W$9,MATCH(ROUNDUP((O$1)/10,0)*10,[1]Hugst!$R$4:$W$4,0))))</f>
        <v>5403.6789802171825</v>
      </c>
      <c r="P200">
        <f ca="1">IF($C200-P$1&lt;År1,0,O199*(1-VLOOKUP($A200,[1]Hugst!$R$5:$W$9,MATCH(ROUNDUP((P$1)/10,0)*10,[1]Hugst!$R$4:$W$4,0))))</f>
        <v>5396.6522625415409</v>
      </c>
      <c r="Q200">
        <f ca="1">IF($C200-Q$1&lt;År1,0,P199*(1-VLOOKUP($A200,[1]Hugst!$R$5:$W$9,MATCH(ROUNDUP((Q$1)/10,0)*10,[1]Hugst!$R$4:$W$4,0))))</f>
        <v>5389.6545991491112</v>
      </c>
      <c r="R200">
        <f ca="1">IF($C200-R$1&lt;År1,0,Q199*(1-VLOOKUP($A200,[1]Hugst!$R$5:$W$9,MATCH(ROUNDUP((R$1)/10,0)*10,[1]Hugst!$R$4:$W$4,0))))</f>
        <v>5382.6859646842686</v>
      </c>
      <c r="S200">
        <f>IF($C200-S$1&lt;År1,0,R199*(1-VLOOKUP($A200,[1]Hugst!$R$5:$W$9,MATCH(ROUNDUP((S$1)/10,0)*10,[1]Hugst!$R$4:$W$4,0))))</f>
        <v>0</v>
      </c>
      <c r="T200">
        <f>IF($C200-T$1&lt;År1,0,S199*(1-VLOOKUP($A200,[1]Hugst!$R$5:$W$9,MATCH(ROUNDUP((T$1)/10,0)*10,[1]Hugst!$R$4:$W$4,0))))</f>
        <v>0</v>
      </c>
      <c r="U200">
        <f>IF($C200-U$1&lt;År1,0,T199*(1-VLOOKUP($A200,[1]Hugst!$R$5:$W$9,MATCH(ROUNDUP((U$1)/10,0)*10,[1]Hugst!$R$4:$W$4,0))))</f>
        <v>0</v>
      </c>
      <c r="V200">
        <f>IF($C200-V$1&lt;År1,0,U199*(1-VLOOKUP($A200,[1]Hugst!$R$5:$W$9,MATCH(ROUNDUP((V$1)/10,0)*10,[1]Hugst!$R$4:$W$4,0))))</f>
        <v>0</v>
      </c>
      <c r="W200">
        <f>IF($C200-W$1&lt;År1,0,V199*(1-VLOOKUP($A200,[1]Hugst!$R$5:$W$9,MATCH(ROUNDUP((W$1)/10,0)*10,[1]Hugst!$R$4:$W$4,0))))</f>
        <v>0</v>
      </c>
      <c r="X200">
        <f>IF($C200-X$1&lt;År1,0,W199*(1-VLOOKUP($A200,[1]Hugst!$R$5:$W$9,MATCH(ROUNDUP((X$1)/10,0)*10,[1]Hugst!$R$4:$W$4,0))))</f>
        <v>0</v>
      </c>
      <c r="Y200">
        <f>IF($C200-Y$1&lt;År1,0,X199*(1-VLOOKUP($A200,[1]Hugst!$R$5:$W$9,MATCH(ROUNDUP((Y$1)/10,0)*10,[1]Hugst!$R$4:$W$4,0))))</f>
        <v>0</v>
      </c>
      <c r="Z200">
        <f>IF($C200-Z$1&lt;År1,0,Y199*(1-VLOOKUP($A200,[1]Hugst!$R$5:$W$9,MATCH(ROUNDUP((Z$1)/10,0)*10,[1]Hugst!$R$4:$W$4,0))))</f>
        <v>0</v>
      </c>
      <c r="AA200">
        <f>IF($C200-AA$1&lt;År1,0,Z199*(1-VLOOKUP($A200,[1]Hugst!$R$5:$W$9,MATCH(ROUNDUP((AA$1)/10,0)*10,[1]Hugst!$R$4:$W$4,0))))</f>
        <v>0</v>
      </c>
      <c r="AB200">
        <f>IF($C200-AB$1&lt;År1,0,AA199*(1-VLOOKUP($A200,[1]Hugst!$R$5:$W$9,MATCH(ROUNDUP((AB$1)/10,0)*10,[1]Hugst!$R$4:$W$4,0))))</f>
        <v>0</v>
      </c>
      <c r="AC200">
        <f>IF($C200-AC$1&lt;År1,0,AB199*(1-VLOOKUP($A200,[1]Hugst!$R$5:$W$9,MATCH(ROUNDUP((AC$1)/10,0)*10,[1]Hugst!$R$4:$W$4,0))))</f>
        <v>0</v>
      </c>
      <c r="AD200">
        <f>IF($C200-AD$1&lt;År1,0,AC199*(1-VLOOKUP($A200,[1]Hugst!$R$5:$W$9,MATCH(ROUNDUP((AD$1)/10,0)*10,[1]Hugst!$R$4:$W$4,0))))</f>
        <v>0</v>
      </c>
      <c r="AE200">
        <f>IF($C200-AE$1&lt;År1,0,AD199*(1-VLOOKUP($A200,[1]Hugst!$R$5:$W$9,MATCH(ROUNDUP((AE$1)/10,0)*10,[1]Hugst!$R$4:$W$4,0))))</f>
        <v>0</v>
      </c>
      <c r="AF200">
        <f>IF($C200-AF$1&lt;År1,0,AE199*(1-VLOOKUP($A200,[1]Hugst!$R$5:$W$9,MATCH(ROUNDUP((AF$1)/10,0)*10,[1]Hugst!$R$4:$W$4,0))))</f>
        <v>0</v>
      </c>
      <c r="AG200">
        <f>IF($C200-AG$1&lt;År1,0,AF199*(1-VLOOKUP($A200,[1]Hugst!$R$5:$W$9,MATCH(ROUNDUP((AG$1)/10,0)*10,[1]Hugst!$R$4:$W$4,0))))</f>
        <v>0</v>
      </c>
      <c r="AH200">
        <f>IF($C200-AH$1&lt;År1,0,AG199*(1-VLOOKUP($A200,[1]Hugst!$R$5:$W$9,MATCH(ROUNDUP((AH$1)/10,0)*10,[1]Hugst!$R$4:$W$4,0))))</f>
        <v>0</v>
      </c>
      <c r="AI200">
        <f>IF($C200-AI$1&lt;År1,0,AH199*(1-VLOOKUP($A200,[1]Hugst!$R$5:$W$9,MATCH(ROUNDUP((AI$1)/10,0)*10,[1]Hugst!$R$4:$W$4,0))))</f>
        <v>0</v>
      </c>
      <c r="AJ200">
        <f>IF($C200-AJ$1&lt;År1,0,AI199*(1-VLOOKUP($A200,[1]Hugst!$R$5:$W$9,MATCH(ROUNDUP((AJ$1)/10,0)*10,[1]Hugst!$R$4:$W$4,0))))</f>
        <v>0</v>
      </c>
    </row>
    <row r="201" spans="1:36" x14ac:dyDescent="0.25">
      <c r="A201" t="s">
        <v>179</v>
      </c>
      <c r="B201" t="s">
        <v>23</v>
      </c>
      <c r="C201">
        <v>2033</v>
      </c>
      <c r="D201" cm="1">
        <f t="array" ref="D201">(IF(B201="Vestdanmark",Skovbrug!$C$22-(Skovbrug!$C$22)*(1-Skovbrug!$C$9)^(C201-Skovbrug!$B$12),Skovbrug!$F$22-(Skovbrug!$F$22)*(1-Skovbrug!$C$9)^(C201-Skovbrug!$B$12)))*VLOOKUP(A201,Skovbrug!$A$13:$D$17,IF('Skovbrug-alder'!C201&lt;=År2,3,4),FALSE)
-IF(C201&gt;2020,SUM(INDEX($C$1:$D$311,MATCH(1,(2020=$C$1:$C$311)*(B201=$B$1:$B$311)*(A201=$A$1:$A$311),0),2):D200),0)</f>
        <v>917.14127098357312</v>
      </c>
      <c r="E201">
        <f t="shared" ca="1" si="4"/>
        <v>47.354645429106313</v>
      </c>
      <c r="F201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3406.1625830793469</v>
      </c>
      <c r="G201">
        <f ca="1">IF($C201-G$1&lt;År1,0,F200*(1-VLOOKUP($A201,[1]Hugst!$R$5:$W$9,MATCH(ROUNDUP((G$1)/10,0)*10,[1]Hugst!$R$4:$W$4,0))))</f>
        <v>3398.9876815072089</v>
      </c>
      <c r="H201">
        <f ca="1">IF($C201-H$1&lt;År1,0,G200*(1-VLOOKUP($A201,[1]Hugst!$R$5:$W$9,MATCH(ROUNDUP((H$1)/10,0)*10,[1]Hugst!$R$4:$W$4,0))))</f>
        <v>3391.7993558249086</v>
      </c>
      <c r="I201">
        <f ca="1">IF($C201-I$1&lt;År1,0,H200*(1-VLOOKUP($A201,[1]Hugst!$R$5:$W$9,MATCH(ROUNDUP((I$1)/10,0)*10,[1]Hugst!$R$4:$W$4,0))))</f>
        <v>5382.3248610884366</v>
      </c>
      <c r="J201">
        <f ca="1">IF($C201-J$1&lt;År1,0,I200*(1-VLOOKUP($A201,[1]Hugst!$R$5:$W$9,MATCH(ROUNDUP((J$1)/10,0)*10,[1]Hugst!$R$4:$W$4,0))))</f>
        <v>5375.1096341922748</v>
      </c>
      <c r="K201">
        <f ca="1">IF($C201-K$1&lt;År1,0,J200*(1-VLOOKUP($A201,[1]Hugst!$R$5:$W$9,MATCH(ROUNDUP((K$1)/10,0)*10,[1]Hugst!$R$4:$W$4,0))))</f>
        <v>5379.8117231109036</v>
      </c>
      <c r="L201">
        <f ca="1">IF($C201-L$1&lt;År1,0,K200*(1-VLOOKUP($A201,[1]Hugst!$R$5:$W$9,MATCH(ROUNDUP((L$1)/10,0)*10,[1]Hugst!$R$4:$W$4,0))))</f>
        <v>5384.5374406170058</v>
      </c>
      <c r="M201">
        <f ca="1">IF($C201-M$1&lt;År1,0,L200*(1-VLOOKUP($A201,[1]Hugst!$R$5:$W$9,MATCH(ROUNDUP((M$1)/10,0)*10,[1]Hugst!$R$4:$W$4,0))))</f>
        <v>5389.286905447264</v>
      </c>
      <c r="N201">
        <f ca="1">IF($C201-N$1&lt;År1,0,M200*(1-VLOOKUP($A201,[1]Hugst!$R$5:$W$9,MATCH(ROUNDUP((N$1)/10,0)*10,[1]Hugst!$R$4:$W$4,0))))</f>
        <v>5394.0602369349645</v>
      </c>
      <c r="O201">
        <f ca="1">IF($C201-O$1&lt;År1,0,N200*(1-VLOOKUP($A201,[1]Hugst!$R$5:$W$9,MATCH(ROUNDUP((O$1)/10,0)*10,[1]Hugst!$R$4:$W$4,0))))</f>
        <v>5398.8575550130645</v>
      </c>
      <c r="P201">
        <f ca="1">IF($C201-P$1&lt;År1,0,O200*(1-VLOOKUP($A201,[1]Hugst!$R$5:$W$9,MATCH(ROUNDUP((P$1)/10,0)*10,[1]Hugst!$R$4:$W$4,0))))</f>
        <v>5391.8172458703639</v>
      </c>
      <c r="Q201">
        <f ca="1">IF($C201-Q$1&lt;År1,0,P200*(1-VLOOKUP($A201,[1]Hugst!$R$5:$W$9,MATCH(ROUNDUP((Q$1)/10,0)*10,[1]Hugst!$R$4:$W$4,0))))</f>
        <v>5384.8059526969373</v>
      </c>
      <c r="R201">
        <f ca="1">IF($C201-R$1&lt;År1,0,Q200*(1-VLOOKUP($A201,[1]Hugst!$R$5:$W$9,MATCH(ROUNDUP((R$1)/10,0)*10,[1]Hugst!$R$4:$W$4,0))))</f>
        <v>5377.8236500290277</v>
      </c>
      <c r="S201">
        <f ca="1">IF($C201-S$1&lt;År1,0,R200*(1-VLOOKUP($A201,[1]Hugst!$R$5:$W$9,MATCH(ROUNDUP((S$1)/10,0)*10,[1]Hugst!$R$4:$W$4,0))))</f>
        <v>5370.8703125666689</v>
      </c>
      <c r="T201">
        <f>IF($C201-T$1&lt;År1,0,S200*(1-VLOOKUP($A201,[1]Hugst!$R$5:$W$9,MATCH(ROUNDUP((T$1)/10,0)*10,[1]Hugst!$R$4:$W$4,0))))</f>
        <v>0</v>
      </c>
      <c r="U201">
        <f>IF($C201-U$1&lt;År1,0,T200*(1-VLOOKUP($A201,[1]Hugst!$R$5:$W$9,MATCH(ROUNDUP((U$1)/10,0)*10,[1]Hugst!$R$4:$W$4,0))))</f>
        <v>0</v>
      </c>
      <c r="V201">
        <f>IF($C201-V$1&lt;År1,0,U200*(1-VLOOKUP($A201,[1]Hugst!$R$5:$W$9,MATCH(ROUNDUP((V$1)/10,0)*10,[1]Hugst!$R$4:$W$4,0))))</f>
        <v>0</v>
      </c>
      <c r="W201">
        <f>IF($C201-W$1&lt;År1,0,V200*(1-VLOOKUP($A201,[1]Hugst!$R$5:$W$9,MATCH(ROUNDUP((W$1)/10,0)*10,[1]Hugst!$R$4:$W$4,0))))</f>
        <v>0</v>
      </c>
      <c r="X201">
        <f>IF($C201-X$1&lt;År1,0,W200*(1-VLOOKUP($A201,[1]Hugst!$R$5:$W$9,MATCH(ROUNDUP((X$1)/10,0)*10,[1]Hugst!$R$4:$W$4,0))))</f>
        <v>0</v>
      </c>
      <c r="Y201">
        <f>IF($C201-Y$1&lt;År1,0,X200*(1-VLOOKUP($A201,[1]Hugst!$R$5:$W$9,MATCH(ROUNDUP((Y$1)/10,0)*10,[1]Hugst!$R$4:$W$4,0))))</f>
        <v>0</v>
      </c>
      <c r="Z201">
        <f>IF($C201-Z$1&lt;År1,0,Y200*(1-VLOOKUP($A201,[1]Hugst!$R$5:$W$9,MATCH(ROUNDUP((Z$1)/10,0)*10,[1]Hugst!$R$4:$W$4,0))))</f>
        <v>0</v>
      </c>
      <c r="AA201">
        <f>IF($C201-AA$1&lt;År1,0,Z200*(1-VLOOKUP($A201,[1]Hugst!$R$5:$W$9,MATCH(ROUNDUP((AA$1)/10,0)*10,[1]Hugst!$R$4:$W$4,0))))</f>
        <v>0</v>
      </c>
      <c r="AB201">
        <f>IF($C201-AB$1&lt;År1,0,AA200*(1-VLOOKUP($A201,[1]Hugst!$R$5:$W$9,MATCH(ROUNDUP((AB$1)/10,0)*10,[1]Hugst!$R$4:$W$4,0))))</f>
        <v>0</v>
      </c>
      <c r="AC201">
        <f>IF($C201-AC$1&lt;År1,0,AB200*(1-VLOOKUP($A201,[1]Hugst!$R$5:$W$9,MATCH(ROUNDUP((AC$1)/10,0)*10,[1]Hugst!$R$4:$W$4,0))))</f>
        <v>0</v>
      </c>
      <c r="AD201">
        <f>IF($C201-AD$1&lt;År1,0,AC200*(1-VLOOKUP($A201,[1]Hugst!$R$5:$W$9,MATCH(ROUNDUP((AD$1)/10,0)*10,[1]Hugst!$R$4:$W$4,0))))</f>
        <v>0</v>
      </c>
      <c r="AE201">
        <f>IF($C201-AE$1&lt;År1,0,AD200*(1-VLOOKUP($A201,[1]Hugst!$R$5:$W$9,MATCH(ROUNDUP((AE$1)/10,0)*10,[1]Hugst!$R$4:$W$4,0))))</f>
        <v>0</v>
      </c>
      <c r="AF201">
        <f>IF($C201-AF$1&lt;År1,0,AE200*(1-VLOOKUP($A201,[1]Hugst!$R$5:$W$9,MATCH(ROUNDUP((AF$1)/10,0)*10,[1]Hugst!$R$4:$W$4,0))))</f>
        <v>0</v>
      </c>
      <c r="AG201">
        <f>IF($C201-AG$1&lt;År1,0,AF200*(1-VLOOKUP($A201,[1]Hugst!$R$5:$W$9,MATCH(ROUNDUP((AG$1)/10,0)*10,[1]Hugst!$R$4:$W$4,0))))</f>
        <v>0</v>
      </c>
      <c r="AH201">
        <f>IF($C201-AH$1&lt;År1,0,AG200*(1-VLOOKUP($A201,[1]Hugst!$R$5:$W$9,MATCH(ROUNDUP((AH$1)/10,0)*10,[1]Hugst!$R$4:$W$4,0))))</f>
        <v>0</v>
      </c>
      <c r="AI201">
        <f>IF($C201-AI$1&lt;År1,0,AH200*(1-VLOOKUP($A201,[1]Hugst!$R$5:$W$9,MATCH(ROUNDUP((AI$1)/10,0)*10,[1]Hugst!$R$4:$W$4,0))))</f>
        <v>0</v>
      </c>
      <c r="AJ201">
        <f>IF($C201-AJ$1&lt;År1,0,AI200*(1-VLOOKUP($A201,[1]Hugst!$R$5:$W$9,MATCH(ROUNDUP((AJ$1)/10,0)*10,[1]Hugst!$R$4:$W$4,0))))</f>
        <v>0</v>
      </c>
    </row>
    <row r="202" spans="1:36" x14ac:dyDescent="0.25">
      <c r="A202" t="s">
        <v>179</v>
      </c>
      <c r="B202" t="s">
        <v>23</v>
      </c>
      <c r="C202">
        <v>2034</v>
      </c>
      <c r="D202" cm="1">
        <f t="array" ref="D202">(IF(B202="Vestdanmark",Skovbrug!$C$22-(Skovbrug!$C$22)*(1-Skovbrug!$C$9)^(C202-Skovbrug!$B$12),Skovbrug!$F$22-(Skovbrug!$F$22)*(1-Skovbrug!$C$9)^(C202-Skovbrug!$B$12)))*VLOOKUP(A202,Skovbrug!$A$13:$D$17,IF('Skovbrug-alder'!C202&lt;=År2,3,4),FALSE)
-IF(C202&gt;2020,SUM(INDEX($C$1:$D$311,MATCH(1,(2020=$C$1:$C$311)*(B202=$B$1:$B$311)*(A202=$A$1:$A$311),0),2):D201),0)</f>
        <v>912.55556462866116</v>
      </c>
      <c r="E202">
        <f t="shared" ca="1" si="4"/>
        <v>59.101846937948721</v>
      </c>
      <c r="F202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3413.3240782332773</v>
      </c>
      <c r="G202">
        <f ca="1">IF($C202-G$1&lt;År1,0,F201*(1-VLOOKUP($A202,[1]Hugst!$R$5:$W$9,MATCH(ROUNDUP((G$1)/10,0)*10,[1]Hugst!$R$4:$W$4,0))))</f>
        <v>3406.1625830793469</v>
      </c>
      <c r="H202">
        <f ca="1">IF($C202-H$1&lt;År1,0,G201*(1-VLOOKUP($A202,[1]Hugst!$R$5:$W$9,MATCH(ROUNDUP((H$1)/10,0)*10,[1]Hugst!$R$4:$W$4,0))))</f>
        <v>3398.9876815072089</v>
      </c>
      <c r="I202">
        <f ca="1">IF($C202-I$1&lt;År1,0,H201*(1-VLOOKUP($A202,[1]Hugst!$R$5:$W$9,MATCH(ROUNDUP((I$1)/10,0)*10,[1]Hugst!$R$4:$W$4,0))))</f>
        <v>3391.7993558249086</v>
      </c>
      <c r="J202">
        <f ca="1">IF($C202-J$1&lt;År1,0,I201*(1-VLOOKUP($A202,[1]Hugst!$R$5:$W$9,MATCH(ROUNDUP((J$1)/10,0)*10,[1]Hugst!$R$4:$W$4,0))))</f>
        <v>5382.3248610884366</v>
      </c>
      <c r="K202">
        <f ca="1">IF($C202-K$1&lt;År1,0,J201*(1-VLOOKUP($A202,[1]Hugst!$R$5:$W$9,MATCH(ROUNDUP((K$1)/10,0)*10,[1]Hugst!$R$4:$W$4,0))))</f>
        <v>5375.1096341922748</v>
      </c>
      <c r="L202">
        <f ca="1">IF($C202-L$1&lt;År1,0,K201*(1-VLOOKUP($A202,[1]Hugst!$R$5:$W$9,MATCH(ROUNDUP((L$1)/10,0)*10,[1]Hugst!$R$4:$W$4,0))))</f>
        <v>5379.8117231109036</v>
      </c>
      <c r="M202">
        <f ca="1">IF($C202-M$1&lt;År1,0,L201*(1-VLOOKUP($A202,[1]Hugst!$R$5:$W$9,MATCH(ROUNDUP((M$1)/10,0)*10,[1]Hugst!$R$4:$W$4,0))))</f>
        <v>5384.5374406170058</v>
      </c>
      <c r="N202">
        <f ca="1">IF($C202-N$1&lt;År1,0,M201*(1-VLOOKUP($A202,[1]Hugst!$R$5:$W$9,MATCH(ROUNDUP((N$1)/10,0)*10,[1]Hugst!$R$4:$W$4,0))))</f>
        <v>5389.286905447264</v>
      </c>
      <c r="O202">
        <f ca="1">IF($C202-O$1&lt;År1,0,N201*(1-VLOOKUP($A202,[1]Hugst!$R$5:$W$9,MATCH(ROUNDUP((O$1)/10,0)*10,[1]Hugst!$R$4:$W$4,0))))</f>
        <v>5394.0602369349645</v>
      </c>
      <c r="P202">
        <f ca="1">IF($C202-P$1&lt;År1,0,O201*(1-VLOOKUP($A202,[1]Hugst!$R$5:$W$9,MATCH(ROUNDUP((P$1)/10,0)*10,[1]Hugst!$R$4:$W$4,0))))</f>
        <v>5387.0064042825479</v>
      </c>
      <c r="Q202">
        <f ca="1">IF($C202-Q$1&lt;År1,0,P201*(1-VLOOKUP($A202,[1]Hugst!$R$5:$W$9,MATCH(ROUNDUP((Q$1)/10,0)*10,[1]Hugst!$R$4:$W$4,0))))</f>
        <v>5379.98154947699</v>
      </c>
      <c r="R202">
        <f ca="1">IF($C202-R$1&lt;År1,0,Q201*(1-VLOOKUP($A202,[1]Hugst!$R$5:$W$9,MATCH(ROUNDUP((R$1)/10,0)*10,[1]Hugst!$R$4:$W$4,0))))</f>
        <v>5372.9856469471151</v>
      </c>
      <c r="S202">
        <f ca="1">IF($C202-S$1&lt;År1,0,R201*(1-VLOOKUP($A202,[1]Hugst!$R$5:$W$9,MATCH(ROUNDUP((S$1)/10,0)*10,[1]Hugst!$R$4:$W$4,0))))</f>
        <v>5366.0186712850618</v>
      </c>
      <c r="T202">
        <f ca="1">IF($C202-T$1&lt;År1,0,S201*(1-VLOOKUP($A202,[1]Hugst!$R$5:$W$9,MATCH(ROUNDUP((T$1)/10,0)*10,[1]Hugst!$R$4:$W$4,0))))</f>
        <v>5359.0805972464004</v>
      </c>
      <c r="U202">
        <f>IF($C202-U$1&lt;År1,0,T201*(1-VLOOKUP($A202,[1]Hugst!$R$5:$W$9,MATCH(ROUNDUP((U$1)/10,0)*10,[1]Hugst!$R$4:$W$4,0))))</f>
        <v>0</v>
      </c>
      <c r="V202">
        <f>IF($C202-V$1&lt;År1,0,U201*(1-VLOOKUP($A202,[1]Hugst!$R$5:$W$9,MATCH(ROUNDUP((V$1)/10,0)*10,[1]Hugst!$R$4:$W$4,0))))</f>
        <v>0</v>
      </c>
      <c r="W202">
        <f>IF($C202-W$1&lt;År1,0,V201*(1-VLOOKUP($A202,[1]Hugst!$R$5:$W$9,MATCH(ROUNDUP((W$1)/10,0)*10,[1]Hugst!$R$4:$W$4,0))))</f>
        <v>0</v>
      </c>
      <c r="X202">
        <f>IF($C202-X$1&lt;År1,0,W201*(1-VLOOKUP($A202,[1]Hugst!$R$5:$W$9,MATCH(ROUNDUP((X$1)/10,0)*10,[1]Hugst!$R$4:$W$4,0))))</f>
        <v>0</v>
      </c>
      <c r="Y202">
        <f>IF($C202-Y$1&lt;År1,0,X201*(1-VLOOKUP($A202,[1]Hugst!$R$5:$W$9,MATCH(ROUNDUP((Y$1)/10,0)*10,[1]Hugst!$R$4:$W$4,0))))</f>
        <v>0</v>
      </c>
      <c r="Z202">
        <f>IF($C202-Z$1&lt;År1,0,Y201*(1-VLOOKUP($A202,[1]Hugst!$R$5:$W$9,MATCH(ROUNDUP((Z$1)/10,0)*10,[1]Hugst!$R$4:$W$4,0))))</f>
        <v>0</v>
      </c>
      <c r="AA202">
        <f>IF($C202-AA$1&lt;År1,0,Z201*(1-VLOOKUP($A202,[1]Hugst!$R$5:$W$9,MATCH(ROUNDUP((AA$1)/10,0)*10,[1]Hugst!$R$4:$W$4,0))))</f>
        <v>0</v>
      </c>
      <c r="AB202">
        <f>IF($C202-AB$1&lt;År1,0,AA201*(1-VLOOKUP($A202,[1]Hugst!$R$5:$W$9,MATCH(ROUNDUP((AB$1)/10,0)*10,[1]Hugst!$R$4:$W$4,0))))</f>
        <v>0</v>
      </c>
      <c r="AC202">
        <f>IF($C202-AC$1&lt;År1,0,AB201*(1-VLOOKUP($A202,[1]Hugst!$R$5:$W$9,MATCH(ROUNDUP((AC$1)/10,0)*10,[1]Hugst!$R$4:$W$4,0))))</f>
        <v>0</v>
      </c>
      <c r="AD202">
        <f>IF($C202-AD$1&lt;År1,0,AC201*(1-VLOOKUP($A202,[1]Hugst!$R$5:$W$9,MATCH(ROUNDUP((AD$1)/10,0)*10,[1]Hugst!$R$4:$W$4,0))))</f>
        <v>0</v>
      </c>
      <c r="AE202">
        <f>IF($C202-AE$1&lt;År1,0,AD201*(1-VLOOKUP($A202,[1]Hugst!$R$5:$W$9,MATCH(ROUNDUP((AE$1)/10,0)*10,[1]Hugst!$R$4:$W$4,0))))</f>
        <v>0</v>
      </c>
      <c r="AF202">
        <f>IF($C202-AF$1&lt;År1,0,AE201*(1-VLOOKUP($A202,[1]Hugst!$R$5:$W$9,MATCH(ROUNDUP((AF$1)/10,0)*10,[1]Hugst!$R$4:$W$4,0))))</f>
        <v>0</v>
      </c>
      <c r="AG202">
        <f>IF($C202-AG$1&lt;År1,0,AF201*(1-VLOOKUP($A202,[1]Hugst!$R$5:$W$9,MATCH(ROUNDUP((AG$1)/10,0)*10,[1]Hugst!$R$4:$W$4,0))))</f>
        <v>0</v>
      </c>
      <c r="AH202">
        <f>IF($C202-AH$1&lt;År1,0,AG201*(1-VLOOKUP($A202,[1]Hugst!$R$5:$W$9,MATCH(ROUNDUP((AH$1)/10,0)*10,[1]Hugst!$R$4:$W$4,0))))</f>
        <v>0</v>
      </c>
      <c r="AI202">
        <f>IF($C202-AI$1&lt;År1,0,AH201*(1-VLOOKUP($A202,[1]Hugst!$R$5:$W$9,MATCH(ROUNDUP((AI$1)/10,0)*10,[1]Hugst!$R$4:$W$4,0))))</f>
        <v>0</v>
      </c>
      <c r="AJ202">
        <f>IF($C202-AJ$1&lt;År1,0,AI201*(1-VLOOKUP($A202,[1]Hugst!$R$5:$W$9,MATCH(ROUNDUP((AJ$1)/10,0)*10,[1]Hugst!$R$4:$W$4,0))))</f>
        <v>0</v>
      </c>
    </row>
    <row r="203" spans="1:36" x14ac:dyDescent="0.25">
      <c r="A203" t="s">
        <v>179</v>
      </c>
      <c r="B203" t="s">
        <v>23</v>
      </c>
      <c r="C203">
        <v>2035</v>
      </c>
      <c r="D203" cm="1">
        <f t="array" ref="D203">(IF(B203="Vestdanmark",Skovbrug!$C$22-(Skovbrug!$C$22)*(1-Skovbrug!$C$9)^(C203-Skovbrug!$B$12),Skovbrug!$F$22-(Skovbrug!$F$22)*(1-Skovbrug!$C$9)^(C203-Skovbrug!$B$12)))*VLOOKUP(A203,Skovbrug!$A$13:$D$17,IF('Skovbrug-alder'!C203&lt;=År2,3,4),FALSE)
-IF(C203&gt;2020,SUM(INDEX($C$1:$D$311,MATCH(1,(2020=$C$1:$C$311)*(B203=$B$1:$B$311)*(A203=$A$1:$A$311),0),2):D202),0)</f>
        <v>907.99278680553653</v>
      </c>
      <c r="E203">
        <f t="shared" ca="1" si="4"/>
        <v>70.812731208672631</v>
      </c>
      <c r="F203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3420.4721846808766</v>
      </c>
      <c r="G203">
        <f ca="1">IF($C203-G$1&lt;År1,0,F202*(1-VLOOKUP($A203,[1]Hugst!$R$5:$W$9,MATCH(ROUNDUP((G$1)/10,0)*10,[1]Hugst!$R$4:$W$4,0))))</f>
        <v>3413.3240782332773</v>
      </c>
      <c r="H203">
        <f ca="1">IF($C203-H$1&lt;År1,0,G202*(1-VLOOKUP($A203,[1]Hugst!$R$5:$W$9,MATCH(ROUNDUP((H$1)/10,0)*10,[1]Hugst!$R$4:$W$4,0))))</f>
        <v>3406.1625830793469</v>
      </c>
      <c r="I203">
        <f ca="1">IF($C203-I$1&lt;År1,0,H202*(1-VLOOKUP($A203,[1]Hugst!$R$5:$W$9,MATCH(ROUNDUP((I$1)/10,0)*10,[1]Hugst!$R$4:$W$4,0))))</f>
        <v>3398.9876815072089</v>
      </c>
      <c r="J203">
        <f ca="1">IF($C203-J$1&lt;År1,0,I202*(1-VLOOKUP($A203,[1]Hugst!$R$5:$W$9,MATCH(ROUNDUP((J$1)/10,0)*10,[1]Hugst!$R$4:$W$4,0))))</f>
        <v>3391.7993558249086</v>
      </c>
      <c r="K203">
        <f ca="1">IF($C203-K$1&lt;År1,0,J202*(1-VLOOKUP($A203,[1]Hugst!$R$5:$W$9,MATCH(ROUNDUP((K$1)/10,0)*10,[1]Hugst!$R$4:$W$4,0))))</f>
        <v>5382.3248610884366</v>
      </c>
      <c r="L203">
        <f ca="1">IF($C203-L$1&lt;År1,0,K202*(1-VLOOKUP($A203,[1]Hugst!$R$5:$W$9,MATCH(ROUNDUP((L$1)/10,0)*10,[1]Hugst!$R$4:$W$4,0))))</f>
        <v>5375.1096341922748</v>
      </c>
      <c r="M203">
        <f ca="1">IF($C203-M$1&lt;År1,0,L202*(1-VLOOKUP($A203,[1]Hugst!$R$5:$W$9,MATCH(ROUNDUP((M$1)/10,0)*10,[1]Hugst!$R$4:$W$4,0))))</f>
        <v>5379.8117231109036</v>
      </c>
      <c r="N203">
        <f ca="1">IF($C203-N$1&lt;År1,0,M202*(1-VLOOKUP($A203,[1]Hugst!$R$5:$W$9,MATCH(ROUNDUP((N$1)/10,0)*10,[1]Hugst!$R$4:$W$4,0))))</f>
        <v>5384.5374406170058</v>
      </c>
      <c r="O203">
        <f ca="1">IF($C203-O$1&lt;År1,0,N202*(1-VLOOKUP($A203,[1]Hugst!$R$5:$W$9,MATCH(ROUNDUP((O$1)/10,0)*10,[1]Hugst!$R$4:$W$4,0))))</f>
        <v>5389.286905447264</v>
      </c>
      <c r="P203">
        <f ca="1">IF($C203-P$1&lt;År1,0,O202*(1-VLOOKUP($A203,[1]Hugst!$R$5:$W$9,MATCH(ROUNDUP((P$1)/10,0)*10,[1]Hugst!$R$4:$W$4,0))))</f>
        <v>5382.2196169026683</v>
      </c>
      <c r="Q203">
        <f ca="1">IF($C203-Q$1&lt;År1,0,P202*(1-VLOOKUP($A203,[1]Hugst!$R$5:$W$9,MATCH(ROUNDUP((Q$1)/10,0)*10,[1]Hugst!$R$4:$W$4,0))))</f>
        <v>5375.181268273147</v>
      </c>
      <c r="R203">
        <f ca="1">IF($C203-R$1&lt;År1,0,Q202*(1-VLOOKUP($A203,[1]Hugst!$R$5:$W$9,MATCH(ROUNDUP((R$1)/10,0)*10,[1]Hugst!$R$4:$W$4,0))))</f>
        <v>5368.1718338805767</v>
      </c>
      <c r="S203">
        <f ca="1">IF($C203-S$1&lt;År1,0,R202*(1-VLOOKUP($A203,[1]Hugst!$R$5:$W$9,MATCH(ROUNDUP((S$1)/10,0)*10,[1]Hugst!$R$4:$W$4,0))))</f>
        <v>5361.1912882099141</v>
      </c>
      <c r="T203">
        <f ca="1">IF($C203-T$1&lt;År1,0,S202*(1-VLOOKUP($A203,[1]Hugst!$R$5:$W$9,MATCH(ROUNDUP((T$1)/10,0)*10,[1]Hugst!$R$4:$W$4,0))))</f>
        <v>5354.2396059090706</v>
      </c>
      <c r="U203">
        <f ca="1">IF($C203-U$1&lt;År1,0,T202*(1-VLOOKUP($A203,[1]Hugst!$R$5:$W$9,MATCH(ROUNDUP((U$1)/10,0)*10,[1]Hugst!$R$4:$W$4,0))))</f>
        <v>5347.3167617890304</v>
      </c>
      <c r="V203">
        <f>IF($C203-V$1&lt;År1,0,U202*(1-VLOOKUP($A203,[1]Hugst!$R$5:$W$9,MATCH(ROUNDUP((V$1)/10,0)*10,[1]Hugst!$R$4:$W$4,0))))</f>
        <v>0</v>
      </c>
      <c r="W203">
        <f>IF($C203-W$1&lt;År1,0,V202*(1-VLOOKUP($A203,[1]Hugst!$R$5:$W$9,MATCH(ROUNDUP((W$1)/10,0)*10,[1]Hugst!$R$4:$W$4,0))))</f>
        <v>0</v>
      </c>
      <c r="X203">
        <f>IF($C203-X$1&lt;År1,0,W202*(1-VLOOKUP($A203,[1]Hugst!$R$5:$W$9,MATCH(ROUNDUP((X$1)/10,0)*10,[1]Hugst!$R$4:$W$4,0))))</f>
        <v>0</v>
      </c>
      <c r="Y203">
        <f>IF($C203-Y$1&lt;År1,0,X202*(1-VLOOKUP($A203,[1]Hugst!$R$5:$W$9,MATCH(ROUNDUP((Y$1)/10,0)*10,[1]Hugst!$R$4:$W$4,0))))</f>
        <v>0</v>
      </c>
      <c r="Z203">
        <f>IF($C203-Z$1&lt;År1,0,Y202*(1-VLOOKUP($A203,[1]Hugst!$R$5:$W$9,MATCH(ROUNDUP((Z$1)/10,0)*10,[1]Hugst!$R$4:$W$4,0))))</f>
        <v>0</v>
      </c>
      <c r="AA203">
        <f>IF($C203-AA$1&lt;År1,0,Z202*(1-VLOOKUP($A203,[1]Hugst!$R$5:$W$9,MATCH(ROUNDUP((AA$1)/10,0)*10,[1]Hugst!$R$4:$W$4,0))))</f>
        <v>0</v>
      </c>
      <c r="AB203">
        <f>IF($C203-AB$1&lt;År1,0,AA202*(1-VLOOKUP($A203,[1]Hugst!$R$5:$W$9,MATCH(ROUNDUP((AB$1)/10,0)*10,[1]Hugst!$R$4:$W$4,0))))</f>
        <v>0</v>
      </c>
      <c r="AC203">
        <f>IF($C203-AC$1&lt;År1,0,AB202*(1-VLOOKUP($A203,[1]Hugst!$R$5:$W$9,MATCH(ROUNDUP((AC$1)/10,0)*10,[1]Hugst!$R$4:$W$4,0))))</f>
        <v>0</v>
      </c>
      <c r="AD203">
        <f>IF($C203-AD$1&lt;År1,0,AC202*(1-VLOOKUP($A203,[1]Hugst!$R$5:$W$9,MATCH(ROUNDUP((AD$1)/10,0)*10,[1]Hugst!$R$4:$W$4,0))))</f>
        <v>0</v>
      </c>
      <c r="AE203">
        <f>IF($C203-AE$1&lt;År1,0,AD202*(1-VLOOKUP($A203,[1]Hugst!$R$5:$W$9,MATCH(ROUNDUP((AE$1)/10,0)*10,[1]Hugst!$R$4:$W$4,0))))</f>
        <v>0</v>
      </c>
      <c r="AF203">
        <f>IF($C203-AF$1&lt;År1,0,AE202*(1-VLOOKUP($A203,[1]Hugst!$R$5:$W$9,MATCH(ROUNDUP((AF$1)/10,0)*10,[1]Hugst!$R$4:$W$4,0))))</f>
        <v>0</v>
      </c>
      <c r="AG203">
        <f>IF($C203-AG$1&lt;År1,0,AF202*(1-VLOOKUP($A203,[1]Hugst!$R$5:$W$9,MATCH(ROUNDUP((AG$1)/10,0)*10,[1]Hugst!$R$4:$W$4,0))))</f>
        <v>0</v>
      </c>
      <c r="AH203">
        <f>IF($C203-AH$1&lt;År1,0,AG202*(1-VLOOKUP($A203,[1]Hugst!$R$5:$W$9,MATCH(ROUNDUP((AH$1)/10,0)*10,[1]Hugst!$R$4:$W$4,0))))</f>
        <v>0</v>
      </c>
      <c r="AI203">
        <f>IF($C203-AI$1&lt;År1,0,AH202*(1-VLOOKUP($A203,[1]Hugst!$R$5:$W$9,MATCH(ROUNDUP((AI$1)/10,0)*10,[1]Hugst!$R$4:$W$4,0))))</f>
        <v>0</v>
      </c>
      <c r="AJ203">
        <f>IF($C203-AJ$1&lt;År1,0,AI202*(1-VLOOKUP($A203,[1]Hugst!$R$5:$W$9,MATCH(ROUNDUP((AJ$1)/10,0)*10,[1]Hugst!$R$4:$W$4,0))))</f>
        <v>0</v>
      </c>
    </row>
    <row r="204" spans="1:36" x14ac:dyDescent="0.25">
      <c r="A204" t="s">
        <v>179</v>
      </c>
      <c r="B204" t="s">
        <v>23</v>
      </c>
      <c r="C204">
        <v>2036</v>
      </c>
      <c r="D204" cm="1">
        <f t="array" ref="D204">(IF(B204="Vestdanmark",Skovbrug!$C$22-(Skovbrug!$C$22)*(1-Skovbrug!$C$9)^(C204-Skovbrug!$B$12),Skovbrug!$F$22-(Skovbrug!$F$22)*(1-Skovbrug!$C$9)^(C204-Skovbrug!$B$12)))*VLOOKUP(A204,Skovbrug!$A$13:$D$17,IF('Skovbrug-alder'!C204&lt;=År2,3,4),FALSE)
-IF(C204&gt;2020,SUM(INDEX($C$1:$D$311,MATCH(1,(2020=$C$1:$C$311)*(B204=$B$1:$B$311)*(A204=$A$1:$A$311),0),2):D203),0)</f>
        <v>903.45282287150258</v>
      </c>
      <c r="E204">
        <f t="shared" ca="1" si="4"/>
        <v>82.487430615525227</v>
      </c>
      <c r="F204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3427.6069201536952</v>
      </c>
      <c r="G204">
        <f ca="1">IF($C204-G$1&lt;År1,0,F203*(1-VLOOKUP($A204,[1]Hugst!$R$5:$W$9,MATCH(ROUNDUP((G$1)/10,0)*10,[1]Hugst!$R$4:$W$4,0))))</f>
        <v>3420.4721846808766</v>
      </c>
      <c r="H204">
        <f ca="1">IF($C204-H$1&lt;År1,0,G203*(1-VLOOKUP($A204,[1]Hugst!$R$5:$W$9,MATCH(ROUNDUP((H$1)/10,0)*10,[1]Hugst!$R$4:$W$4,0))))</f>
        <v>3413.3240782332773</v>
      </c>
      <c r="I204">
        <f ca="1">IF($C204-I$1&lt;År1,0,H203*(1-VLOOKUP($A204,[1]Hugst!$R$5:$W$9,MATCH(ROUNDUP((I$1)/10,0)*10,[1]Hugst!$R$4:$W$4,0))))</f>
        <v>3406.1625830793469</v>
      </c>
      <c r="J204">
        <f ca="1">IF($C204-J$1&lt;År1,0,I203*(1-VLOOKUP($A204,[1]Hugst!$R$5:$W$9,MATCH(ROUNDUP((J$1)/10,0)*10,[1]Hugst!$R$4:$W$4,0))))</f>
        <v>3398.9876815072089</v>
      </c>
      <c r="K204">
        <f ca="1">IF($C204-K$1&lt;År1,0,J203*(1-VLOOKUP($A204,[1]Hugst!$R$5:$W$9,MATCH(ROUNDUP((K$1)/10,0)*10,[1]Hugst!$R$4:$W$4,0))))</f>
        <v>3391.7993558249086</v>
      </c>
      <c r="L204">
        <f ca="1">IF($C204-L$1&lt;År1,0,K203*(1-VLOOKUP($A204,[1]Hugst!$R$5:$W$9,MATCH(ROUNDUP((L$1)/10,0)*10,[1]Hugst!$R$4:$W$4,0))))</f>
        <v>5382.3248610884366</v>
      </c>
      <c r="M204">
        <f ca="1">IF($C204-M$1&lt;År1,0,L203*(1-VLOOKUP($A204,[1]Hugst!$R$5:$W$9,MATCH(ROUNDUP((M$1)/10,0)*10,[1]Hugst!$R$4:$W$4,0))))</f>
        <v>5375.1096341922748</v>
      </c>
      <c r="N204">
        <f ca="1">IF($C204-N$1&lt;År1,0,M203*(1-VLOOKUP($A204,[1]Hugst!$R$5:$W$9,MATCH(ROUNDUP((N$1)/10,0)*10,[1]Hugst!$R$4:$W$4,0))))</f>
        <v>5379.8117231109036</v>
      </c>
      <c r="O204">
        <f ca="1">IF($C204-O$1&lt;År1,0,N203*(1-VLOOKUP($A204,[1]Hugst!$R$5:$W$9,MATCH(ROUNDUP((O$1)/10,0)*10,[1]Hugst!$R$4:$W$4,0))))</f>
        <v>5384.5374406170058</v>
      </c>
      <c r="P204">
        <f ca="1">IF($C204-P$1&lt;År1,0,O203*(1-VLOOKUP($A204,[1]Hugst!$R$5:$W$9,MATCH(ROUNDUP((P$1)/10,0)*10,[1]Hugst!$R$4:$W$4,0))))</f>
        <v>5377.456763459697</v>
      </c>
      <c r="Q204">
        <f ca="1">IF($C204-Q$1&lt;År1,0,P203*(1-VLOOKUP($A204,[1]Hugst!$R$5:$W$9,MATCH(ROUNDUP((Q$1)/10,0)*10,[1]Hugst!$R$4:$W$4,0))))</f>
        <v>5370.4049884753213</v>
      </c>
      <c r="R204">
        <f ca="1">IF($C204-R$1&lt;År1,0,Q203*(1-VLOOKUP($A204,[1]Hugst!$R$5:$W$9,MATCH(ROUNDUP((R$1)/10,0)*10,[1]Hugst!$R$4:$W$4,0))))</f>
        <v>5363.3820898793765</v>
      </c>
      <c r="S204">
        <f ca="1">IF($C204-S$1&lt;År1,0,R203*(1-VLOOKUP($A204,[1]Hugst!$R$5:$W$9,MATCH(ROUNDUP((S$1)/10,0)*10,[1]Hugst!$R$4:$W$4,0))))</f>
        <v>5356.3880420501073</v>
      </c>
      <c r="T204">
        <f ca="1">IF($C204-T$1&lt;År1,0,S203*(1-VLOOKUP($A204,[1]Hugst!$R$5:$W$9,MATCH(ROUNDUP((T$1)/10,0)*10,[1]Hugst!$R$4:$W$4,0))))</f>
        <v>5349.4228195284777</v>
      </c>
      <c r="U204">
        <f ca="1">IF($C204-U$1&lt;År1,0,T203*(1-VLOOKUP($A204,[1]Hugst!$R$5:$W$9,MATCH(ROUNDUP((U$1)/10,0)*10,[1]Hugst!$R$4:$W$4,0))))</f>
        <v>5342.4863970180504</v>
      </c>
      <c r="V204">
        <f ca="1">IF($C204-V$1&lt;År1,0,U203*(1-VLOOKUP($A204,[1]Hugst!$R$5:$W$9,MATCH(ROUNDUP((V$1)/10,0)*10,[1]Hugst!$R$4:$W$4,0))))</f>
        <v>5335.578749385103</v>
      </c>
      <c r="W204">
        <f>IF($C204-W$1&lt;År1,0,V203*(1-VLOOKUP($A204,[1]Hugst!$R$5:$W$9,MATCH(ROUNDUP((W$1)/10,0)*10,[1]Hugst!$R$4:$W$4,0))))</f>
        <v>0</v>
      </c>
      <c r="X204">
        <f>IF($C204-X$1&lt;År1,0,W203*(1-VLOOKUP($A204,[1]Hugst!$R$5:$W$9,MATCH(ROUNDUP((X$1)/10,0)*10,[1]Hugst!$R$4:$W$4,0))))</f>
        <v>0</v>
      </c>
      <c r="Y204">
        <f>IF($C204-Y$1&lt;År1,0,X203*(1-VLOOKUP($A204,[1]Hugst!$R$5:$W$9,MATCH(ROUNDUP((Y$1)/10,0)*10,[1]Hugst!$R$4:$W$4,0))))</f>
        <v>0</v>
      </c>
      <c r="Z204">
        <f>IF($C204-Z$1&lt;År1,0,Y203*(1-VLOOKUP($A204,[1]Hugst!$R$5:$W$9,MATCH(ROUNDUP((Z$1)/10,0)*10,[1]Hugst!$R$4:$W$4,0))))</f>
        <v>0</v>
      </c>
      <c r="AA204">
        <f>IF($C204-AA$1&lt;År1,0,Z203*(1-VLOOKUP($A204,[1]Hugst!$R$5:$W$9,MATCH(ROUNDUP((AA$1)/10,0)*10,[1]Hugst!$R$4:$W$4,0))))</f>
        <v>0</v>
      </c>
      <c r="AB204">
        <f>IF($C204-AB$1&lt;År1,0,AA203*(1-VLOOKUP($A204,[1]Hugst!$R$5:$W$9,MATCH(ROUNDUP((AB$1)/10,0)*10,[1]Hugst!$R$4:$W$4,0))))</f>
        <v>0</v>
      </c>
      <c r="AC204">
        <f>IF($C204-AC$1&lt;År1,0,AB203*(1-VLOOKUP($A204,[1]Hugst!$R$5:$W$9,MATCH(ROUNDUP((AC$1)/10,0)*10,[1]Hugst!$R$4:$W$4,0))))</f>
        <v>0</v>
      </c>
      <c r="AD204">
        <f>IF($C204-AD$1&lt;År1,0,AC203*(1-VLOOKUP($A204,[1]Hugst!$R$5:$W$9,MATCH(ROUNDUP((AD$1)/10,0)*10,[1]Hugst!$R$4:$W$4,0))))</f>
        <v>0</v>
      </c>
      <c r="AE204">
        <f>IF($C204-AE$1&lt;År1,0,AD203*(1-VLOOKUP($A204,[1]Hugst!$R$5:$W$9,MATCH(ROUNDUP((AE$1)/10,0)*10,[1]Hugst!$R$4:$W$4,0))))</f>
        <v>0</v>
      </c>
      <c r="AF204">
        <f>IF($C204-AF$1&lt;År1,0,AE203*(1-VLOOKUP($A204,[1]Hugst!$R$5:$W$9,MATCH(ROUNDUP((AF$1)/10,0)*10,[1]Hugst!$R$4:$W$4,0))))</f>
        <v>0</v>
      </c>
      <c r="AG204">
        <f>IF($C204-AG$1&lt;År1,0,AF203*(1-VLOOKUP($A204,[1]Hugst!$R$5:$W$9,MATCH(ROUNDUP((AG$1)/10,0)*10,[1]Hugst!$R$4:$W$4,0))))</f>
        <v>0</v>
      </c>
      <c r="AH204">
        <f>IF($C204-AH$1&lt;År1,0,AG203*(1-VLOOKUP($A204,[1]Hugst!$R$5:$W$9,MATCH(ROUNDUP((AH$1)/10,0)*10,[1]Hugst!$R$4:$W$4,0))))</f>
        <v>0</v>
      </c>
      <c r="AI204">
        <f>IF($C204-AI$1&lt;År1,0,AH203*(1-VLOOKUP($A204,[1]Hugst!$R$5:$W$9,MATCH(ROUNDUP((AI$1)/10,0)*10,[1]Hugst!$R$4:$W$4,0))))</f>
        <v>0</v>
      </c>
      <c r="AJ204">
        <f>IF($C204-AJ$1&lt;År1,0,AI203*(1-VLOOKUP($A204,[1]Hugst!$R$5:$W$9,MATCH(ROUNDUP((AJ$1)/10,0)*10,[1]Hugst!$R$4:$W$4,0))))</f>
        <v>0</v>
      </c>
    </row>
    <row r="205" spans="1:36" x14ac:dyDescent="0.25">
      <c r="A205" t="s">
        <v>179</v>
      </c>
      <c r="B205" t="s">
        <v>23</v>
      </c>
      <c r="C205">
        <v>2037</v>
      </c>
      <c r="D205" cm="1">
        <f t="array" ref="D205">(IF(B205="Vestdanmark",Skovbrug!$C$22-(Skovbrug!$C$22)*(1-Skovbrug!$C$9)^(C205-Skovbrug!$B$12),Skovbrug!$F$22-(Skovbrug!$F$22)*(1-Skovbrug!$C$9)^(C205-Skovbrug!$B$12)))*VLOOKUP(A205,Skovbrug!$A$13:$D$17,IF('Skovbrug-alder'!C205&lt;=År2,3,4),FALSE)
-IF(C205&gt;2020,SUM(INDEX($C$1:$D$311,MATCH(1,(2020=$C$1:$C$311)*(B205=$B$1:$B$311)*(A205=$A$1:$A$311),0),2):D204),0)</f>
        <v>898.93555875713901</v>
      </c>
      <c r="E205">
        <f t="shared" ca="1" si="4"/>
        <v>94.12607697895146</v>
      </c>
      <c r="F205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3434.7283024027579</v>
      </c>
      <c r="G205">
        <f ca="1">IF($C205-G$1&lt;År1,0,F204*(1-VLOOKUP($A205,[1]Hugst!$R$5:$W$9,MATCH(ROUNDUP((G$1)/10,0)*10,[1]Hugst!$R$4:$W$4,0))))</f>
        <v>3427.6069201536952</v>
      </c>
      <c r="H205">
        <f ca="1">IF($C205-H$1&lt;År1,0,G204*(1-VLOOKUP($A205,[1]Hugst!$R$5:$W$9,MATCH(ROUNDUP((H$1)/10,0)*10,[1]Hugst!$R$4:$W$4,0))))</f>
        <v>3420.4721846808766</v>
      </c>
      <c r="I205">
        <f ca="1">IF($C205-I$1&lt;År1,0,H204*(1-VLOOKUP($A205,[1]Hugst!$R$5:$W$9,MATCH(ROUNDUP((I$1)/10,0)*10,[1]Hugst!$R$4:$W$4,0))))</f>
        <v>3413.3240782332773</v>
      </c>
      <c r="J205">
        <f ca="1">IF($C205-J$1&lt;År1,0,I204*(1-VLOOKUP($A205,[1]Hugst!$R$5:$W$9,MATCH(ROUNDUP((J$1)/10,0)*10,[1]Hugst!$R$4:$W$4,0))))</f>
        <v>3406.1625830793469</v>
      </c>
      <c r="K205">
        <f ca="1">IF($C205-K$1&lt;År1,0,J204*(1-VLOOKUP($A205,[1]Hugst!$R$5:$W$9,MATCH(ROUNDUP((K$1)/10,0)*10,[1]Hugst!$R$4:$W$4,0))))</f>
        <v>3398.9876815072089</v>
      </c>
      <c r="L205">
        <f ca="1">IF($C205-L$1&lt;År1,0,K204*(1-VLOOKUP($A205,[1]Hugst!$R$5:$W$9,MATCH(ROUNDUP((L$1)/10,0)*10,[1]Hugst!$R$4:$W$4,0))))</f>
        <v>3391.7993558249086</v>
      </c>
      <c r="M205">
        <f ca="1">IF($C205-M$1&lt;År1,0,L204*(1-VLOOKUP($A205,[1]Hugst!$R$5:$W$9,MATCH(ROUNDUP((M$1)/10,0)*10,[1]Hugst!$R$4:$W$4,0))))</f>
        <v>5382.3248610884366</v>
      </c>
      <c r="N205">
        <f ca="1">IF($C205-N$1&lt;År1,0,M204*(1-VLOOKUP($A205,[1]Hugst!$R$5:$W$9,MATCH(ROUNDUP((N$1)/10,0)*10,[1]Hugst!$R$4:$W$4,0))))</f>
        <v>5375.1096341922748</v>
      </c>
      <c r="O205">
        <f ca="1">IF($C205-O$1&lt;År1,0,N204*(1-VLOOKUP($A205,[1]Hugst!$R$5:$W$9,MATCH(ROUNDUP((O$1)/10,0)*10,[1]Hugst!$R$4:$W$4,0))))</f>
        <v>5379.8117231109036</v>
      </c>
      <c r="P205">
        <f ca="1">IF($C205-P$1&lt;År1,0,O204*(1-VLOOKUP($A205,[1]Hugst!$R$5:$W$9,MATCH(ROUNDUP((P$1)/10,0)*10,[1]Hugst!$R$4:$W$4,0))))</f>
        <v>5372.7177242839443</v>
      </c>
      <c r="Q205">
        <f ca="1">IF($C205-Q$1&lt;År1,0,P204*(1-VLOOKUP($A205,[1]Hugst!$R$5:$W$9,MATCH(ROUNDUP((Q$1)/10,0)*10,[1]Hugst!$R$4:$W$4,0))))</f>
        <v>5365.6525900764927</v>
      </c>
      <c r="R205">
        <f ca="1">IF($C205-R$1&lt;År1,0,Q204*(1-VLOOKUP($A205,[1]Hugst!$R$5:$W$9,MATCH(ROUNDUP((R$1)/10,0)*10,[1]Hugst!$R$4:$W$4,0))))</f>
        <v>5358.6162945981805</v>
      </c>
      <c r="S205">
        <f ca="1">IF($C205-S$1&lt;År1,0,R204*(1-VLOOKUP($A205,[1]Hugst!$R$5:$W$9,MATCH(ROUNDUP((S$1)/10,0)*10,[1]Hugst!$R$4:$W$4,0))))</f>
        <v>5351.6088121211051</v>
      </c>
      <c r="T205">
        <f ca="1">IF($C205-T$1&lt;År1,0,S204*(1-VLOOKUP($A205,[1]Hugst!$R$5:$W$9,MATCH(ROUNDUP((T$1)/10,0)*10,[1]Hugst!$R$4:$W$4,0))))</f>
        <v>5344.6301170797533</v>
      </c>
      <c r="U205">
        <f ca="1">IF($C205-U$1&lt;År1,0,T204*(1-VLOOKUP($A205,[1]Hugst!$R$5:$W$9,MATCH(ROUNDUP((U$1)/10,0)*10,[1]Hugst!$R$4:$W$4,0))))</f>
        <v>5337.6801840709759</v>
      </c>
      <c r="V205">
        <f ca="1">IF($C205-V$1&lt;År1,0,U204*(1-VLOOKUP($A205,[1]Hugst!$R$5:$W$9,MATCH(ROUNDUP((V$1)/10,0)*10,[1]Hugst!$R$4:$W$4,0))))</f>
        <v>5330.7589878538647</v>
      </c>
      <c r="W205">
        <f ca="1">IF($C205-W$1&lt;År1,0,V204*(1-VLOOKUP($A205,[1]Hugst!$R$5:$W$9,MATCH(ROUNDUP((W$1)/10,0)*10,[1]Hugst!$R$4:$W$4,0))))</f>
        <v>5323.8665033498673</v>
      </c>
      <c r="X205">
        <f>IF($C205-X$1&lt;År1,0,W204*(1-VLOOKUP($A205,[1]Hugst!$R$5:$W$9,MATCH(ROUNDUP((X$1)/10,0)*10,[1]Hugst!$R$4:$W$4,0))))</f>
        <v>0</v>
      </c>
      <c r="Y205">
        <f>IF($C205-Y$1&lt;År1,0,X204*(1-VLOOKUP($A205,[1]Hugst!$R$5:$W$9,MATCH(ROUNDUP((Y$1)/10,0)*10,[1]Hugst!$R$4:$W$4,0))))</f>
        <v>0</v>
      </c>
      <c r="Z205">
        <f>IF($C205-Z$1&lt;År1,0,Y204*(1-VLOOKUP($A205,[1]Hugst!$R$5:$W$9,MATCH(ROUNDUP((Z$1)/10,0)*10,[1]Hugst!$R$4:$W$4,0))))</f>
        <v>0</v>
      </c>
      <c r="AA205">
        <f>IF($C205-AA$1&lt;År1,0,Z204*(1-VLOOKUP($A205,[1]Hugst!$R$5:$W$9,MATCH(ROUNDUP((AA$1)/10,0)*10,[1]Hugst!$R$4:$W$4,0))))</f>
        <v>0</v>
      </c>
      <c r="AB205">
        <f>IF($C205-AB$1&lt;År1,0,AA204*(1-VLOOKUP($A205,[1]Hugst!$R$5:$W$9,MATCH(ROUNDUP((AB$1)/10,0)*10,[1]Hugst!$R$4:$W$4,0))))</f>
        <v>0</v>
      </c>
      <c r="AC205">
        <f>IF($C205-AC$1&lt;År1,0,AB204*(1-VLOOKUP($A205,[1]Hugst!$R$5:$W$9,MATCH(ROUNDUP((AC$1)/10,0)*10,[1]Hugst!$R$4:$W$4,0))))</f>
        <v>0</v>
      </c>
      <c r="AD205">
        <f>IF($C205-AD$1&lt;År1,0,AC204*(1-VLOOKUP($A205,[1]Hugst!$R$5:$W$9,MATCH(ROUNDUP((AD$1)/10,0)*10,[1]Hugst!$R$4:$W$4,0))))</f>
        <v>0</v>
      </c>
      <c r="AE205">
        <f>IF($C205-AE$1&lt;År1,0,AD204*(1-VLOOKUP($A205,[1]Hugst!$R$5:$W$9,MATCH(ROUNDUP((AE$1)/10,0)*10,[1]Hugst!$R$4:$W$4,0))))</f>
        <v>0</v>
      </c>
      <c r="AF205">
        <f>IF($C205-AF$1&lt;År1,0,AE204*(1-VLOOKUP($A205,[1]Hugst!$R$5:$W$9,MATCH(ROUNDUP((AF$1)/10,0)*10,[1]Hugst!$R$4:$W$4,0))))</f>
        <v>0</v>
      </c>
      <c r="AG205">
        <f>IF($C205-AG$1&lt;År1,0,AF204*(1-VLOOKUP($A205,[1]Hugst!$R$5:$W$9,MATCH(ROUNDUP((AG$1)/10,0)*10,[1]Hugst!$R$4:$W$4,0))))</f>
        <v>0</v>
      </c>
      <c r="AH205">
        <f>IF($C205-AH$1&lt;År1,0,AG204*(1-VLOOKUP($A205,[1]Hugst!$R$5:$W$9,MATCH(ROUNDUP((AH$1)/10,0)*10,[1]Hugst!$R$4:$W$4,0))))</f>
        <v>0</v>
      </c>
      <c r="AI205">
        <f>IF($C205-AI$1&lt;År1,0,AH204*(1-VLOOKUP($A205,[1]Hugst!$R$5:$W$9,MATCH(ROUNDUP((AI$1)/10,0)*10,[1]Hugst!$R$4:$W$4,0))))</f>
        <v>0</v>
      </c>
      <c r="AJ205">
        <f>IF($C205-AJ$1&lt;År1,0,AI204*(1-VLOOKUP($A205,[1]Hugst!$R$5:$W$9,MATCH(ROUNDUP((AJ$1)/10,0)*10,[1]Hugst!$R$4:$W$4,0))))</f>
        <v>0</v>
      </c>
    </row>
    <row r="206" spans="1:36" x14ac:dyDescent="0.25">
      <c r="A206" t="s">
        <v>179</v>
      </c>
      <c r="B206" t="s">
        <v>23</v>
      </c>
      <c r="C206">
        <v>2038</v>
      </c>
      <c r="D206" cm="1">
        <f t="array" ref="D206">(IF(B206="Vestdanmark",Skovbrug!$C$22-(Skovbrug!$C$22)*(1-Skovbrug!$C$9)^(C206-Skovbrug!$B$12),Skovbrug!$F$22-(Skovbrug!$F$22)*(1-Skovbrug!$C$9)^(C206-Skovbrug!$B$12)))*VLOOKUP(A206,Skovbrug!$A$13:$D$17,IF('Skovbrug-alder'!C206&lt;=År2,3,4),FALSE)
-IF(C206&gt;2020,SUM(INDEX($C$1:$D$311,MATCH(1,(2020=$C$1:$C$311)*(B206=$B$1:$B$311)*(A206=$A$1:$A$311),0),2):D205),0)</f>
        <v>894.44088096338237</v>
      </c>
      <c r="E206">
        <f t="shared" ca="1" si="4"/>
        <v>105.72880156803876</v>
      </c>
      <c r="F206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3441.8363491980886</v>
      </c>
      <c r="G206">
        <f ca="1">IF($C206-G$1&lt;År1,0,F205*(1-VLOOKUP($A206,[1]Hugst!$R$5:$W$9,MATCH(ROUNDUP((G$1)/10,0)*10,[1]Hugst!$R$4:$W$4,0))))</f>
        <v>3434.7283024027579</v>
      </c>
      <c r="H206">
        <f ca="1">IF($C206-H$1&lt;År1,0,G205*(1-VLOOKUP($A206,[1]Hugst!$R$5:$W$9,MATCH(ROUNDUP((H$1)/10,0)*10,[1]Hugst!$R$4:$W$4,0))))</f>
        <v>3427.6069201536952</v>
      </c>
      <c r="I206">
        <f ca="1">IF($C206-I$1&lt;År1,0,H205*(1-VLOOKUP($A206,[1]Hugst!$R$5:$W$9,MATCH(ROUNDUP((I$1)/10,0)*10,[1]Hugst!$R$4:$W$4,0))))</f>
        <v>3420.4721846808766</v>
      </c>
      <c r="J206">
        <f ca="1">IF($C206-J$1&lt;År1,0,I205*(1-VLOOKUP($A206,[1]Hugst!$R$5:$W$9,MATCH(ROUNDUP((J$1)/10,0)*10,[1]Hugst!$R$4:$W$4,0))))</f>
        <v>3413.3240782332773</v>
      </c>
      <c r="K206">
        <f ca="1">IF($C206-K$1&lt;År1,0,J205*(1-VLOOKUP($A206,[1]Hugst!$R$5:$W$9,MATCH(ROUNDUP((K$1)/10,0)*10,[1]Hugst!$R$4:$W$4,0))))</f>
        <v>3406.1625830793469</v>
      </c>
      <c r="L206">
        <f ca="1">IF($C206-L$1&lt;År1,0,K205*(1-VLOOKUP($A206,[1]Hugst!$R$5:$W$9,MATCH(ROUNDUP((L$1)/10,0)*10,[1]Hugst!$R$4:$W$4,0))))</f>
        <v>3398.9876815072089</v>
      </c>
      <c r="M206">
        <f ca="1">IF($C206-M$1&lt;År1,0,L205*(1-VLOOKUP($A206,[1]Hugst!$R$5:$W$9,MATCH(ROUNDUP((M$1)/10,0)*10,[1]Hugst!$R$4:$W$4,0))))</f>
        <v>3391.7993558249086</v>
      </c>
      <c r="N206">
        <f ca="1">IF($C206-N$1&lt;År1,0,M205*(1-VLOOKUP($A206,[1]Hugst!$R$5:$W$9,MATCH(ROUNDUP((N$1)/10,0)*10,[1]Hugst!$R$4:$W$4,0))))</f>
        <v>5382.3248610884366</v>
      </c>
      <c r="O206">
        <f ca="1">IF($C206-O$1&lt;År1,0,N205*(1-VLOOKUP($A206,[1]Hugst!$R$5:$W$9,MATCH(ROUNDUP((O$1)/10,0)*10,[1]Hugst!$R$4:$W$4,0))))</f>
        <v>5375.1096341922748</v>
      </c>
      <c r="P206">
        <f ca="1">IF($C206-P$1&lt;År1,0,O205*(1-VLOOKUP($A206,[1]Hugst!$R$5:$W$9,MATCH(ROUNDUP((P$1)/10,0)*10,[1]Hugst!$R$4:$W$4,0))))</f>
        <v>5368.0023803040749</v>
      </c>
      <c r="Q206">
        <f ca="1">IF($C206-Q$1&lt;År1,0,P205*(1-VLOOKUP($A206,[1]Hugst!$R$5:$W$9,MATCH(ROUNDUP((Q$1)/10,0)*10,[1]Hugst!$R$4:$W$4,0))))</f>
        <v>5360.9239536696623</v>
      </c>
      <c r="R206">
        <f ca="1">IF($C206-R$1&lt;År1,0,Q205*(1-VLOOKUP($A206,[1]Hugst!$R$5:$W$9,MATCH(ROUNDUP((R$1)/10,0)*10,[1]Hugst!$R$4:$W$4,0))))</f>
        <v>5353.8743282933983</v>
      </c>
      <c r="S206">
        <f ca="1">IF($C206-S$1&lt;År1,0,R205*(1-VLOOKUP($A206,[1]Hugst!$R$5:$W$9,MATCH(ROUNDUP((S$1)/10,0)*10,[1]Hugst!$R$4:$W$4,0))))</f>
        <v>5346.8534783417454</v>
      </c>
      <c r="T206">
        <f ca="1">IF($C206-T$1&lt;År1,0,S205*(1-VLOOKUP($A206,[1]Hugst!$R$5:$W$9,MATCH(ROUNDUP((T$1)/10,0)*10,[1]Hugst!$R$4:$W$4,0))))</f>
        <v>5339.8613781432787</v>
      </c>
      <c r="U206">
        <f ca="1">IF($C206-U$1&lt;År1,0,T205*(1-VLOOKUP($A206,[1]Hugst!$R$5:$W$9,MATCH(ROUNDUP((U$1)/10,0)*10,[1]Hugst!$R$4:$W$4,0))))</f>
        <v>5332.8980021886027</v>
      </c>
      <c r="V206">
        <f ca="1">IF($C206-V$1&lt;År1,0,U205*(1-VLOOKUP($A206,[1]Hugst!$R$5:$W$9,MATCH(ROUNDUP((V$1)/10,0)*10,[1]Hugst!$R$4:$W$4,0))))</f>
        <v>5325.9633251303321</v>
      </c>
      <c r="W206">
        <f ca="1">IF($C206-W$1&lt;År1,0,V205*(1-VLOOKUP($A206,[1]Hugst!$R$5:$W$9,MATCH(ROUNDUP((W$1)/10,0)*10,[1]Hugst!$R$4:$W$4,0))))</f>
        <v>5319.057321782966</v>
      </c>
      <c r="X206">
        <f ca="1">IF($C206-X$1&lt;År1,0,W205*(1-VLOOKUP($A206,[1]Hugst!$R$5:$W$9,MATCH(ROUNDUP((X$1)/10,0)*10,[1]Hugst!$R$4:$W$4,0))))</f>
        <v>5312.1799671230019</v>
      </c>
      <c r="Y206">
        <f>IF($C206-Y$1&lt;År1,0,X205*(1-VLOOKUP($A206,[1]Hugst!$R$5:$W$9,MATCH(ROUNDUP((Y$1)/10,0)*10,[1]Hugst!$R$4:$W$4,0))))</f>
        <v>0</v>
      </c>
      <c r="Z206">
        <f>IF($C206-Z$1&lt;År1,0,Y205*(1-VLOOKUP($A206,[1]Hugst!$R$5:$W$9,MATCH(ROUNDUP((Z$1)/10,0)*10,[1]Hugst!$R$4:$W$4,0))))</f>
        <v>0</v>
      </c>
      <c r="AA206">
        <f>IF($C206-AA$1&lt;År1,0,Z205*(1-VLOOKUP($A206,[1]Hugst!$R$5:$W$9,MATCH(ROUNDUP((AA$1)/10,0)*10,[1]Hugst!$R$4:$W$4,0))))</f>
        <v>0</v>
      </c>
      <c r="AB206">
        <f>IF($C206-AB$1&lt;År1,0,AA205*(1-VLOOKUP($A206,[1]Hugst!$R$5:$W$9,MATCH(ROUNDUP((AB$1)/10,0)*10,[1]Hugst!$R$4:$W$4,0))))</f>
        <v>0</v>
      </c>
      <c r="AC206">
        <f>IF($C206-AC$1&lt;År1,0,AB205*(1-VLOOKUP($A206,[1]Hugst!$R$5:$W$9,MATCH(ROUNDUP((AC$1)/10,0)*10,[1]Hugst!$R$4:$W$4,0))))</f>
        <v>0</v>
      </c>
      <c r="AD206">
        <f>IF($C206-AD$1&lt;År1,0,AC205*(1-VLOOKUP($A206,[1]Hugst!$R$5:$W$9,MATCH(ROUNDUP((AD$1)/10,0)*10,[1]Hugst!$R$4:$W$4,0))))</f>
        <v>0</v>
      </c>
      <c r="AE206">
        <f>IF($C206-AE$1&lt;År1,0,AD205*(1-VLOOKUP($A206,[1]Hugst!$R$5:$W$9,MATCH(ROUNDUP((AE$1)/10,0)*10,[1]Hugst!$R$4:$W$4,0))))</f>
        <v>0</v>
      </c>
      <c r="AF206">
        <f>IF($C206-AF$1&lt;År1,0,AE205*(1-VLOOKUP($A206,[1]Hugst!$R$5:$W$9,MATCH(ROUNDUP((AF$1)/10,0)*10,[1]Hugst!$R$4:$W$4,0))))</f>
        <v>0</v>
      </c>
      <c r="AG206">
        <f>IF($C206-AG$1&lt;År1,0,AF205*(1-VLOOKUP($A206,[1]Hugst!$R$5:$W$9,MATCH(ROUNDUP((AG$1)/10,0)*10,[1]Hugst!$R$4:$W$4,0))))</f>
        <v>0</v>
      </c>
      <c r="AH206">
        <f>IF($C206-AH$1&lt;År1,0,AG205*(1-VLOOKUP($A206,[1]Hugst!$R$5:$W$9,MATCH(ROUNDUP((AH$1)/10,0)*10,[1]Hugst!$R$4:$W$4,0))))</f>
        <v>0</v>
      </c>
      <c r="AI206">
        <f>IF($C206-AI$1&lt;År1,0,AH205*(1-VLOOKUP($A206,[1]Hugst!$R$5:$W$9,MATCH(ROUNDUP((AI$1)/10,0)*10,[1]Hugst!$R$4:$W$4,0))))</f>
        <v>0</v>
      </c>
      <c r="AJ206">
        <f>IF($C206-AJ$1&lt;År1,0,AI205*(1-VLOOKUP($A206,[1]Hugst!$R$5:$W$9,MATCH(ROUNDUP((AJ$1)/10,0)*10,[1]Hugst!$R$4:$W$4,0))))</f>
        <v>0</v>
      </c>
    </row>
    <row r="207" spans="1:36" x14ac:dyDescent="0.25">
      <c r="A207" t="s">
        <v>179</v>
      </c>
      <c r="B207" t="s">
        <v>23</v>
      </c>
      <c r="C207">
        <v>2039</v>
      </c>
      <c r="D207" cm="1">
        <f t="array" ref="D207">(IF(B207="Vestdanmark",Skovbrug!$C$22-(Skovbrug!$C$22)*(1-Skovbrug!$C$9)^(C207-Skovbrug!$B$12),Skovbrug!$F$22-(Skovbrug!$F$22)*(1-Skovbrug!$C$9)^(C207-Skovbrug!$B$12)))*VLOOKUP(A207,Skovbrug!$A$13:$D$17,IF('Skovbrug-alder'!C207&lt;=År2,3,4),FALSE)
-IF(C207&gt;2020,SUM(INDEX($C$1:$D$311,MATCH(1,(2020=$C$1:$C$311)*(B207=$B$1:$B$311)*(A207=$A$1:$A$311),0),2):D206),0)</f>
        <v>889.96867655851383</v>
      </c>
      <c r="E207">
        <f t="shared" ca="1" si="4"/>
        <v>117.29573510304908</v>
      </c>
      <c r="F207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3448.9310783282303</v>
      </c>
      <c r="G207">
        <f ca="1">IF($C207-G$1&lt;År1,0,F206*(1-VLOOKUP($A207,[1]Hugst!$R$5:$W$9,MATCH(ROUNDUP((G$1)/10,0)*10,[1]Hugst!$R$4:$W$4,0))))</f>
        <v>3441.8363491980886</v>
      </c>
      <c r="H207">
        <f ca="1">IF($C207-H$1&lt;År1,0,G206*(1-VLOOKUP($A207,[1]Hugst!$R$5:$W$9,MATCH(ROUNDUP((H$1)/10,0)*10,[1]Hugst!$R$4:$W$4,0))))</f>
        <v>3434.7283024027579</v>
      </c>
      <c r="I207">
        <f ca="1">IF($C207-I$1&lt;År1,0,H206*(1-VLOOKUP($A207,[1]Hugst!$R$5:$W$9,MATCH(ROUNDUP((I$1)/10,0)*10,[1]Hugst!$R$4:$W$4,0))))</f>
        <v>3427.6069201536952</v>
      </c>
      <c r="J207">
        <f ca="1">IF($C207-J$1&lt;År1,0,I206*(1-VLOOKUP($A207,[1]Hugst!$R$5:$W$9,MATCH(ROUNDUP((J$1)/10,0)*10,[1]Hugst!$R$4:$W$4,0))))</f>
        <v>3420.4721846808766</v>
      </c>
      <c r="K207">
        <f ca="1">IF($C207-K$1&lt;År1,0,J206*(1-VLOOKUP($A207,[1]Hugst!$R$5:$W$9,MATCH(ROUNDUP((K$1)/10,0)*10,[1]Hugst!$R$4:$W$4,0))))</f>
        <v>3413.3240782332773</v>
      </c>
      <c r="L207">
        <f ca="1">IF($C207-L$1&lt;År1,0,K206*(1-VLOOKUP($A207,[1]Hugst!$R$5:$W$9,MATCH(ROUNDUP((L$1)/10,0)*10,[1]Hugst!$R$4:$W$4,0))))</f>
        <v>3406.1625830793469</v>
      </c>
      <c r="M207">
        <f ca="1">IF($C207-M$1&lt;År1,0,L206*(1-VLOOKUP($A207,[1]Hugst!$R$5:$W$9,MATCH(ROUNDUP((M$1)/10,0)*10,[1]Hugst!$R$4:$W$4,0))))</f>
        <v>3398.9876815072089</v>
      </c>
      <c r="N207">
        <f ca="1">IF($C207-N$1&lt;År1,0,M206*(1-VLOOKUP($A207,[1]Hugst!$R$5:$W$9,MATCH(ROUNDUP((N$1)/10,0)*10,[1]Hugst!$R$4:$W$4,0))))</f>
        <v>3391.7993558249086</v>
      </c>
      <c r="O207">
        <f ca="1">IF($C207-O$1&lt;År1,0,N206*(1-VLOOKUP($A207,[1]Hugst!$R$5:$W$9,MATCH(ROUNDUP((O$1)/10,0)*10,[1]Hugst!$R$4:$W$4,0))))</f>
        <v>5382.3248610884366</v>
      </c>
      <c r="P207">
        <f ca="1">IF($C207-P$1&lt;År1,0,O206*(1-VLOOKUP($A207,[1]Hugst!$R$5:$W$9,MATCH(ROUNDUP((P$1)/10,0)*10,[1]Hugst!$R$4:$W$4,0))))</f>
        <v>5363.3106130440483</v>
      </c>
      <c r="Q207">
        <f ca="1">IF($C207-Q$1&lt;År1,0,P206*(1-VLOOKUP($A207,[1]Hugst!$R$5:$W$9,MATCH(ROUNDUP((Q$1)/10,0)*10,[1]Hugst!$R$4:$W$4,0))))</f>
        <v>5356.2189604448704</v>
      </c>
      <c r="R207">
        <f ca="1">IF($C207-R$1&lt;År1,0,Q206*(1-VLOOKUP($A207,[1]Hugst!$R$5:$W$9,MATCH(ROUNDUP((R$1)/10,0)*10,[1]Hugst!$R$4:$W$4,0))))</f>
        <v>5349.1560718201436</v>
      </c>
      <c r="S207">
        <f ca="1">IF($C207-S$1&lt;År1,0,R206*(1-VLOOKUP($A207,[1]Hugst!$R$5:$W$9,MATCH(ROUNDUP((S$1)/10,0)*10,[1]Hugst!$R$4:$W$4,0))))</f>
        <v>5342.1219212312908</v>
      </c>
      <c r="T207">
        <f ca="1">IF($C207-T$1&lt;År1,0,S206*(1-VLOOKUP($A207,[1]Hugst!$R$5:$W$9,MATCH(ROUNDUP((T$1)/10,0)*10,[1]Hugst!$R$4:$W$4,0))))</f>
        <v>5335.1164829014833</v>
      </c>
      <c r="U207">
        <f ca="1">IF($C207-U$1&lt;År1,0,T206*(1-VLOOKUP($A207,[1]Hugst!$R$5:$W$9,MATCH(ROUNDUP((U$1)/10,0)*10,[1]Hugst!$R$4:$W$4,0))))</f>
        <v>5328.1397312156469</v>
      </c>
      <c r="V207">
        <f ca="1">IF($C207-V$1&lt;År1,0,U206*(1-VLOOKUP($A207,[1]Hugst!$R$5:$W$9,MATCH(ROUNDUP((V$1)/10,0)*10,[1]Hugst!$R$4:$W$4,0))))</f>
        <v>5321.1916407203835</v>
      </c>
      <c r="W207">
        <f ca="1">IF($C207-W$1&lt;År1,0,V206*(1-VLOOKUP($A207,[1]Hugst!$R$5:$W$9,MATCH(ROUNDUP((W$1)/10,0)*10,[1]Hugst!$R$4:$W$4,0))))</f>
        <v>5314.2721861239488</v>
      </c>
      <c r="X207">
        <f ca="1">IF($C207-X$1&lt;År1,0,W206*(1-VLOOKUP($A207,[1]Hugst!$R$5:$W$9,MATCH(ROUNDUP((X$1)/10,0)*10,[1]Hugst!$R$4:$W$4,0))))</f>
        <v>5307.3813422961257</v>
      </c>
      <c r="Y207">
        <f ca="1">IF($C207-Y$1&lt;År1,0,X206*(1-VLOOKUP($A207,[1]Hugst!$R$5:$W$9,MATCH(ROUNDUP((Y$1)/10,0)*10,[1]Hugst!$R$4:$W$4,0))))</f>
        <v>5300.5190842683414</v>
      </c>
      <c r="Z207">
        <f>IF($C207-Z$1&lt;År1,0,Y206*(1-VLOOKUP($A207,[1]Hugst!$R$5:$W$9,MATCH(ROUNDUP((Z$1)/10,0)*10,[1]Hugst!$R$4:$W$4,0))))</f>
        <v>0</v>
      </c>
      <c r="AA207">
        <f>IF($C207-AA$1&lt;År1,0,Z206*(1-VLOOKUP($A207,[1]Hugst!$R$5:$W$9,MATCH(ROUNDUP((AA$1)/10,0)*10,[1]Hugst!$R$4:$W$4,0))))</f>
        <v>0</v>
      </c>
      <c r="AB207">
        <f>IF($C207-AB$1&lt;År1,0,AA206*(1-VLOOKUP($A207,[1]Hugst!$R$5:$W$9,MATCH(ROUNDUP((AB$1)/10,0)*10,[1]Hugst!$R$4:$W$4,0))))</f>
        <v>0</v>
      </c>
      <c r="AC207">
        <f>IF($C207-AC$1&lt;År1,0,AB206*(1-VLOOKUP($A207,[1]Hugst!$R$5:$W$9,MATCH(ROUNDUP((AC$1)/10,0)*10,[1]Hugst!$R$4:$W$4,0))))</f>
        <v>0</v>
      </c>
      <c r="AD207">
        <f>IF($C207-AD$1&lt;År1,0,AC206*(1-VLOOKUP($A207,[1]Hugst!$R$5:$W$9,MATCH(ROUNDUP((AD$1)/10,0)*10,[1]Hugst!$R$4:$W$4,0))))</f>
        <v>0</v>
      </c>
      <c r="AE207">
        <f>IF($C207-AE$1&lt;År1,0,AD206*(1-VLOOKUP($A207,[1]Hugst!$R$5:$W$9,MATCH(ROUNDUP((AE$1)/10,0)*10,[1]Hugst!$R$4:$W$4,0))))</f>
        <v>0</v>
      </c>
      <c r="AF207">
        <f>IF($C207-AF$1&lt;År1,0,AE206*(1-VLOOKUP($A207,[1]Hugst!$R$5:$W$9,MATCH(ROUNDUP((AF$1)/10,0)*10,[1]Hugst!$R$4:$W$4,0))))</f>
        <v>0</v>
      </c>
      <c r="AG207">
        <f>IF($C207-AG$1&lt;År1,0,AF206*(1-VLOOKUP($A207,[1]Hugst!$R$5:$W$9,MATCH(ROUNDUP((AG$1)/10,0)*10,[1]Hugst!$R$4:$W$4,0))))</f>
        <v>0</v>
      </c>
      <c r="AH207">
        <f>IF($C207-AH$1&lt;År1,0,AG206*(1-VLOOKUP($A207,[1]Hugst!$R$5:$W$9,MATCH(ROUNDUP((AH$1)/10,0)*10,[1]Hugst!$R$4:$W$4,0))))</f>
        <v>0</v>
      </c>
      <c r="AI207">
        <f>IF($C207-AI$1&lt;År1,0,AH206*(1-VLOOKUP($A207,[1]Hugst!$R$5:$W$9,MATCH(ROUNDUP((AI$1)/10,0)*10,[1]Hugst!$R$4:$W$4,0))))</f>
        <v>0</v>
      </c>
      <c r="AJ207">
        <f>IF($C207-AJ$1&lt;År1,0,AI206*(1-VLOOKUP($A207,[1]Hugst!$R$5:$W$9,MATCH(ROUNDUP((AJ$1)/10,0)*10,[1]Hugst!$R$4:$W$4,0))))</f>
        <v>0</v>
      </c>
    </row>
    <row r="208" spans="1:36" x14ac:dyDescent="0.25">
      <c r="A208" t="s">
        <v>179</v>
      </c>
      <c r="B208" t="s">
        <v>23</v>
      </c>
      <c r="C208">
        <v>2040</v>
      </c>
      <c r="D208" cm="1">
        <f t="array" ref="D208">(IF(B208="Vestdanmark",Skovbrug!$C$22-(Skovbrug!$C$22)*(1-Skovbrug!$C$9)^(C208-Skovbrug!$B$12),Skovbrug!$F$22-(Skovbrug!$F$22)*(1-Skovbrug!$C$9)^(C208-Skovbrug!$B$12)))*VLOOKUP(A208,Skovbrug!$A$13:$D$17,IF('Skovbrug-alder'!C208&lt;=År2,3,4),FALSE)
-IF(C208&gt;2020,SUM(INDEX($C$1:$D$311,MATCH(1,(2020=$C$1:$C$311)*(B208=$B$1:$B$311)*(A208=$A$1:$A$311),0),2):D207),0)</f>
        <v>885.51883317574539</v>
      </c>
      <c r="E208">
        <f t="shared" ca="1" si="4"/>
        <v>123.68187798032886</v>
      </c>
      <c r="F20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3450.8673778227417</v>
      </c>
      <c r="G208">
        <f ca="1">IF($C208-G$1&lt;År1,0,F207*(1-VLOOKUP($A208,[1]Hugst!$R$5:$W$9,MATCH(ROUNDUP((G$1)/10,0)*10,[1]Hugst!$R$4:$W$4,0))))</f>
        <v>3448.9310783282303</v>
      </c>
      <c r="H208">
        <f ca="1">IF($C208-H$1&lt;År1,0,G207*(1-VLOOKUP($A208,[1]Hugst!$R$5:$W$9,MATCH(ROUNDUP((H$1)/10,0)*10,[1]Hugst!$R$4:$W$4,0))))</f>
        <v>3441.8363491980886</v>
      </c>
      <c r="I208">
        <f ca="1">IF($C208-I$1&lt;År1,0,H207*(1-VLOOKUP($A208,[1]Hugst!$R$5:$W$9,MATCH(ROUNDUP((I$1)/10,0)*10,[1]Hugst!$R$4:$W$4,0))))</f>
        <v>3434.7283024027579</v>
      </c>
      <c r="J208">
        <f ca="1">IF($C208-J$1&lt;År1,0,I207*(1-VLOOKUP($A208,[1]Hugst!$R$5:$W$9,MATCH(ROUNDUP((J$1)/10,0)*10,[1]Hugst!$R$4:$W$4,0))))</f>
        <v>3427.6069201536952</v>
      </c>
      <c r="K208">
        <f ca="1">IF($C208-K$1&lt;År1,0,J207*(1-VLOOKUP($A208,[1]Hugst!$R$5:$W$9,MATCH(ROUNDUP((K$1)/10,0)*10,[1]Hugst!$R$4:$W$4,0))))</f>
        <v>3420.4721846808766</v>
      </c>
      <c r="L208">
        <f ca="1">IF($C208-L$1&lt;År1,0,K207*(1-VLOOKUP($A208,[1]Hugst!$R$5:$W$9,MATCH(ROUNDUP((L$1)/10,0)*10,[1]Hugst!$R$4:$W$4,0))))</f>
        <v>3413.3240782332773</v>
      </c>
      <c r="M208">
        <f ca="1">IF($C208-M$1&lt;År1,0,L207*(1-VLOOKUP($A208,[1]Hugst!$R$5:$W$9,MATCH(ROUNDUP((M$1)/10,0)*10,[1]Hugst!$R$4:$W$4,0))))</f>
        <v>3406.1625830793469</v>
      </c>
      <c r="N208">
        <f ca="1">IF($C208-N$1&lt;År1,0,M207*(1-VLOOKUP($A208,[1]Hugst!$R$5:$W$9,MATCH(ROUNDUP((N$1)/10,0)*10,[1]Hugst!$R$4:$W$4,0))))</f>
        <v>3398.9876815072089</v>
      </c>
      <c r="O208">
        <f ca="1">IF($C208-O$1&lt;År1,0,N207*(1-VLOOKUP($A208,[1]Hugst!$R$5:$W$9,MATCH(ROUNDUP((O$1)/10,0)*10,[1]Hugst!$R$4:$W$4,0))))</f>
        <v>3391.7993558249086</v>
      </c>
      <c r="P208">
        <f ca="1">IF($C208-P$1&lt;År1,0,O207*(1-VLOOKUP($A208,[1]Hugst!$R$5:$W$9,MATCH(ROUNDUP((P$1)/10,0)*10,[1]Hugst!$R$4:$W$4,0))))</f>
        <v>5370.5100016372671</v>
      </c>
      <c r="Q208">
        <f ca="1">IF($C208-Q$1&lt;År1,0,P207*(1-VLOOKUP($A208,[1]Hugst!$R$5:$W$9,MATCH(ROUNDUP((Q$1)/10,0)*10,[1]Hugst!$R$4:$W$4,0))))</f>
        <v>5351.5374921861467</v>
      </c>
      <c r="R208">
        <f ca="1">IF($C208-R$1&lt;År1,0,Q207*(1-VLOOKUP($A208,[1]Hugst!$R$5:$W$9,MATCH(ROUNDUP((R$1)/10,0)*10,[1]Hugst!$R$4:$W$4,0))))</f>
        <v>5344.4614066292597</v>
      </c>
      <c r="S208">
        <f ca="1">IF($C208-S$1&lt;År1,0,R207*(1-VLOOKUP($A208,[1]Hugst!$R$5:$W$9,MATCH(ROUNDUP((S$1)/10,0)*10,[1]Hugst!$R$4:$W$4,0))))</f>
        <v>5337.414021906392</v>
      </c>
      <c r="T208">
        <f ca="1">IF($C208-T$1&lt;År1,0,S207*(1-VLOOKUP($A208,[1]Hugst!$R$5:$W$9,MATCH(ROUNDUP((T$1)/10,0)*10,[1]Hugst!$R$4:$W$4,0))))</f>
        <v>5330.3953121359054</v>
      </c>
      <c r="U208">
        <f ca="1">IF($C208-U$1&lt;År1,0,T207*(1-VLOOKUP($A208,[1]Hugst!$R$5:$W$9,MATCH(ROUNDUP((U$1)/10,0)*10,[1]Hugst!$R$4:$W$4,0))))</f>
        <v>5323.4052515975536</v>
      </c>
      <c r="V208">
        <f ca="1">IF($C208-V$1&lt;År1,0,U207*(1-VLOOKUP($A208,[1]Hugst!$R$5:$W$9,MATCH(ROUNDUP((V$1)/10,0)*10,[1]Hugst!$R$4:$W$4,0))))</f>
        <v>5316.4438147324909</v>
      </c>
      <c r="W208">
        <f ca="1">IF($C208-W$1&lt;År1,0,V207*(1-VLOOKUP($A208,[1]Hugst!$R$5:$W$9,MATCH(ROUNDUP((W$1)/10,0)*10,[1]Hugst!$R$4:$W$4,0))))</f>
        <v>5309.5109761431922</v>
      </c>
      <c r="X208">
        <f ca="1">IF($C208-X$1&lt;År1,0,W207*(1-VLOOKUP($A208,[1]Hugst!$R$5:$W$9,MATCH(ROUNDUP((X$1)/10,0)*10,[1]Hugst!$R$4:$W$4,0))))</f>
        <v>5302.6067105934326</v>
      </c>
      <c r="Y208">
        <f ca="1">IF($C208-Y$1&lt;År1,0,X207*(1-VLOOKUP($A208,[1]Hugst!$R$5:$W$9,MATCH(ROUNDUP((Y$1)/10,0)*10,[1]Hugst!$R$4:$W$4,0))))</f>
        <v>5295.7309930081583</v>
      </c>
      <c r="Z208">
        <f ca="1">IF($C208-Z$1&lt;År1,0,Y207*(1-VLOOKUP($A208,[1]Hugst!$R$5:$W$9,MATCH(ROUNDUP((Z$1)/10,0)*10,[1]Hugst!$R$4:$W$4,0))))</f>
        <v>5294.0550366046</v>
      </c>
      <c r="AA208">
        <f>IF($C208-AA$1&lt;År1,0,Z207*(1-VLOOKUP($A208,[1]Hugst!$R$5:$W$9,MATCH(ROUNDUP((AA$1)/10,0)*10,[1]Hugst!$R$4:$W$4,0))))</f>
        <v>0</v>
      </c>
      <c r="AB208">
        <f>IF($C208-AB$1&lt;År1,0,AA207*(1-VLOOKUP($A208,[1]Hugst!$R$5:$W$9,MATCH(ROUNDUP((AB$1)/10,0)*10,[1]Hugst!$R$4:$W$4,0))))</f>
        <v>0</v>
      </c>
      <c r="AC208">
        <f>IF($C208-AC$1&lt;År1,0,AB207*(1-VLOOKUP($A208,[1]Hugst!$R$5:$W$9,MATCH(ROUNDUP((AC$1)/10,0)*10,[1]Hugst!$R$4:$W$4,0))))</f>
        <v>0</v>
      </c>
      <c r="AD208">
        <f>IF($C208-AD$1&lt;År1,0,AC207*(1-VLOOKUP($A208,[1]Hugst!$R$5:$W$9,MATCH(ROUNDUP((AD$1)/10,0)*10,[1]Hugst!$R$4:$W$4,0))))</f>
        <v>0</v>
      </c>
      <c r="AE208">
        <f>IF($C208-AE$1&lt;År1,0,AD207*(1-VLOOKUP($A208,[1]Hugst!$R$5:$W$9,MATCH(ROUNDUP((AE$1)/10,0)*10,[1]Hugst!$R$4:$W$4,0))))</f>
        <v>0</v>
      </c>
      <c r="AF208">
        <f>IF($C208-AF$1&lt;År1,0,AE207*(1-VLOOKUP($A208,[1]Hugst!$R$5:$W$9,MATCH(ROUNDUP((AF$1)/10,0)*10,[1]Hugst!$R$4:$W$4,0))))</f>
        <v>0</v>
      </c>
      <c r="AG208">
        <f>IF($C208-AG$1&lt;År1,0,AF207*(1-VLOOKUP($A208,[1]Hugst!$R$5:$W$9,MATCH(ROUNDUP((AG$1)/10,0)*10,[1]Hugst!$R$4:$W$4,0))))</f>
        <v>0</v>
      </c>
      <c r="AH208">
        <f>IF($C208-AH$1&lt;År1,0,AG207*(1-VLOOKUP($A208,[1]Hugst!$R$5:$W$9,MATCH(ROUNDUP((AH$1)/10,0)*10,[1]Hugst!$R$4:$W$4,0))))</f>
        <v>0</v>
      </c>
      <c r="AI208">
        <f>IF($C208-AI$1&lt;År1,0,AH207*(1-VLOOKUP($A208,[1]Hugst!$R$5:$W$9,MATCH(ROUNDUP((AI$1)/10,0)*10,[1]Hugst!$R$4:$W$4,0))))</f>
        <v>0</v>
      </c>
      <c r="AJ208">
        <f>IF($C208-AJ$1&lt;År1,0,AI207*(1-VLOOKUP($A208,[1]Hugst!$R$5:$W$9,MATCH(ROUNDUP((AJ$1)/10,0)*10,[1]Hugst!$R$4:$W$4,0))))</f>
        <v>0</v>
      </c>
    </row>
    <row r="209" spans="1:36" x14ac:dyDescent="0.25">
      <c r="A209" t="s">
        <v>179</v>
      </c>
      <c r="B209" t="s">
        <v>23</v>
      </c>
      <c r="C209">
        <v>2041</v>
      </c>
      <c r="D209" cm="1">
        <f t="array" ref="D209">(IF(B209="Vestdanmark",Skovbrug!$C$22-(Skovbrug!$C$22)*(1-Skovbrug!$C$9)^(C209-Skovbrug!$B$12),Skovbrug!$F$22-(Skovbrug!$F$22)*(1-Skovbrug!$C$9)^(C209-Skovbrug!$B$12)))*VLOOKUP(A209,Skovbrug!$A$13:$D$17,IF('Skovbrug-alder'!C209&lt;=År2,3,4),FALSE)
-IF(C209&gt;2020,SUM(INDEX($C$1:$D$311,MATCH(1,(2020=$C$1:$C$311)*(B209=$B$1:$B$311)*(A209=$A$1:$A$311),0),2):D208),0)</f>
        <v>881.09123900988197</v>
      </c>
      <c r="E209">
        <f t="shared" ca="1" si="4"/>
        <v>125.69553396063566</v>
      </c>
      <c r="F209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3448.4534396371851</v>
      </c>
      <c r="G209">
        <f ca="1">IF($C209-G$1&lt;År1,0,F208*(1-VLOOKUP($A209,[1]Hugst!$R$5:$W$9,MATCH(ROUNDUP((G$1)/10,0)*10,[1]Hugst!$R$4:$W$4,0))))</f>
        <v>3450.8673778227417</v>
      </c>
      <c r="H209">
        <f ca="1">IF($C209-H$1&lt;År1,0,G208*(1-VLOOKUP($A209,[1]Hugst!$R$5:$W$9,MATCH(ROUNDUP((H$1)/10,0)*10,[1]Hugst!$R$4:$W$4,0))))</f>
        <v>3448.9310783282303</v>
      </c>
      <c r="I209">
        <f ca="1">IF($C209-I$1&lt;År1,0,H208*(1-VLOOKUP($A209,[1]Hugst!$R$5:$W$9,MATCH(ROUNDUP((I$1)/10,0)*10,[1]Hugst!$R$4:$W$4,0))))</f>
        <v>3441.8363491980886</v>
      </c>
      <c r="J209">
        <f ca="1">IF($C209-J$1&lt;År1,0,I208*(1-VLOOKUP($A209,[1]Hugst!$R$5:$W$9,MATCH(ROUNDUP((J$1)/10,0)*10,[1]Hugst!$R$4:$W$4,0))))</f>
        <v>3434.7283024027579</v>
      </c>
      <c r="K209">
        <f ca="1">IF($C209-K$1&lt;År1,0,J208*(1-VLOOKUP($A209,[1]Hugst!$R$5:$W$9,MATCH(ROUNDUP((K$1)/10,0)*10,[1]Hugst!$R$4:$W$4,0))))</f>
        <v>3427.6069201536952</v>
      </c>
      <c r="L209">
        <f ca="1">IF($C209-L$1&lt;År1,0,K208*(1-VLOOKUP($A209,[1]Hugst!$R$5:$W$9,MATCH(ROUNDUP((L$1)/10,0)*10,[1]Hugst!$R$4:$W$4,0))))</f>
        <v>3420.4721846808766</v>
      </c>
      <c r="M209">
        <f ca="1">IF($C209-M$1&lt;År1,0,L208*(1-VLOOKUP($A209,[1]Hugst!$R$5:$W$9,MATCH(ROUNDUP((M$1)/10,0)*10,[1]Hugst!$R$4:$W$4,0))))</f>
        <v>3413.3240782332773</v>
      </c>
      <c r="N209">
        <f ca="1">IF($C209-N$1&lt;År1,0,M208*(1-VLOOKUP($A209,[1]Hugst!$R$5:$W$9,MATCH(ROUNDUP((N$1)/10,0)*10,[1]Hugst!$R$4:$W$4,0))))</f>
        <v>3406.1625830793469</v>
      </c>
      <c r="O209">
        <f ca="1">IF($C209-O$1&lt;År1,0,N208*(1-VLOOKUP($A209,[1]Hugst!$R$5:$W$9,MATCH(ROUNDUP((O$1)/10,0)*10,[1]Hugst!$R$4:$W$4,0))))</f>
        <v>3398.9876815072089</v>
      </c>
      <c r="P209">
        <f ca="1">IF($C209-P$1&lt;År1,0,O208*(1-VLOOKUP($A209,[1]Hugst!$R$5:$W$9,MATCH(ROUNDUP((P$1)/10,0)*10,[1]Hugst!$R$4:$W$4,0))))</f>
        <v>3384.3539426048051</v>
      </c>
      <c r="Q209">
        <f ca="1">IF($C209-Q$1&lt;År1,0,P208*(1-VLOOKUP($A209,[1]Hugst!$R$5:$W$9,MATCH(ROUNDUP((Q$1)/10,0)*10,[1]Hugst!$R$4:$W$4,0))))</f>
        <v>5358.7210772434291</v>
      </c>
      <c r="R209">
        <f ca="1">IF($C209-R$1&lt;År1,0,Q208*(1-VLOOKUP($A209,[1]Hugst!$R$5:$W$9,MATCH(ROUNDUP((R$1)/10,0)*10,[1]Hugst!$R$4:$W$4,0))))</f>
        <v>5339.7902147642744</v>
      </c>
      <c r="S209">
        <f ca="1">IF($C209-S$1&lt;År1,0,R208*(1-VLOOKUP($A209,[1]Hugst!$R$5:$W$9,MATCH(ROUNDUP((S$1)/10,0)*10,[1]Hugst!$R$4:$W$4,0))))</f>
        <v>5332.7296620781226</v>
      </c>
      <c r="T209">
        <f ca="1">IF($C209-T$1&lt;År1,0,S208*(1-VLOOKUP($A209,[1]Hugst!$R$5:$W$9,MATCH(ROUNDUP((T$1)/10,0)*10,[1]Hugst!$R$4:$W$4,0))))</f>
        <v>5325.6977472241588</v>
      </c>
      <c r="U209">
        <f ca="1">IF($C209-U$1&lt;År1,0,T208*(1-VLOOKUP($A209,[1]Hugst!$R$5:$W$9,MATCH(ROUNDUP((U$1)/10,0)*10,[1]Hugst!$R$4:$W$4,0))))</f>
        <v>5318.6944443775583</v>
      </c>
      <c r="V209">
        <f ca="1">IF($C209-V$1&lt;År1,0,U208*(1-VLOOKUP($A209,[1]Hugst!$R$5:$W$9,MATCH(ROUNDUP((V$1)/10,0)*10,[1]Hugst!$R$4:$W$4,0))))</f>
        <v>5311.7197278745343</v>
      </c>
      <c r="W209">
        <f ca="1">IF($C209-W$1&lt;År1,0,V208*(1-VLOOKUP($A209,[1]Hugst!$R$5:$W$9,MATCH(ROUNDUP((W$1)/10,0)*10,[1]Hugst!$R$4:$W$4,0))))</f>
        <v>5304.7735722123462</v>
      </c>
      <c r="X209">
        <f ca="1">IF($C209-X$1&lt;År1,0,W208*(1-VLOOKUP($A209,[1]Hugst!$R$5:$W$9,MATCH(ROUNDUP((X$1)/10,0)*10,[1]Hugst!$R$4:$W$4,0))))</f>
        <v>5297.855952049219</v>
      </c>
      <c r="Y209">
        <f ca="1">IF($C209-Y$1&lt;År1,0,X208*(1-VLOOKUP($A209,[1]Hugst!$R$5:$W$9,MATCH(ROUNDUP((Y$1)/10,0)*10,[1]Hugst!$R$4:$W$4,0))))</f>
        <v>5290.9668422043251</v>
      </c>
      <c r="Z209">
        <f ca="1">IF($C209-Z$1&lt;År1,0,Y208*(1-VLOOKUP($A209,[1]Hugst!$R$5:$W$9,MATCH(ROUNDUP((Z$1)/10,0)*10,[1]Hugst!$R$4:$W$4,0))))</f>
        <v>5289.2727844800993</v>
      </c>
      <c r="AA209">
        <f ca="1">IF($C209-AA$1&lt;År1,0,Z208*(1-VLOOKUP($A209,[1]Hugst!$R$5:$W$9,MATCH(ROUNDUP((AA$1)/10,0)*10,[1]Hugst!$R$4:$W$4,0))))</f>
        <v>5287.5988719258139</v>
      </c>
      <c r="AB209">
        <f>IF($C209-AB$1&lt;År1,0,AA208*(1-VLOOKUP($A209,[1]Hugst!$R$5:$W$9,MATCH(ROUNDUP((AB$1)/10,0)*10,[1]Hugst!$R$4:$W$4,0))))</f>
        <v>0</v>
      </c>
      <c r="AC209">
        <f>IF($C209-AC$1&lt;År1,0,AB208*(1-VLOOKUP($A209,[1]Hugst!$R$5:$W$9,MATCH(ROUNDUP((AC$1)/10,0)*10,[1]Hugst!$R$4:$W$4,0))))</f>
        <v>0</v>
      </c>
      <c r="AD209">
        <f>IF($C209-AD$1&lt;År1,0,AC208*(1-VLOOKUP($A209,[1]Hugst!$R$5:$W$9,MATCH(ROUNDUP((AD$1)/10,0)*10,[1]Hugst!$R$4:$W$4,0))))</f>
        <v>0</v>
      </c>
      <c r="AE209">
        <f>IF($C209-AE$1&lt;År1,0,AD208*(1-VLOOKUP($A209,[1]Hugst!$R$5:$W$9,MATCH(ROUNDUP((AE$1)/10,0)*10,[1]Hugst!$R$4:$W$4,0))))</f>
        <v>0</v>
      </c>
      <c r="AF209">
        <f>IF($C209-AF$1&lt;År1,0,AE208*(1-VLOOKUP($A209,[1]Hugst!$R$5:$W$9,MATCH(ROUNDUP((AF$1)/10,0)*10,[1]Hugst!$R$4:$W$4,0))))</f>
        <v>0</v>
      </c>
      <c r="AG209">
        <f>IF($C209-AG$1&lt;År1,0,AF208*(1-VLOOKUP($A209,[1]Hugst!$R$5:$W$9,MATCH(ROUNDUP((AG$1)/10,0)*10,[1]Hugst!$R$4:$W$4,0))))</f>
        <v>0</v>
      </c>
      <c r="AH209">
        <f>IF($C209-AH$1&lt;År1,0,AG208*(1-VLOOKUP($A209,[1]Hugst!$R$5:$W$9,MATCH(ROUNDUP((AH$1)/10,0)*10,[1]Hugst!$R$4:$W$4,0))))</f>
        <v>0</v>
      </c>
      <c r="AI209">
        <f>IF($C209-AI$1&lt;År1,0,AH208*(1-VLOOKUP($A209,[1]Hugst!$R$5:$W$9,MATCH(ROUNDUP((AI$1)/10,0)*10,[1]Hugst!$R$4:$W$4,0))))</f>
        <v>0</v>
      </c>
      <c r="AJ209">
        <f>IF($C209-AJ$1&lt;År1,0,AI208*(1-VLOOKUP($A209,[1]Hugst!$R$5:$W$9,MATCH(ROUNDUP((AJ$1)/10,0)*10,[1]Hugst!$R$4:$W$4,0))))</f>
        <v>0</v>
      </c>
    </row>
    <row r="210" spans="1:36" x14ac:dyDescent="0.25">
      <c r="A210" t="s">
        <v>179</v>
      </c>
      <c r="B210" t="s">
        <v>23</v>
      </c>
      <c r="C210">
        <v>2042</v>
      </c>
      <c r="D210" cm="1">
        <f t="array" ref="D210">(IF(B210="Vestdanmark",Skovbrug!$C$22-(Skovbrug!$C$22)*(1-Skovbrug!$C$9)^(C210-Skovbrug!$B$12),Skovbrug!$F$22-(Skovbrug!$F$22)*(1-Skovbrug!$C$9)^(C210-Skovbrug!$B$12)))*VLOOKUP(A210,Skovbrug!$A$13:$D$17,IF('Skovbrug-alder'!C210&lt;=År2,3,4),FALSE)
-IF(C210&gt;2020,SUM(INDEX($C$1:$D$311,MATCH(1,(2020=$C$1:$C$311)*(B210=$B$1:$B$311)*(A210=$A$1:$A$311),0),2):D209),0)</f>
        <v>876.68578281481678</v>
      </c>
      <c r="E210">
        <f t="shared" ca="1" si="4"/>
        <v>127.73148992448114</v>
      </c>
      <c r="F210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3446.0839394059653</v>
      </c>
      <c r="G210">
        <f ca="1">IF($C210-G$1&lt;År1,0,F209*(1-VLOOKUP($A210,[1]Hugst!$R$5:$W$9,MATCH(ROUNDUP((G$1)/10,0)*10,[1]Hugst!$R$4:$W$4,0))))</f>
        <v>3448.4534396371851</v>
      </c>
      <c r="H210">
        <f ca="1">IF($C210-H$1&lt;År1,0,G209*(1-VLOOKUP($A210,[1]Hugst!$R$5:$W$9,MATCH(ROUNDUP((H$1)/10,0)*10,[1]Hugst!$R$4:$W$4,0))))</f>
        <v>3450.8673778227417</v>
      </c>
      <c r="I210">
        <f ca="1">IF($C210-I$1&lt;År1,0,H209*(1-VLOOKUP($A210,[1]Hugst!$R$5:$W$9,MATCH(ROUNDUP((I$1)/10,0)*10,[1]Hugst!$R$4:$W$4,0))))</f>
        <v>3448.9310783282303</v>
      </c>
      <c r="J210">
        <f ca="1">IF($C210-J$1&lt;År1,0,I209*(1-VLOOKUP($A210,[1]Hugst!$R$5:$W$9,MATCH(ROUNDUP((J$1)/10,0)*10,[1]Hugst!$R$4:$W$4,0))))</f>
        <v>3441.8363491980886</v>
      </c>
      <c r="K210">
        <f ca="1">IF($C210-K$1&lt;År1,0,J209*(1-VLOOKUP($A210,[1]Hugst!$R$5:$W$9,MATCH(ROUNDUP((K$1)/10,0)*10,[1]Hugst!$R$4:$W$4,0))))</f>
        <v>3434.7283024027579</v>
      </c>
      <c r="L210">
        <f ca="1">IF($C210-L$1&lt;År1,0,K209*(1-VLOOKUP($A210,[1]Hugst!$R$5:$W$9,MATCH(ROUNDUP((L$1)/10,0)*10,[1]Hugst!$R$4:$W$4,0))))</f>
        <v>3427.6069201536952</v>
      </c>
      <c r="M210">
        <f ca="1">IF($C210-M$1&lt;År1,0,L209*(1-VLOOKUP($A210,[1]Hugst!$R$5:$W$9,MATCH(ROUNDUP((M$1)/10,0)*10,[1]Hugst!$R$4:$W$4,0))))</f>
        <v>3420.4721846808766</v>
      </c>
      <c r="N210">
        <f ca="1">IF($C210-N$1&lt;År1,0,M209*(1-VLOOKUP($A210,[1]Hugst!$R$5:$W$9,MATCH(ROUNDUP((N$1)/10,0)*10,[1]Hugst!$R$4:$W$4,0))))</f>
        <v>3413.3240782332773</v>
      </c>
      <c r="O210">
        <f ca="1">IF($C210-O$1&lt;År1,0,N209*(1-VLOOKUP($A210,[1]Hugst!$R$5:$W$9,MATCH(ROUNDUP((O$1)/10,0)*10,[1]Hugst!$R$4:$W$4,0))))</f>
        <v>3406.1625830793469</v>
      </c>
      <c r="P210">
        <f ca="1">IF($C210-P$1&lt;År1,0,O209*(1-VLOOKUP($A210,[1]Hugst!$R$5:$W$9,MATCH(ROUNDUP((P$1)/10,0)*10,[1]Hugst!$R$4:$W$4,0))))</f>
        <v>3391.5264890356075</v>
      </c>
      <c r="Q210">
        <f ca="1">IF($C210-Q$1&lt;År1,0,P209*(1-VLOOKUP($A210,[1]Hugst!$R$5:$W$9,MATCH(ROUNDUP((Q$1)/10,0)*10,[1]Hugst!$R$4:$W$4,0))))</f>
        <v>3376.9248729746969</v>
      </c>
      <c r="R210">
        <f ca="1">IF($C210-R$1&lt;År1,0,Q209*(1-VLOOKUP($A210,[1]Hugst!$R$5:$W$9,MATCH(ROUNDUP((R$1)/10,0)*10,[1]Hugst!$R$4:$W$4,0))))</f>
        <v>5346.9580309763096</v>
      </c>
      <c r="S210">
        <f ca="1">IF($C210-S$1&lt;År1,0,R209*(1-VLOOKUP($A210,[1]Hugst!$R$5:$W$9,MATCH(ROUNDUP((S$1)/10,0)*10,[1]Hugst!$R$4:$W$4,0))))</f>
        <v>5328.0687240489378</v>
      </c>
      <c r="T210">
        <f ca="1">IF($C210-T$1&lt;År1,0,S209*(1-VLOOKUP($A210,[1]Hugst!$R$5:$W$9,MATCH(ROUNDUP((T$1)/10,0)*10,[1]Hugst!$R$4:$W$4,0))))</f>
        <v>5321.0236701369759</v>
      </c>
      <c r="U210">
        <f ca="1">IF($C210-U$1&lt;År1,0,T209*(1-VLOOKUP($A210,[1]Hugst!$R$5:$W$9,MATCH(ROUNDUP((U$1)/10,0)*10,[1]Hugst!$R$4:$W$4,0))))</f>
        <v>5314.0071911936666</v>
      </c>
      <c r="V210">
        <f ca="1">IF($C210-V$1&lt;År1,0,U209*(1-VLOOKUP($A210,[1]Hugst!$R$5:$W$9,MATCH(ROUNDUP((V$1)/10,0)*10,[1]Hugst!$R$4:$W$4,0))))</f>
        <v>5307.019261450876</v>
      </c>
      <c r="W210">
        <f ca="1">IF($C210-W$1&lt;År1,0,V209*(1-VLOOKUP($A210,[1]Hugst!$R$5:$W$9,MATCH(ROUNDUP((W$1)/10,0)*10,[1]Hugst!$R$4:$W$4,0))))</f>
        <v>5300.0598553011514</v>
      </c>
      <c r="X210">
        <f ca="1">IF($C210-X$1&lt;År1,0,W209*(1-VLOOKUP($A210,[1]Hugst!$R$5:$W$9,MATCH(ROUNDUP((X$1)/10,0)*10,[1]Hugst!$R$4:$W$4,0))))</f>
        <v>5293.1289472977332</v>
      </c>
      <c r="Y210">
        <f ca="1">IF($C210-Y$1&lt;År1,0,X209*(1-VLOOKUP($A210,[1]Hugst!$R$5:$W$9,MATCH(ROUNDUP((Y$1)/10,0)*10,[1]Hugst!$R$4:$W$4,0))))</f>
        <v>5286.2265121544769</v>
      </c>
      <c r="Z210">
        <f ca="1">IF($C210-Z$1&lt;År1,0,Y209*(1-VLOOKUP($A210,[1]Hugst!$R$5:$W$9,MATCH(ROUNDUP((Z$1)/10,0)*10,[1]Hugst!$R$4:$W$4,0))))</f>
        <v>5284.5144436162709</v>
      </c>
      <c r="AA210">
        <f ca="1">IF($C210-AA$1&lt;År1,0,Z209*(1-VLOOKUP($A210,[1]Hugst!$R$5:$W$9,MATCH(ROUNDUP((AA$1)/10,0)*10,[1]Hugst!$R$4:$W$4,0))))</f>
        <v>5282.8224518160996</v>
      </c>
      <c r="AB210">
        <f ca="1">IF($C210-AB$1&lt;År1,0,AA209*(1-VLOOKUP($A210,[1]Hugst!$R$5:$W$9,MATCH(ROUNDUP((AB$1)/10,0)*10,[1]Hugst!$R$4:$W$4,0))))</f>
        <v>5281.1505806185869</v>
      </c>
      <c r="AC210">
        <f>IF($C210-AC$1&lt;År1,0,AB209*(1-VLOOKUP($A210,[1]Hugst!$R$5:$W$9,MATCH(ROUNDUP((AC$1)/10,0)*10,[1]Hugst!$R$4:$W$4,0))))</f>
        <v>0</v>
      </c>
      <c r="AD210">
        <f>IF($C210-AD$1&lt;År1,0,AC209*(1-VLOOKUP($A210,[1]Hugst!$R$5:$W$9,MATCH(ROUNDUP((AD$1)/10,0)*10,[1]Hugst!$R$4:$W$4,0))))</f>
        <v>0</v>
      </c>
      <c r="AE210">
        <f>IF($C210-AE$1&lt;År1,0,AD209*(1-VLOOKUP($A210,[1]Hugst!$R$5:$W$9,MATCH(ROUNDUP((AE$1)/10,0)*10,[1]Hugst!$R$4:$W$4,0))))</f>
        <v>0</v>
      </c>
      <c r="AF210">
        <f>IF($C210-AF$1&lt;År1,0,AE209*(1-VLOOKUP($A210,[1]Hugst!$R$5:$W$9,MATCH(ROUNDUP((AF$1)/10,0)*10,[1]Hugst!$R$4:$W$4,0))))</f>
        <v>0</v>
      </c>
      <c r="AG210">
        <f>IF($C210-AG$1&lt;År1,0,AF209*(1-VLOOKUP($A210,[1]Hugst!$R$5:$W$9,MATCH(ROUNDUP((AG$1)/10,0)*10,[1]Hugst!$R$4:$W$4,0))))</f>
        <v>0</v>
      </c>
      <c r="AH210">
        <f>IF($C210-AH$1&lt;År1,0,AG209*(1-VLOOKUP($A210,[1]Hugst!$R$5:$W$9,MATCH(ROUNDUP((AH$1)/10,0)*10,[1]Hugst!$R$4:$W$4,0))))</f>
        <v>0</v>
      </c>
      <c r="AI210">
        <f>IF($C210-AI$1&lt;År1,0,AH209*(1-VLOOKUP($A210,[1]Hugst!$R$5:$W$9,MATCH(ROUNDUP((AI$1)/10,0)*10,[1]Hugst!$R$4:$W$4,0))))</f>
        <v>0</v>
      </c>
      <c r="AJ210">
        <f>IF($C210-AJ$1&lt;År1,0,AI209*(1-VLOOKUP($A210,[1]Hugst!$R$5:$W$9,MATCH(ROUNDUP((AJ$1)/10,0)*10,[1]Hugst!$R$4:$W$4,0))))</f>
        <v>0</v>
      </c>
    </row>
    <row r="211" spans="1:36" x14ac:dyDescent="0.25">
      <c r="A211" t="s">
        <v>179</v>
      </c>
      <c r="B211" t="s">
        <v>23</v>
      </c>
      <c r="C211">
        <v>2043</v>
      </c>
      <c r="D211" cm="1">
        <f t="array" ref="D211">(IF(B211="Vestdanmark",Skovbrug!$C$22-(Skovbrug!$C$22)*(1-Skovbrug!$C$9)^(C211-Skovbrug!$B$12),Skovbrug!$F$22-(Skovbrug!$F$22)*(1-Skovbrug!$C$9)^(C211-Skovbrug!$B$12)))*VLOOKUP(A211,Skovbrug!$A$13:$D$17,IF('Skovbrug-alder'!C211&lt;=År2,3,4),FALSE)
-IF(C211&gt;2020,SUM(INDEX($C$1:$D$311,MATCH(1,(2020=$C$1:$C$311)*(B211=$B$1:$B$311)*(A211=$A$1:$A$311),0),2):D210),0)</f>
        <v>872.30235390073358</v>
      </c>
      <c r="E211">
        <f t="shared" ca="1" si="4"/>
        <v>129.78963087084412</v>
      </c>
      <c r="F211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3443.7586514382451</v>
      </c>
      <c r="G211">
        <f ca="1">IF($C211-G$1&lt;År1,0,F210*(1-VLOOKUP($A211,[1]Hugst!$R$5:$W$9,MATCH(ROUNDUP((G$1)/10,0)*10,[1]Hugst!$R$4:$W$4,0))))</f>
        <v>3446.0839394059653</v>
      </c>
      <c r="H211">
        <f ca="1">IF($C211-H$1&lt;År1,0,G210*(1-VLOOKUP($A211,[1]Hugst!$R$5:$W$9,MATCH(ROUNDUP((H$1)/10,0)*10,[1]Hugst!$R$4:$W$4,0))))</f>
        <v>3448.4534396371851</v>
      </c>
      <c r="I211">
        <f ca="1">IF($C211-I$1&lt;År1,0,H210*(1-VLOOKUP($A211,[1]Hugst!$R$5:$W$9,MATCH(ROUNDUP((I$1)/10,0)*10,[1]Hugst!$R$4:$W$4,0))))</f>
        <v>3450.8673778227417</v>
      </c>
      <c r="J211">
        <f ca="1">IF($C211-J$1&lt;År1,0,I210*(1-VLOOKUP($A211,[1]Hugst!$R$5:$W$9,MATCH(ROUNDUP((J$1)/10,0)*10,[1]Hugst!$R$4:$W$4,0))))</f>
        <v>3448.9310783282303</v>
      </c>
      <c r="K211">
        <f ca="1">IF($C211-K$1&lt;År1,0,J210*(1-VLOOKUP($A211,[1]Hugst!$R$5:$W$9,MATCH(ROUNDUP((K$1)/10,0)*10,[1]Hugst!$R$4:$W$4,0))))</f>
        <v>3441.8363491980886</v>
      </c>
      <c r="L211">
        <f ca="1">IF($C211-L$1&lt;År1,0,K210*(1-VLOOKUP($A211,[1]Hugst!$R$5:$W$9,MATCH(ROUNDUP((L$1)/10,0)*10,[1]Hugst!$R$4:$W$4,0))))</f>
        <v>3434.7283024027579</v>
      </c>
      <c r="M211">
        <f ca="1">IF($C211-M$1&lt;År1,0,L210*(1-VLOOKUP($A211,[1]Hugst!$R$5:$W$9,MATCH(ROUNDUP((M$1)/10,0)*10,[1]Hugst!$R$4:$W$4,0))))</f>
        <v>3427.6069201536952</v>
      </c>
      <c r="N211">
        <f ca="1">IF($C211-N$1&lt;År1,0,M210*(1-VLOOKUP($A211,[1]Hugst!$R$5:$W$9,MATCH(ROUNDUP((N$1)/10,0)*10,[1]Hugst!$R$4:$W$4,0))))</f>
        <v>3420.4721846808766</v>
      </c>
      <c r="O211">
        <f ca="1">IF($C211-O$1&lt;År1,0,N210*(1-VLOOKUP($A211,[1]Hugst!$R$5:$W$9,MATCH(ROUNDUP((O$1)/10,0)*10,[1]Hugst!$R$4:$W$4,0))))</f>
        <v>3413.3240782332773</v>
      </c>
      <c r="P211">
        <f ca="1">IF($C211-P$1&lt;År1,0,O210*(1-VLOOKUP($A211,[1]Hugst!$R$5:$W$9,MATCH(ROUNDUP((P$1)/10,0)*10,[1]Hugst!$R$4:$W$4,0))))</f>
        <v>3398.6856408238068</v>
      </c>
      <c r="Q211">
        <f ca="1">IF($C211-Q$1&lt;År1,0,P210*(1-VLOOKUP($A211,[1]Hugst!$R$5:$W$9,MATCH(ROUNDUP((Q$1)/10,0)*10,[1]Hugst!$R$4:$W$4,0))))</f>
        <v>3384.0816747913832</v>
      </c>
      <c r="R211">
        <f ca="1">IF($C211-R$1&lt;År1,0,Q210*(1-VLOOKUP($A211,[1]Hugst!$R$5:$W$9,MATCH(ROUNDUP((R$1)/10,0)*10,[1]Hugst!$R$4:$W$4,0))))</f>
        <v>3369.5121110584109</v>
      </c>
      <c r="S211">
        <f ca="1">IF($C211-S$1&lt;År1,0,R210*(1-VLOOKUP($A211,[1]Hugst!$R$5:$W$9,MATCH(ROUNDUP((S$1)/10,0)*10,[1]Hugst!$R$4:$W$4,0))))</f>
        <v>5335.2208060302637</v>
      </c>
      <c r="T211">
        <f ca="1">IF($C211-T$1&lt;År1,0,S210*(1-VLOOKUP($A211,[1]Hugst!$R$5:$W$9,MATCH(ROUNDUP((T$1)/10,0)*10,[1]Hugst!$R$4:$W$4,0))))</f>
        <v>5316.3729634351721</v>
      </c>
      <c r="U211">
        <f ca="1">IF($C211-U$1&lt;År1,0,T210*(1-VLOOKUP($A211,[1]Hugst!$R$5:$W$9,MATCH(ROUNDUP((U$1)/10,0)*10,[1]Hugst!$R$4:$W$4,0))))</f>
        <v>5309.3433742756997</v>
      </c>
      <c r="V211">
        <f ca="1">IF($C211-V$1&lt;År1,0,U210*(1-VLOOKUP($A211,[1]Hugst!$R$5:$W$9,MATCH(ROUNDUP((V$1)/10,0)*10,[1]Hugst!$R$4:$W$4,0))))</f>
        <v>5302.3422973593388</v>
      </c>
      <c r="W211">
        <f ca="1">IF($C211-W$1&lt;År1,0,V210*(1-VLOOKUP($A211,[1]Hugst!$R$5:$W$9,MATCH(ROUNDUP((W$1)/10,0)*10,[1]Hugst!$R$4:$W$4,0))))</f>
        <v>5295.3697069745203</v>
      </c>
      <c r="X211">
        <f ca="1">IF($C211-X$1&lt;År1,0,W210*(1-VLOOKUP($A211,[1]Hugst!$R$5:$W$9,MATCH(ROUNDUP((X$1)/10,0)*10,[1]Hugst!$R$4:$W$4,0))))</f>
        <v>5288.4255775700021</v>
      </c>
      <c r="Y211">
        <f ca="1">IF($C211-Y$1&lt;År1,0,X210*(1-VLOOKUP($A211,[1]Hugst!$R$5:$W$9,MATCH(ROUNDUP((Y$1)/10,0)*10,[1]Hugst!$R$4:$W$4,0))))</f>
        <v>5281.5098837548849</v>
      </c>
      <c r="Z211">
        <f ca="1">IF($C211-Z$1&lt;År1,0,Y210*(1-VLOOKUP($A211,[1]Hugst!$R$5:$W$9,MATCH(ROUNDUP((Z$1)/10,0)*10,[1]Hugst!$R$4:$W$4,0))))</f>
        <v>5279.7798944567276</v>
      </c>
      <c r="AA211">
        <f ca="1">IF($C211-AA$1&lt;År1,0,Z210*(1-VLOOKUP($A211,[1]Hugst!$R$5:$W$9,MATCH(ROUNDUP((AA$1)/10,0)*10,[1]Hugst!$R$4:$W$4,0))))</f>
        <v>5278.0699138069831</v>
      </c>
      <c r="AB211">
        <f ca="1">IF($C211-AB$1&lt;År1,0,AA210*(1-VLOOKUP($A211,[1]Hugst!$R$5:$W$9,MATCH(ROUNDUP((AB$1)/10,0)*10,[1]Hugst!$R$4:$W$4,0))))</f>
        <v>5276.3799854114459</v>
      </c>
      <c r="AC211">
        <f ca="1">IF($C211-AC$1&lt;År1,0,AB210*(1-VLOOKUP($A211,[1]Hugst!$R$5:$W$9,MATCH(ROUNDUP((AC$1)/10,0)*10,[1]Hugst!$R$4:$W$4,0))))</f>
        <v>5274.710153081247</v>
      </c>
      <c r="AD211">
        <f>IF($C211-AD$1&lt;År1,0,AC210*(1-VLOOKUP($A211,[1]Hugst!$R$5:$W$9,MATCH(ROUNDUP((AD$1)/10,0)*10,[1]Hugst!$R$4:$W$4,0))))</f>
        <v>0</v>
      </c>
      <c r="AE211">
        <f>IF($C211-AE$1&lt;År1,0,AD210*(1-VLOOKUP($A211,[1]Hugst!$R$5:$W$9,MATCH(ROUNDUP((AE$1)/10,0)*10,[1]Hugst!$R$4:$W$4,0))))</f>
        <v>0</v>
      </c>
      <c r="AF211">
        <f>IF($C211-AF$1&lt;År1,0,AE210*(1-VLOOKUP($A211,[1]Hugst!$R$5:$W$9,MATCH(ROUNDUP((AF$1)/10,0)*10,[1]Hugst!$R$4:$W$4,0))))</f>
        <v>0</v>
      </c>
      <c r="AG211">
        <f>IF($C211-AG$1&lt;År1,0,AF210*(1-VLOOKUP($A211,[1]Hugst!$R$5:$W$9,MATCH(ROUNDUP((AG$1)/10,0)*10,[1]Hugst!$R$4:$W$4,0))))</f>
        <v>0</v>
      </c>
      <c r="AH211">
        <f>IF($C211-AH$1&lt;År1,0,AG210*(1-VLOOKUP($A211,[1]Hugst!$R$5:$W$9,MATCH(ROUNDUP((AH$1)/10,0)*10,[1]Hugst!$R$4:$W$4,0))))</f>
        <v>0</v>
      </c>
      <c r="AI211">
        <f>IF($C211-AI$1&lt;År1,0,AH210*(1-VLOOKUP($A211,[1]Hugst!$R$5:$W$9,MATCH(ROUNDUP((AI$1)/10,0)*10,[1]Hugst!$R$4:$W$4,0))))</f>
        <v>0</v>
      </c>
      <c r="AJ211">
        <f>IF($C211-AJ$1&lt;År1,0,AI210*(1-VLOOKUP($A211,[1]Hugst!$R$5:$W$9,MATCH(ROUNDUP((AJ$1)/10,0)*10,[1]Hugst!$R$4:$W$4,0))))</f>
        <v>0</v>
      </c>
    </row>
    <row r="212" spans="1:36" x14ac:dyDescent="0.25">
      <c r="A212" t="s">
        <v>179</v>
      </c>
      <c r="B212" t="s">
        <v>23</v>
      </c>
      <c r="C212">
        <v>2044</v>
      </c>
      <c r="D212" cm="1">
        <f t="array" ref="D212">(IF(B212="Vestdanmark",Skovbrug!$C$22-(Skovbrug!$C$22)*(1-Skovbrug!$C$9)^(C212-Skovbrug!$B$12),Skovbrug!$F$22-(Skovbrug!$F$22)*(1-Skovbrug!$C$9)^(C212-Skovbrug!$B$12)))*VLOOKUP(A212,Skovbrug!$A$13:$D$17,IF('Skovbrug-alder'!C212&lt;=År2,3,4),FALSE)
-IF(C212&gt;2020,SUM(INDEX($C$1:$D$311,MATCH(1,(2020=$C$1:$C$311)*(B212=$B$1:$B$311)*(A212=$A$1:$A$311),0),2):D211),0)</f>
        <v>867.94084213123642</v>
      </c>
      <c r="E212">
        <f t="shared" ca="1" si="4"/>
        <v>131.8698422506277</v>
      </c>
      <c r="F212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3441.4773510485315</v>
      </c>
      <c r="G212">
        <f ca="1">IF($C212-G$1&lt;År1,0,F211*(1-VLOOKUP($A212,[1]Hugst!$R$5:$W$9,MATCH(ROUNDUP((G$1)/10,0)*10,[1]Hugst!$R$4:$W$4,0))))</f>
        <v>3443.7586514382451</v>
      </c>
      <c r="H212">
        <f ca="1">IF($C212-H$1&lt;År1,0,G211*(1-VLOOKUP($A212,[1]Hugst!$R$5:$W$9,MATCH(ROUNDUP((H$1)/10,0)*10,[1]Hugst!$R$4:$W$4,0))))</f>
        <v>3446.0839394059653</v>
      </c>
      <c r="I212">
        <f ca="1">IF($C212-I$1&lt;År1,0,H211*(1-VLOOKUP($A212,[1]Hugst!$R$5:$W$9,MATCH(ROUNDUP((I$1)/10,0)*10,[1]Hugst!$R$4:$W$4,0))))</f>
        <v>3448.4534396371851</v>
      </c>
      <c r="J212">
        <f ca="1">IF($C212-J$1&lt;År1,0,I211*(1-VLOOKUP($A212,[1]Hugst!$R$5:$W$9,MATCH(ROUNDUP((J$1)/10,0)*10,[1]Hugst!$R$4:$W$4,0))))</f>
        <v>3450.8673778227417</v>
      </c>
      <c r="K212">
        <f ca="1">IF($C212-K$1&lt;År1,0,J211*(1-VLOOKUP($A212,[1]Hugst!$R$5:$W$9,MATCH(ROUNDUP((K$1)/10,0)*10,[1]Hugst!$R$4:$W$4,0))))</f>
        <v>3448.9310783282303</v>
      </c>
      <c r="L212">
        <f ca="1">IF($C212-L$1&lt;År1,0,K211*(1-VLOOKUP($A212,[1]Hugst!$R$5:$W$9,MATCH(ROUNDUP((L$1)/10,0)*10,[1]Hugst!$R$4:$W$4,0))))</f>
        <v>3441.8363491980886</v>
      </c>
      <c r="M212">
        <f ca="1">IF($C212-M$1&lt;År1,0,L211*(1-VLOOKUP($A212,[1]Hugst!$R$5:$W$9,MATCH(ROUNDUP((M$1)/10,0)*10,[1]Hugst!$R$4:$W$4,0))))</f>
        <v>3434.7283024027579</v>
      </c>
      <c r="N212">
        <f ca="1">IF($C212-N$1&lt;År1,0,M211*(1-VLOOKUP($A212,[1]Hugst!$R$5:$W$9,MATCH(ROUNDUP((N$1)/10,0)*10,[1]Hugst!$R$4:$W$4,0))))</f>
        <v>3427.6069201536952</v>
      </c>
      <c r="O212">
        <f ca="1">IF($C212-O$1&lt;År1,0,N211*(1-VLOOKUP($A212,[1]Hugst!$R$5:$W$9,MATCH(ROUNDUP((O$1)/10,0)*10,[1]Hugst!$R$4:$W$4,0))))</f>
        <v>3420.4721846808766</v>
      </c>
      <c r="P212">
        <f ca="1">IF($C212-P$1&lt;År1,0,O211*(1-VLOOKUP($A212,[1]Hugst!$R$5:$W$9,MATCH(ROUNDUP((P$1)/10,0)*10,[1]Hugst!$R$4:$W$4,0))))</f>
        <v>3405.8314156225215</v>
      </c>
      <c r="Q212">
        <f ca="1">IF($C212-Q$1&lt;År1,0,P211*(1-VLOOKUP($A212,[1]Hugst!$R$5:$W$9,MATCH(ROUNDUP((Q$1)/10,0)*10,[1]Hugst!$R$4:$W$4,0))))</f>
        <v>3391.2251113683401</v>
      </c>
      <c r="R212">
        <f ca="1">IF($C212-R$1&lt;År1,0,Q211*(1-VLOOKUP($A212,[1]Hugst!$R$5:$W$9,MATCH(ROUNDUP((R$1)/10,0)*10,[1]Hugst!$R$4:$W$4,0))))</f>
        <v>3376.6532028223291</v>
      </c>
      <c r="S212">
        <f ca="1">IF($C212-S$1&lt;År1,0,R211*(1-VLOOKUP($A212,[1]Hugst!$R$5:$W$9,MATCH(ROUNDUP((S$1)/10,0)*10,[1]Hugst!$R$4:$W$4,0))))</f>
        <v>3362.1156210585268</v>
      </c>
      <c r="T212">
        <f ca="1">IF($C212-T$1&lt;År1,0,S211*(1-VLOOKUP($A212,[1]Hugst!$R$5:$W$9,MATCH(ROUNDUP((T$1)/10,0)*10,[1]Hugst!$R$4:$W$4,0))))</f>
        <v>5323.5093457243438</v>
      </c>
      <c r="U212">
        <f ca="1">IF($C212-U$1&lt;År1,0,T211*(1-VLOOKUP($A212,[1]Hugst!$R$5:$W$9,MATCH(ROUNDUP((U$1)/10,0)*10,[1]Hugst!$R$4:$W$4,0))))</f>
        <v>5304.7028764422657</v>
      </c>
      <c r="V212">
        <f ca="1">IF($C212-V$1&lt;År1,0,U211*(1-VLOOKUP($A212,[1]Hugst!$R$5:$W$9,MATCH(ROUNDUP((V$1)/10,0)*10,[1]Hugst!$R$4:$W$4,0))))</f>
        <v>5297.688718088265</v>
      </c>
      <c r="W212">
        <f ca="1">IF($C212-W$1&lt;År1,0,V211*(1-VLOOKUP($A212,[1]Hugst!$R$5:$W$9,MATCH(ROUNDUP((W$1)/10,0)*10,[1]Hugst!$R$4:$W$4,0))))</f>
        <v>5290.7030093895255</v>
      </c>
      <c r="X212">
        <f ca="1">IF($C212-X$1&lt;År1,0,W211*(1-VLOOKUP($A212,[1]Hugst!$R$5:$W$9,MATCH(ROUNDUP((X$1)/10,0)*10,[1]Hugst!$R$4:$W$4,0))))</f>
        <v>5283.745724690918</v>
      </c>
      <c r="Y212">
        <f ca="1">IF($C212-Y$1&lt;År1,0,X211*(1-VLOOKUP($A212,[1]Hugst!$R$5:$W$9,MATCH(ROUNDUP((Y$1)/10,0)*10,[1]Hugst!$R$4:$W$4,0))))</f>
        <v>5276.8168384972878</v>
      </c>
      <c r="Z212">
        <f ca="1">IF($C212-Z$1&lt;År1,0,Y211*(1-VLOOKUP($A212,[1]Hugst!$R$5:$W$9,MATCH(ROUNDUP((Z$1)/10,0)*10,[1]Hugst!$R$4:$W$4,0))))</f>
        <v>5275.0690180429883</v>
      </c>
      <c r="AA212">
        <f ca="1">IF($C212-AA$1&lt;År1,0,Z211*(1-VLOOKUP($A212,[1]Hugst!$R$5:$W$9,MATCH(ROUNDUP((AA$1)/10,0)*10,[1]Hugst!$R$4:$W$4,0))))</f>
        <v>5273.3411384878782</v>
      </c>
      <c r="AB212">
        <f ca="1">IF($C212-AB$1&lt;År1,0,AA211*(1-VLOOKUP($A212,[1]Hugst!$R$5:$W$9,MATCH(ROUNDUP((AB$1)/10,0)*10,[1]Hugst!$R$4:$W$4,0))))</f>
        <v>5271.6332431803894</v>
      </c>
      <c r="AC212">
        <f ca="1">IF($C212-AC$1&lt;År1,0,AB211*(1-VLOOKUP($A212,[1]Hugst!$R$5:$W$9,MATCH(ROUNDUP((AC$1)/10,0)*10,[1]Hugst!$R$4:$W$4,0))))</f>
        <v>5269.9453756731391</v>
      </c>
      <c r="AD212">
        <f ca="1">IF($C212-AD$1&lt;År1,0,AC211*(1-VLOOKUP($A212,[1]Hugst!$R$5:$W$9,MATCH(ROUNDUP((AD$1)/10,0)*10,[1]Hugst!$R$4:$W$4,0))))</f>
        <v>5268.277579723831</v>
      </c>
      <c r="AE212">
        <f>IF($C212-AE$1&lt;År1,0,AD211*(1-VLOOKUP($A212,[1]Hugst!$R$5:$W$9,MATCH(ROUNDUP((AE$1)/10,0)*10,[1]Hugst!$R$4:$W$4,0))))</f>
        <v>0</v>
      </c>
      <c r="AF212">
        <f>IF($C212-AF$1&lt;År1,0,AE211*(1-VLOOKUP($A212,[1]Hugst!$R$5:$W$9,MATCH(ROUNDUP((AF$1)/10,0)*10,[1]Hugst!$R$4:$W$4,0))))</f>
        <v>0</v>
      </c>
      <c r="AG212">
        <f>IF($C212-AG$1&lt;År1,0,AF211*(1-VLOOKUP($A212,[1]Hugst!$R$5:$W$9,MATCH(ROUNDUP((AG$1)/10,0)*10,[1]Hugst!$R$4:$W$4,0))))</f>
        <v>0</v>
      </c>
      <c r="AH212">
        <f>IF($C212-AH$1&lt;År1,0,AG211*(1-VLOOKUP($A212,[1]Hugst!$R$5:$W$9,MATCH(ROUNDUP((AH$1)/10,0)*10,[1]Hugst!$R$4:$W$4,0))))</f>
        <v>0</v>
      </c>
      <c r="AI212">
        <f>IF($C212-AI$1&lt;År1,0,AH211*(1-VLOOKUP($A212,[1]Hugst!$R$5:$W$9,MATCH(ROUNDUP((AI$1)/10,0)*10,[1]Hugst!$R$4:$W$4,0))))</f>
        <v>0</v>
      </c>
      <c r="AJ212">
        <f>IF($C212-AJ$1&lt;År1,0,AI211*(1-VLOOKUP($A212,[1]Hugst!$R$5:$W$9,MATCH(ROUNDUP((AJ$1)/10,0)*10,[1]Hugst!$R$4:$W$4,0))))</f>
        <v>0</v>
      </c>
    </row>
    <row r="213" spans="1:36" x14ac:dyDescent="0.25">
      <c r="A213" t="s">
        <v>179</v>
      </c>
      <c r="B213" t="s">
        <v>23</v>
      </c>
      <c r="C213">
        <v>2045</v>
      </c>
      <c r="D213" cm="1">
        <f t="array" ref="D213">(IF(B213="Vestdanmark",Skovbrug!$C$22-(Skovbrug!$C$22)*(1-Skovbrug!$C$9)^(C213-Skovbrug!$B$12),Skovbrug!$F$22-(Skovbrug!$F$22)*(1-Skovbrug!$C$9)^(C213-Skovbrug!$B$12)))*VLOOKUP(A213,Skovbrug!$A$13:$D$17,IF('Skovbrug-alder'!C213&lt;=År2,3,4),FALSE)
-IF(C213&gt;2020,SUM(INDEX($C$1:$D$311,MATCH(1,(2020=$C$1:$C$311)*(B213=$B$1:$B$311)*(A213=$A$1:$A$311),0),2):D212),0)</f>
        <v>863.60113792057746</v>
      </c>
      <c r="E213">
        <f t="shared" ca="1" si="4"/>
        <v>133.97200996510219</v>
      </c>
      <c r="F213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3439.2398145523471</v>
      </c>
      <c r="G213">
        <f ca="1">IF($C213-G$1&lt;År1,0,F212*(1-VLOOKUP($A213,[1]Hugst!$R$5:$W$9,MATCH(ROUNDUP((G$1)/10,0)*10,[1]Hugst!$R$4:$W$4,0))))</f>
        <v>3441.4773510485315</v>
      </c>
      <c r="H213">
        <f ca="1">IF($C213-H$1&lt;År1,0,G212*(1-VLOOKUP($A213,[1]Hugst!$R$5:$W$9,MATCH(ROUNDUP((H$1)/10,0)*10,[1]Hugst!$R$4:$W$4,0))))</f>
        <v>3443.7586514382451</v>
      </c>
      <c r="I213">
        <f ca="1">IF($C213-I$1&lt;År1,0,H212*(1-VLOOKUP($A213,[1]Hugst!$R$5:$W$9,MATCH(ROUNDUP((I$1)/10,0)*10,[1]Hugst!$R$4:$W$4,0))))</f>
        <v>3446.0839394059653</v>
      </c>
      <c r="J213">
        <f ca="1">IF($C213-J$1&lt;År1,0,I212*(1-VLOOKUP($A213,[1]Hugst!$R$5:$W$9,MATCH(ROUNDUP((J$1)/10,0)*10,[1]Hugst!$R$4:$W$4,0))))</f>
        <v>3448.4534396371851</v>
      </c>
      <c r="K213">
        <f ca="1">IF($C213-K$1&lt;År1,0,J212*(1-VLOOKUP($A213,[1]Hugst!$R$5:$W$9,MATCH(ROUNDUP((K$1)/10,0)*10,[1]Hugst!$R$4:$W$4,0))))</f>
        <v>3450.8673778227417</v>
      </c>
      <c r="L213">
        <f ca="1">IF($C213-L$1&lt;År1,0,K212*(1-VLOOKUP($A213,[1]Hugst!$R$5:$W$9,MATCH(ROUNDUP((L$1)/10,0)*10,[1]Hugst!$R$4:$W$4,0))))</f>
        <v>3448.9310783282303</v>
      </c>
      <c r="M213">
        <f ca="1">IF($C213-M$1&lt;År1,0,L212*(1-VLOOKUP($A213,[1]Hugst!$R$5:$W$9,MATCH(ROUNDUP((M$1)/10,0)*10,[1]Hugst!$R$4:$W$4,0))))</f>
        <v>3441.8363491980886</v>
      </c>
      <c r="N213">
        <f ca="1">IF($C213-N$1&lt;År1,0,M212*(1-VLOOKUP($A213,[1]Hugst!$R$5:$W$9,MATCH(ROUNDUP((N$1)/10,0)*10,[1]Hugst!$R$4:$W$4,0))))</f>
        <v>3434.7283024027579</v>
      </c>
      <c r="O213">
        <f ca="1">IF($C213-O$1&lt;År1,0,N212*(1-VLOOKUP($A213,[1]Hugst!$R$5:$W$9,MATCH(ROUNDUP((O$1)/10,0)*10,[1]Hugst!$R$4:$W$4,0))))</f>
        <v>3427.6069201536952</v>
      </c>
      <c r="P213">
        <f ca="1">IF($C213-P$1&lt;År1,0,O212*(1-VLOOKUP($A213,[1]Hugst!$R$5:$W$9,MATCH(ROUNDUP((P$1)/10,0)*10,[1]Hugst!$R$4:$W$4,0))))</f>
        <v>3412.9638311047479</v>
      </c>
      <c r="Q213">
        <f ca="1">IF($C213-Q$1&lt;År1,0,P212*(1-VLOOKUP($A213,[1]Hugst!$R$5:$W$9,MATCH(ROUNDUP((Q$1)/10,0)*10,[1]Hugst!$R$4:$W$4,0))))</f>
        <v>3398.3552003199356</v>
      </c>
      <c r="R213">
        <f ca="1">IF($C213-R$1&lt;År1,0,Q212*(1-VLOOKUP($A213,[1]Hugst!$R$5:$W$9,MATCH(ROUNDUP((R$1)/10,0)*10,[1]Hugst!$R$4:$W$4,0))))</f>
        <v>3383.7809586848484</v>
      </c>
      <c r="S213">
        <f ca="1">IF($C213-S$1&lt;År1,0,R212*(1-VLOOKUP($A213,[1]Hugst!$R$5:$W$9,MATCH(ROUNDUP((S$1)/10,0)*10,[1]Hugst!$R$4:$W$4,0))))</f>
        <v>3369.2410372551581</v>
      </c>
      <c r="T213">
        <f ca="1">IF($C213-T$1&lt;År1,0,S212*(1-VLOOKUP($A213,[1]Hugst!$R$5:$W$9,MATCH(ROUNDUP((T$1)/10,0)*10,[1]Hugst!$R$4:$W$4,0))))</f>
        <v>3354.7353672562031</v>
      </c>
      <c r="U213">
        <f ca="1">IF($C213-U$1&lt;År1,0,T212*(1-VLOOKUP($A213,[1]Hugst!$R$5:$W$9,MATCH(ROUNDUP((U$1)/10,0)*10,[1]Hugst!$R$4:$W$4,0))))</f>
        <v>5311.823593502022</v>
      </c>
      <c r="V213">
        <f ca="1">IF($C213-V$1&lt;År1,0,U212*(1-VLOOKUP($A213,[1]Hugst!$R$5:$W$9,MATCH(ROUNDUP((V$1)/10,0)*10,[1]Hugst!$R$4:$W$4,0))))</f>
        <v>5293.0584067134896</v>
      </c>
      <c r="W213">
        <f ca="1">IF($C213-W$1&lt;År1,0,V212*(1-VLOOKUP($A213,[1]Hugst!$R$5:$W$9,MATCH(ROUNDUP((W$1)/10,0)*10,[1]Hugst!$R$4:$W$4,0))))</f>
        <v>5286.059645292461</v>
      </c>
      <c r="X213">
        <f ca="1">IF($C213-X$1&lt;År1,0,W212*(1-VLOOKUP($A213,[1]Hugst!$R$5:$W$9,MATCH(ROUNDUP((X$1)/10,0)*10,[1]Hugst!$R$4:$W$4,0))))</f>
        <v>5279.0892710762319</v>
      </c>
      <c r="Y213">
        <f ca="1">IF($C213-Y$1&lt;År1,0,X212*(1-VLOOKUP($A213,[1]Hugst!$R$5:$W$9,MATCH(ROUNDUP((Y$1)/10,0)*10,[1]Hugst!$R$4:$W$4,0))))</f>
        <v>5272.1472584659869</v>
      </c>
      <c r="Z213">
        <f ca="1">IF($C213-Z$1&lt;År1,0,Y212*(1-VLOOKUP($A213,[1]Hugst!$R$5:$W$9,MATCH(ROUNDUP((Z$1)/10,0)*10,[1]Hugst!$R$4:$W$4,0))))</f>
        <v>5270.3816960113154</v>
      </c>
      <c r="AA213">
        <f ca="1">IF($C213-AA$1&lt;År1,0,Z212*(1-VLOOKUP($A213,[1]Hugst!$R$5:$W$9,MATCH(ROUNDUP((AA$1)/10,0)*10,[1]Hugst!$R$4:$W$4,0))))</f>
        <v>5268.6360070453748</v>
      </c>
      <c r="AB213">
        <f ca="1">IF($C213-AB$1&lt;År1,0,AA212*(1-VLOOKUP($A213,[1]Hugst!$R$5:$W$9,MATCH(ROUNDUP((AB$1)/10,0)*10,[1]Hugst!$R$4:$W$4,0))))</f>
        <v>5266.9102346604541</v>
      </c>
      <c r="AC213">
        <f ca="1">IF($C213-AC$1&lt;År1,0,AB212*(1-VLOOKUP($A213,[1]Hugst!$R$5:$W$9,MATCH(ROUNDUP((AC$1)/10,0)*10,[1]Hugst!$R$4:$W$4,0))))</f>
        <v>5265.204422152121</v>
      </c>
      <c r="AD213">
        <f ca="1">IF($C213-AD$1&lt;År1,0,AC212*(1-VLOOKUP($A213,[1]Hugst!$R$5:$W$9,MATCH(ROUNDUP((AD$1)/10,0)*10,[1]Hugst!$R$4:$W$4,0))))</f>
        <v>5263.518613019879</v>
      </c>
      <c r="AE213">
        <f ca="1">IF($C213-AE$1&lt;År1,0,AD212*(1-VLOOKUP($A213,[1]Hugst!$R$5:$W$9,MATCH(ROUNDUP((AE$1)/10,0)*10,[1]Hugst!$R$4:$W$4,0))))</f>
        <v>5261.85285096807</v>
      </c>
      <c r="AF213">
        <f>IF($C213-AF$1&lt;År1,0,AE212*(1-VLOOKUP($A213,[1]Hugst!$R$5:$W$9,MATCH(ROUNDUP((AF$1)/10,0)*10,[1]Hugst!$R$4:$W$4,0))))</f>
        <v>0</v>
      </c>
      <c r="AG213">
        <f>IF($C213-AG$1&lt;År1,0,AF212*(1-VLOOKUP($A213,[1]Hugst!$R$5:$W$9,MATCH(ROUNDUP((AG$1)/10,0)*10,[1]Hugst!$R$4:$W$4,0))))</f>
        <v>0</v>
      </c>
      <c r="AH213">
        <f>IF($C213-AH$1&lt;År1,0,AG212*(1-VLOOKUP($A213,[1]Hugst!$R$5:$W$9,MATCH(ROUNDUP((AH$1)/10,0)*10,[1]Hugst!$R$4:$W$4,0))))</f>
        <v>0</v>
      </c>
      <c r="AI213">
        <f>IF($C213-AI$1&lt;År1,0,AH212*(1-VLOOKUP($A213,[1]Hugst!$R$5:$W$9,MATCH(ROUNDUP((AI$1)/10,0)*10,[1]Hugst!$R$4:$W$4,0))))</f>
        <v>0</v>
      </c>
      <c r="AJ213">
        <f>IF($C213-AJ$1&lt;År1,0,AI212*(1-VLOOKUP($A213,[1]Hugst!$R$5:$W$9,MATCH(ROUNDUP((AJ$1)/10,0)*10,[1]Hugst!$R$4:$W$4,0))))</f>
        <v>0</v>
      </c>
    </row>
    <row r="214" spans="1:36" x14ac:dyDescent="0.25">
      <c r="A214" t="s">
        <v>179</v>
      </c>
      <c r="B214" t="s">
        <v>23</v>
      </c>
      <c r="C214">
        <v>2046</v>
      </c>
      <c r="D214" cm="1">
        <f t="array" ref="D214">(IF(B214="Vestdanmark",Skovbrug!$C$22-(Skovbrug!$C$22)*(1-Skovbrug!$C$9)^(C214-Skovbrug!$B$12),Skovbrug!$F$22-(Skovbrug!$F$22)*(1-Skovbrug!$C$9)^(C214-Skovbrug!$B$12)))*VLOOKUP(A214,Skovbrug!$A$13:$D$17,IF('Skovbrug-alder'!C214&lt;=År2,3,4),FALSE)
-IF(C214&gt;2020,SUM(INDEX($C$1:$D$311,MATCH(1,(2020=$C$1:$C$311)*(B214=$B$1:$B$311)*(A214=$A$1:$A$311),0),2):D213),0)</f>
        <v>859.28313223100486</v>
      </c>
      <c r="E214">
        <f t="shared" ca="1" si="4"/>
        <v>136.09602036437718</v>
      </c>
      <c r="F214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3437.0458192620495</v>
      </c>
      <c r="G214">
        <f ca="1">IF($C214-G$1&lt;År1,0,F213*(1-VLOOKUP($A214,[1]Hugst!$R$5:$W$9,MATCH(ROUNDUP((G$1)/10,0)*10,[1]Hugst!$R$4:$W$4,0))))</f>
        <v>3439.2398145523471</v>
      </c>
      <c r="H214">
        <f ca="1">IF($C214-H$1&lt;År1,0,G213*(1-VLOOKUP($A214,[1]Hugst!$R$5:$W$9,MATCH(ROUNDUP((H$1)/10,0)*10,[1]Hugst!$R$4:$W$4,0))))</f>
        <v>3441.4773510485315</v>
      </c>
      <c r="I214">
        <f ca="1">IF($C214-I$1&lt;År1,0,H213*(1-VLOOKUP($A214,[1]Hugst!$R$5:$W$9,MATCH(ROUNDUP((I$1)/10,0)*10,[1]Hugst!$R$4:$W$4,0))))</f>
        <v>3443.7586514382451</v>
      </c>
      <c r="J214">
        <f ca="1">IF($C214-J$1&lt;År1,0,I213*(1-VLOOKUP($A214,[1]Hugst!$R$5:$W$9,MATCH(ROUNDUP((J$1)/10,0)*10,[1]Hugst!$R$4:$W$4,0))))</f>
        <v>3446.0839394059653</v>
      </c>
      <c r="K214">
        <f ca="1">IF($C214-K$1&lt;År1,0,J213*(1-VLOOKUP($A214,[1]Hugst!$R$5:$W$9,MATCH(ROUNDUP((K$1)/10,0)*10,[1]Hugst!$R$4:$W$4,0))))</f>
        <v>3448.4534396371851</v>
      </c>
      <c r="L214">
        <f ca="1">IF($C214-L$1&lt;År1,0,K213*(1-VLOOKUP($A214,[1]Hugst!$R$5:$W$9,MATCH(ROUNDUP((L$1)/10,0)*10,[1]Hugst!$R$4:$W$4,0))))</f>
        <v>3450.8673778227417</v>
      </c>
      <c r="M214">
        <f ca="1">IF($C214-M$1&lt;År1,0,L213*(1-VLOOKUP($A214,[1]Hugst!$R$5:$W$9,MATCH(ROUNDUP((M$1)/10,0)*10,[1]Hugst!$R$4:$W$4,0))))</f>
        <v>3448.9310783282303</v>
      </c>
      <c r="N214">
        <f ca="1">IF($C214-N$1&lt;År1,0,M213*(1-VLOOKUP($A214,[1]Hugst!$R$5:$W$9,MATCH(ROUNDUP((N$1)/10,0)*10,[1]Hugst!$R$4:$W$4,0))))</f>
        <v>3441.8363491980886</v>
      </c>
      <c r="O214">
        <f ca="1">IF($C214-O$1&lt;År1,0,N213*(1-VLOOKUP($A214,[1]Hugst!$R$5:$W$9,MATCH(ROUNDUP((O$1)/10,0)*10,[1]Hugst!$R$4:$W$4,0))))</f>
        <v>3434.7283024027579</v>
      </c>
      <c r="P214">
        <f ca="1">IF($C214-P$1&lt;År1,0,O213*(1-VLOOKUP($A214,[1]Hugst!$R$5:$W$9,MATCH(ROUNDUP((P$1)/10,0)*10,[1]Hugst!$R$4:$W$4,0))))</f>
        <v>3420.0829049631138</v>
      </c>
      <c r="Q214">
        <f ca="1">IF($C214-Q$1&lt;År1,0,P213*(1-VLOOKUP($A214,[1]Hugst!$R$5:$W$9,MATCH(ROUNDUP((Q$1)/10,0)*10,[1]Hugst!$R$4:$W$4,0))))</f>
        <v>3405.4719592803717</v>
      </c>
      <c r="R214">
        <f ca="1">IF($C214-R$1&lt;År1,0,Q213*(1-VLOOKUP($A214,[1]Hugst!$R$5:$W$9,MATCH(ROUNDUP((R$1)/10,0)*10,[1]Hugst!$R$4:$W$4,0))))</f>
        <v>3390.8953962216724</v>
      </c>
      <c r="S214">
        <f ca="1">IF($C214-S$1&lt;År1,0,R213*(1-VLOOKUP($A214,[1]Hugst!$R$5:$W$9,MATCH(ROUNDUP((S$1)/10,0)*10,[1]Hugst!$R$4:$W$4,0))))</f>
        <v>3376.3531468243209</v>
      </c>
      <c r="T214">
        <f ca="1">IF($C214-T$1&lt;År1,0,S213*(1-VLOOKUP($A214,[1]Hugst!$R$5:$W$9,MATCH(ROUNDUP((T$1)/10,0)*10,[1]Hugst!$R$4:$W$4,0))))</f>
        <v>3361.8451422953299</v>
      </c>
      <c r="U214">
        <f ca="1">IF($C214-U$1&lt;År1,0,T213*(1-VLOOKUP($A214,[1]Hugst!$R$5:$W$9,MATCH(ROUNDUP((U$1)/10,0)*10,[1]Hugst!$R$4:$W$4,0))))</f>
        <v>3347.3713140110067</v>
      </c>
      <c r="V214">
        <f ca="1">IF($C214-V$1&lt;År1,0,U213*(1-VLOOKUP($A214,[1]Hugst!$R$5:$W$9,MATCH(ROUNDUP((V$1)/10,0)*10,[1]Hugst!$R$4:$W$4,0))))</f>
        <v>5300.1634929309203</v>
      </c>
      <c r="W214">
        <f ca="1">IF($C214-W$1&lt;År1,0,V213*(1-VLOOKUP($A214,[1]Hugst!$R$5:$W$9,MATCH(ROUNDUP((W$1)/10,0)*10,[1]Hugst!$R$4:$W$4,0))))</f>
        <v>5281.4394980158258</v>
      </c>
      <c r="X214">
        <f ca="1">IF($C214-X$1&lt;År1,0,W213*(1-VLOOKUP($A214,[1]Hugst!$R$5:$W$9,MATCH(ROUNDUP((X$1)/10,0)*10,[1]Hugst!$R$4:$W$4,0))))</f>
        <v>5274.4560997296239</v>
      </c>
      <c r="Y214">
        <f ca="1">IF($C214-Y$1&lt;År1,0,X213*(1-VLOOKUP($A214,[1]Hugst!$R$5:$W$9,MATCH(ROUNDUP((Y$1)/10,0)*10,[1]Hugst!$R$4:$W$4,0))))</f>
        <v>5267.5010263348449</v>
      </c>
      <c r="Z214">
        <f ca="1">IF($C214-Z$1&lt;År1,0,Y213*(1-VLOOKUP($A214,[1]Hugst!$R$5:$W$9,MATCH(ROUNDUP((Z$1)/10,0)*10,[1]Hugst!$R$4:$W$4,0))))</f>
        <v>5265.7178105898092</v>
      </c>
      <c r="AA214">
        <f ca="1">IF($C214-AA$1&lt;År1,0,Z213*(1-VLOOKUP($A214,[1]Hugst!$R$5:$W$9,MATCH(ROUNDUP((AA$1)/10,0)*10,[1]Hugst!$R$4:$W$4,0))))</f>
        <v>5263.9544012600818</v>
      </c>
      <c r="AB214">
        <f ca="1">IF($C214-AB$1&lt;År1,0,AA213*(1-VLOOKUP($A214,[1]Hugst!$R$5:$W$9,MATCH(ROUNDUP((AB$1)/10,0)*10,[1]Hugst!$R$4:$W$4,0))))</f>
        <v>5262.2108411831241</v>
      </c>
      <c r="AC214">
        <f ca="1">IF($C214-AC$1&lt;År1,0,AB213*(1-VLOOKUP($A214,[1]Hugst!$R$5:$W$9,MATCH(ROUNDUP((AC$1)/10,0)*10,[1]Hugst!$R$4:$W$4,0))))</f>
        <v>5260.4871733986729</v>
      </c>
      <c r="AD214">
        <f ca="1">IF($C214-AD$1&lt;År1,0,AC213*(1-VLOOKUP($A214,[1]Hugst!$R$5:$W$9,MATCH(ROUNDUP((AD$1)/10,0)*10,[1]Hugst!$R$4:$W$4,0))))</f>
        <v>5258.7834411494969</v>
      </c>
      <c r="AE214">
        <f ca="1">IF($C214-AE$1&lt;År1,0,AD213*(1-VLOOKUP($A214,[1]Hugst!$R$5:$W$9,MATCH(ROUNDUP((AE$1)/10,0)*10,[1]Hugst!$R$4:$W$4,0))))</f>
        <v>5257.0996878820497</v>
      </c>
      <c r="AF214">
        <f ca="1">IF($C214-AF$1&lt;År1,0,AE213*(1-VLOOKUP($A214,[1]Hugst!$R$5:$W$9,MATCH(ROUNDUP((AF$1)/10,0)*10,[1]Hugst!$R$4:$W$4,0))))</f>
        <v>5255.4359572473768</v>
      </c>
      <c r="AG214">
        <f>IF($C214-AG$1&lt;År1,0,AF213*(1-VLOOKUP($A214,[1]Hugst!$R$5:$W$9,MATCH(ROUNDUP((AG$1)/10,0)*10,[1]Hugst!$R$4:$W$4,0))))</f>
        <v>0</v>
      </c>
      <c r="AH214">
        <f>IF($C214-AH$1&lt;År1,0,AG213*(1-VLOOKUP($A214,[1]Hugst!$R$5:$W$9,MATCH(ROUNDUP((AH$1)/10,0)*10,[1]Hugst!$R$4:$W$4,0))))</f>
        <v>0</v>
      </c>
      <c r="AI214">
        <f>IF($C214-AI$1&lt;År1,0,AH213*(1-VLOOKUP($A214,[1]Hugst!$R$5:$W$9,MATCH(ROUNDUP((AI$1)/10,0)*10,[1]Hugst!$R$4:$W$4,0))))</f>
        <v>0</v>
      </c>
      <c r="AJ214">
        <f>IF($C214-AJ$1&lt;År1,0,AI213*(1-VLOOKUP($A214,[1]Hugst!$R$5:$W$9,MATCH(ROUNDUP((AJ$1)/10,0)*10,[1]Hugst!$R$4:$W$4,0))))</f>
        <v>0</v>
      </c>
    </row>
    <row r="215" spans="1:36" x14ac:dyDescent="0.25">
      <c r="A215" t="s">
        <v>179</v>
      </c>
      <c r="B215" t="s">
        <v>23</v>
      </c>
      <c r="C215">
        <v>2047</v>
      </c>
      <c r="D215" cm="1">
        <f t="array" ref="D215">(IF(B215="Vestdanmark",Skovbrug!$C$22-(Skovbrug!$C$22)*(1-Skovbrug!$C$9)^(C215-Skovbrug!$B$12),Skovbrug!$F$22-(Skovbrug!$F$22)*(1-Skovbrug!$C$9)^(C215-Skovbrug!$B$12)))*VLOOKUP(A215,Skovbrug!$A$13:$D$17,IF('Skovbrug-alder'!C215&lt;=År2,3,4),FALSE)
-IF(C215&gt;2020,SUM(INDEX($C$1:$D$311,MATCH(1,(2020=$C$1:$C$311)*(B215=$B$1:$B$311)*(A215=$A$1:$A$311),0),2):D214),0)</f>
        <v>854.98671656979423</v>
      </c>
      <c r="E215">
        <f t="shared" ca="1" si="4"/>
        <v>138.24176024523331</v>
      </c>
      <c r="F215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3434.895143481695</v>
      </c>
      <c r="G215">
        <f ca="1">IF($C215-G$1&lt;År1,0,F214*(1-VLOOKUP($A215,[1]Hugst!$R$5:$W$9,MATCH(ROUNDUP((G$1)/10,0)*10,[1]Hugst!$R$4:$W$4,0))))</f>
        <v>3437.0458192620495</v>
      </c>
      <c r="H215">
        <f ca="1">IF($C215-H$1&lt;År1,0,G214*(1-VLOOKUP($A215,[1]Hugst!$R$5:$W$9,MATCH(ROUNDUP((H$1)/10,0)*10,[1]Hugst!$R$4:$W$4,0))))</f>
        <v>3439.2398145523471</v>
      </c>
      <c r="I215">
        <f ca="1">IF($C215-I$1&lt;År1,0,H214*(1-VLOOKUP($A215,[1]Hugst!$R$5:$W$9,MATCH(ROUNDUP((I$1)/10,0)*10,[1]Hugst!$R$4:$W$4,0))))</f>
        <v>3441.4773510485315</v>
      </c>
      <c r="J215">
        <f ca="1">IF($C215-J$1&lt;År1,0,I214*(1-VLOOKUP($A215,[1]Hugst!$R$5:$W$9,MATCH(ROUNDUP((J$1)/10,0)*10,[1]Hugst!$R$4:$W$4,0))))</f>
        <v>3443.7586514382451</v>
      </c>
      <c r="K215">
        <f ca="1">IF($C215-K$1&lt;År1,0,J214*(1-VLOOKUP($A215,[1]Hugst!$R$5:$W$9,MATCH(ROUNDUP((K$1)/10,0)*10,[1]Hugst!$R$4:$W$4,0))))</f>
        <v>3446.0839394059653</v>
      </c>
      <c r="L215">
        <f ca="1">IF($C215-L$1&lt;År1,0,K214*(1-VLOOKUP($A215,[1]Hugst!$R$5:$W$9,MATCH(ROUNDUP((L$1)/10,0)*10,[1]Hugst!$R$4:$W$4,0))))</f>
        <v>3448.4534396371851</v>
      </c>
      <c r="M215">
        <f ca="1">IF($C215-M$1&lt;År1,0,L214*(1-VLOOKUP($A215,[1]Hugst!$R$5:$W$9,MATCH(ROUNDUP((M$1)/10,0)*10,[1]Hugst!$R$4:$W$4,0))))</f>
        <v>3450.8673778227417</v>
      </c>
      <c r="N215">
        <f ca="1">IF($C215-N$1&lt;År1,0,M214*(1-VLOOKUP($A215,[1]Hugst!$R$5:$W$9,MATCH(ROUNDUP((N$1)/10,0)*10,[1]Hugst!$R$4:$W$4,0))))</f>
        <v>3448.9310783282303</v>
      </c>
      <c r="O215">
        <f ca="1">IF($C215-O$1&lt;År1,0,N214*(1-VLOOKUP($A215,[1]Hugst!$R$5:$W$9,MATCH(ROUNDUP((O$1)/10,0)*10,[1]Hugst!$R$4:$W$4,0))))</f>
        <v>3441.8363491980886</v>
      </c>
      <c r="P215">
        <f ca="1">IF($C215-P$1&lt;År1,0,O214*(1-VLOOKUP($A215,[1]Hugst!$R$5:$W$9,MATCH(ROUNDUP((P$1)/10,0)*10,[1]Hugst!$R$4:$W$4,0))))</f>
        <v>3427.1886549096785</v>
      </c>
      <c r="Q215">
        <f ca="1">IF($C215-Q$1&lt;År1,0,P214*(1-VLOOKUP($A215,[1]Hugst!$R$5:$W$9,MATCH(ROUNDUP((Q$1)/10,0)*10,[1]Hugst!$R$4:$W$4,0))))</f>
        <v>3412.5754059034389</v>
      </c>
      <c r="R215">
        <f ca="1">IF($C215-R$1&lt;År1,0,Q214*(1-VLOOKUP($A215,[1]Hugst!$R$5:$W$9,MATCH(ROUNDUP((R$1)/10,0)*10,[1]Hugst!$R$4:$W$4,0))))</f>
        <v>3397.996533028293</v>
      </c>
      <c r="S215">
        <f ca="1">IF($C215-S$1&lt;År1,0,R214*(1-VLOOKUP($A215,[1]Hugst!$R$5:$W$9,MATCH(ROUNDUP((S$1)/10,0)*10,[1]Hugst!$R$4:$W$4,0))))</f>
        <v>3383.4519673031368</v>
      </c>
      <c r="T215">
        <f ca="1">IF($C215-T$1&lt;År1,0,S214*(1-VLOOKUP($A215,[1]Hugst!$R$5:$W$9,MATCH(ROUNDUP((T$1)/10,0)*10,[1]Hugst!$R$4:$W$4,0))))</f>
        <v>3368.9416399166576</v>
      </c>
      <c r="U215">
        <f ca="1">IF($C215-U$1&lt;År1,0,T214*(1-VLOOKUP($A215,[1]Hugst!$R$5:$W$9,MATCH(ROUNDUP((U$1)/10,0)*10,[1]Hugst!$R$4:$W$4,0))))</f>
        <v>3354.4654822268767</v>
      </c>
      <c r="V215">
        <f ca="1">IF($C215-V$1&lt;År1,0,U214*(1-VLOOKUP($A215,[1]Hugst!$R$5:$W$9,MATCH(ROUNDUP((V$1)/10,0)*10,[1]Hugst!$R$4:$W$4,0))))</f>
        <v>3340.0234257607385</v>
      </c>
      <c r="W215">
        <f ca="1">IF($C215-W$1&lt;År1,0,V214*(1-VLOOKUP($A215,[1]Hugst!$R$5:$W$9,MATCH(ROUNDUP((W$1)/10,0)*10,[1]Hugst!$R$4:$W$4,0))))</f>
        <v>5288.5289877025352</v>
      </c>
      <c r="X215">
        <f ca="1">IF($C215-X$1&lt;År1,0,W214*(1-VLOOKUP($A215,[1]Hugst!$R$5:$W$9,MATCH(ROUNDUP((X$1)/10,0)*10,[1]Hugst!$R$4:$W$4,0))))</f>
        <v>5269.8460942396932</v>
      </c>
      <c r="Y215">
        <f ca="1">IF($C215-Y$1&lt;År1,0,X214*(1-VLOOKUP($A215,[1]Hugst!$R$5:$W$9,MATCH(ROUNDUP((Y$1)/10,0)*10,[1]Hugst!$R$4:$W$4,0))))</f>
        <v>5262.8780253643636</v>
      </c>
      <c r="Z215">
        <f ca="1">IF($C215-Z$1&lt;År1,0,Y214*(1-VLOOKUP($A215,[1]Hugst!$R$5:$W$9,MATCH(ROUNDUP((Z$1)/10,0)*10,[1]Hugst!$R$4:$W$4,0))))</f>
        <v>5261.0772445954126</v>
      </c>
      <c r="AA215">
        <f ca="1">IF($C215-AA$1&lt;År1,0,Z214*(1-VLOOKUP($A215,[1]Hugst!$R$5:$W$9,MATCH(ROUNDUP((AA$1)/10,0)*10,[1]Hugst!$R$4:$W$4,0))))</f>
        <v>5259.2962035037244</v>
      </c>
      <c r="AB215">
        <f ca="1">IF($C215-AB$1&lt;År1,0,AA214*(1-VLOOKUP($A215,[1]Hugst!$R$5:$W$9,MATCH(ROUNDUP((AB$1)/10,0)*10,[1]Hugst!$R$4:$W$4,0))))</f>
        <v>5257.5349446731789</v>
      </c>
      <c r="AC215">
        <f ca="1">IF($C215-AC$1&lt;År1,0,AB214*(1-VLOOKUP($A215,[1]Hugst!$R$5:$W$9,MATCH(ROUNDUP((AC$1)/10,0)*10,[1]Hugst!$R$4:$W$4,0))))</f>
        <v>5255.7935108889988</v>
      </c>
      <c r="AD215">
        <f ca="1">IF($C215-AD$1&lt;År1,0,AC214*(1-VLOOKUP($A215,[1]Hugst!$R$5:$W$9,MATCH(ROUNDUP((AD$1)/10,0)*10,[1]Hugst!$R$4:$W$4,0))))</f>
        <v>5254.0719451384302</v>
      </c>
      <c r="AE215">
        <f ca="1">IF($C215-AE$1&lt;År1,0,AD214*(1-VLOOKUP($A215,[1]Hugst!$R$5:$W$9,MATCH(ROUNDUP((AE$1)/10,0)*10,[1]Hugst!$R$4:$W$4,0))))</f>
        <v>5252.3702906115095</v>
      </c>
      <c r="AF215">
        <f ca="1">IF($C215-AF$1&lt;År1,0,AE214*(1-VLOOKUP($A215,[1]Hugst!$R$5:$W$9,MATCH(ROUNDUP((AF$1)/10,0)*10,[1]Hugst!$R$4:$W$4,0))))</f>
        <v>5250.6885907017058</v>
      </c>
      <c r="AG215">
        <f ca="1">IF($C215-AG$1&lt;År1,0,AF214*(1-VLOOKUP($A215,[1]Hugst!$R$5:$W$9,MATCH(ROUNDUP((AG$1)/10,0)*10,[1]Hugst!$R$4:$W$4,0))))</f>
        <v>5249.026889006831</v>
      </c>
      <c r="AH215">
        <f>IF($C215-AH$1&lt;År1,0,AG214*(1-VLOOKUP($A215,[1]Hugst!$R$5:$W$9,MATCH(ROUNDUP((AH$1)/10,0)*10,[1]Hugst!$R$4:$W$4,0))))</f>
        <v>0</v>
      </c>
      <c r="AI215">
        <f>IF($C215-AI$1&lt;År1,0,AH214*(1-VLOOKUP($A215,[1]Hugst!$R$5:$W$9,MATCH(ROUNDUP((AI$1)/10,0)*10,[1]Hugst!$R$4:$W$4,0))))</f>
        <v>0</v>
      </c>
      <c r="AJ215">
        <f>IF($C215-AJ$1&lt;År1,0,AI214*(1-VLOOKUP($A215,[1]Hugst!$R$5:$W$9,MATCH(ROUNDUP((AJ$1)/10,0)*10,[1]Hugst!$R$4:$W$4,0))))</f>
        <v>0</v>
      </c>
    </row>
    <row r="216" spans="1:36" x14ac:dyDescent="0.25">
      <c r="A216" t="s">
        <v>179</v>
      </c>
      <c r="B216" t="s">
        <v>23</v>
      </c>
      <c r="C216">
        <v>2048</v>
      </c>
      <c r="D216" cm="1">
        <f t="array" ref="D216">(IF(B216="Vestdanmark",Skovbrug!$C$22-(Skovbrug!$C$22)*(1-Skovbrug!$C$9)^(C216-Skovbrug!$B$12),Skovbrug!$F$22-(Skovbrug!$F$22)*(1-Skovbrug!$C$9)^(C216-Skovbrug!$B$12)))*VLOOKUP(A216,Skovbrug!$A$13:$D$17,IF('Skovbrug-alder'!C216&lt;=År2,3,4),FALSE)
-IF(C216&gt;2020,SUM(INDEX($C$1:$D$311,MATCH(1,(2020=$C$1:$C$311)*(B216=$B$1:$B$311)*(A216=$A$1:$A$311),0),2):D215),0)</f>
        <v>850.71178298697123</v>
      </c>
      <c r="E216">
        <f t="shared" ca="1" si="4"/>
        <v>140.40911684978346</v>
      </c>
      <c r="F216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3432.7875665034221</v>
      </c>
      <c r="G216">
        <f ca="1">IF($C216-G$1&lt;År1,0,F215*(1-VLOOKUP($A216,[1]Hugst!$R$5:$W$9,MATCH(ROUNDUP((G$1)/10,0)*10,[1]Hugst!$R$4:$W$4,0))))</f>
        <v>3434.895143481695</v>
      </c>
      <c r="H216">
        <f ca="1">IF($C216-H$1&lt;År1,0,G215*(1-VLOOKUP($A216,[1]Hugst!$R$5:$W$9,MATCH(ROUNDUP((H$1)/10,0)*10,[1]Hugst!$R$4:$W$4,0))))</f>
        <v>3437.0458192620495</v>
      </c>
      <c r="I216">
        <f ca="1">IF($C216-I$1&lt;År1,0,H215*(1-VLOOKUP($A216,[1]Hugst!$R$5:$W$9,MATCH(ROUNDUP((I$1)/10,0)*10,[1]Hugst!$R$4:$W$4,0))))</f>
        <v>3439.2398145523471</v>
      </c>
      <c r="J216">
        <f ca="1">IF($C216-J$1&lt;År1,0,I215*(1-VLOOKUP($A216,[1]Hugst!$R$5:$W$9,MATCH(ROUNDUP((J$1)/10,0)*10,[1]Hugst!$R$4:$W$4,0))))</f>
        <v>3441.4773510485315</v>
      </c>
      <c r="K216">
        <f ca="1">IF($C216-K$1&lt;År1,0,J215*(1-VLOOKUP($A216,[1]Hugst!$R$5:$W$9,MATCH(ROUNDUP((K$1)/10,0)*10,[1]Hugst!$R$4:$W$4,0))))</f>
        <v>3443.7586514382451</v>
      </c>
      <c r="L216">
        <f ca="1">IF($C216-L$1&lt;År1,0,K215*(1-VLOOKUP($A216,[1]Hugst!$R$5:$W$9,MATCH(ROUNDUP((L$1)/10,0)*10,[1]Hugst!$R$4:$W$4,0))))</f>
        <v>3446.0839394059653</v>
      </c>
      <c r="M216">
        <f ca="1">IF($C216-M$1&lt;År1,0,L215*(1-VLOOKUP($A216,[1]Hugst!$R$5:$W$9,MATCH(ROUNDUP((M$1)/10,0)*10,[1]Hugst!$R$4:$W$4,0))))</f>
        <v>3448.4534396371851</v>
      </c>
      <c r="N216">
        <f ca="1">IF($C216-N$1&lt;År1,0,M215*(1-VLOOKUP($A216,[1]Hugst!$R$5:$W$9,MATCH(ROUNDUP((N$1)/10,0)*10,[1]Hugst!$R$4:$W$4,0))))</f>
        <v>3450.8673778227417</v>
      </c>
      <c r="O216">
        <f ca="1">IF($C216-O$1&lt;År1,0,N215*(1-VLOOKUP($A216,[1]Hugst!$R$5:$W$9,MATCH(ROUNDUP((O$1)/10,0)*10,[1]Hugst!$R$4:$W$4,0))))</f>
        <v>3448.9310783282303</v>
      </c>
      <c r="P216">
        <f ca="1">IF($C216-P$1&lt;År1,0,O215*(1-VLOOKUP($A216,[1]Hugst!$R$5:$W$9,MATCH(ROUNDUP((P$1)/10,0)*10,[1]Hugst!$R$4:$W$4,0))))</f>
        <v>3434.2810986754585</v>
      </c>
      <c r="Q216">
        <f ca="1">IF($C216-Q$1&lt;År1,0,P215*(1-VLOOKUP($A216,[1]Hugst!$R$5:$W$9,MATCH(ROUNDUP((Q$1)/10,0)*10,[1]Hugst!$R$4:$W$4,0))))</f>
        <v>3419.6655578623158</v>
      </c>
      <c r="R216">
        <f ca="1">IF($C216-R$1&lt;År1,0,Q215*(1-VLOOKUP($A216,[1]Hugst!$R$5:$W$9,MATCH(ROUNDUP((R$1)/10,0)*10,[1]Hugst!$R$4:$W$4,0))))</f>
        <v>3405.0843867197482</v>
      </c>
      <c r="S216">
        <f ca="1">IF($C216-S$1&lt;År1,0,R215*(1-VLOOKUP($A216,[1]Hugst!$R$5:$W$9,MATCH(ROUNDUP((S$1)/10,0)*10,[1]Hugst!$R$4:$W$4,0))))</f>
        <v>3390.5375162484747</v>
      </c>
      <c r="T216">
        <f ca="1">IF($C216-T$1&lt;År1,0,S215*(1-VLOOKUP($A216,[1]Hugst!$R$5:$W$9,MATCH(ROUNDUP((T$1)/10,0)*10,[1]Hugst!$R$4:$W$4,0))))</f>
        <v>3376.0248776188128</v>
      </c>
      <c r="U216">
        <f ca="1">IF($C216-U$1&lt;År1,0,T215*(1-VLOOKUP($A216,[1]Hugst!$R$5:$W$9,MATCH(ROUNDUP((U$1)/10,0)*10,[1]Hugst!$R$4:$W$4,0))))</f>
        <v>3361.5464021704988</v>
      </c>
      <c r="V216">
        <f ca="1">IF($C216-V$1&lt;År1,0,U215*(1-VLOOKUP($A216,[1]Hugst!$R$5:$W$9,MATCH(ROUNDUP((V$1)/10,0)*10,[1]Hugst!$R$4:$W$4,0))))</f>
        <v>3347.1020214122323</v>
      </c>
      <c r="W216">
        <f ca="1">IF($C216-W$1&lt;År1,0,V215*(1-VLOOKUP($A216,[1]Hugst!$R$5:$W$9,MATCH(ROUNDUP((W$1)/10,0)*10,[1]Hugst!$R$4:$W$4,0))))</f>
        <v>3332.6916670212636</v>
      </c>
      <c r="X216">
        <f ca="1">IF($C216-X$1&lt;År1,0,W215*(1-VLOOKUP($A216,[1]Hugst!$R$5:$W$9,MATCH(ROUNDUP((X$1)/10,0)*10,[1]Hugst!$R$4:$W$4,0))))</f>
        <v>5276.9200216319687</v>
      </c>
      <c r="Y216">
        <f ca="1">IF($C216-Y$1&lt;År1,0,X215*(1-VLOOKUP($A216,[1]Hugst!$R$5:$W$9,MATCH(ROUNDUP((Y$1)/10,0)*10,[1]Hugst!$R$4:$W$4,0))))</f>
        <v>5258.2781393986788</v>
      </c>
      <c r="Z216">
        <f ca="1">IF($C216-Z$1&lt;År1,0,Y215*(1-VLOOKUP($A216,[1]Hugst!$R$5:$W$9,MATCH(ROUNDUP((Z$1)/10,0)*10,[1]Hugst!$R$4:$W$4,0))))</f>
        <v>5256.459881430992</v>
      </c>
      <c r="AA216">
        <f ca="1">IF($C216-AA$1&lt;År1,0,Z215*(1-VLOOKUP($A216,[1]Hugst!$R$5:$W$9,MATCH(ROUNDUP((AA$1)/10,0)*10,[1]Hugst!$R$4:$W$4,0))))</f>
        <v>5254.6612967361498</v>
      </c>
      <c r="AB216">
        <f ca="1">IF($C216-AB$1&lt;År1,0,AA215*(1-VLOOKUP($A216,[1]Hugst!$R$5:$W$9,MATCH(ROUNDUP((AB$1)/10,0)*10,[1]Hugst!$R$4:$W$4,0))))</f>
        <v>5252.8824276457926</v>
      </c>
      <c r="AC216">
        <f ca="1">IF($C216-AC$1&lt;År1,0,AB215*(1-VLOOKUP($A216,[1]Hugst!$R$5:$W$9,MATCH(ROUNDUP((AC$1)/10,0)*10,[1]Hugst!$R$4:$W$4,0))))</f>
        <v>5251.1233166918701</v>
      </c>
      <c r="AD216">
        <f ca="1">IF($C216-AD$1&lt;År1,0,AC215*(1-VLOOKUP($A216,[1]Hugst!$R$5:$W$9,MATCH(ROUNDUP((AD$1)/10,0)*10,[1]Hugst!$R$4:$W$4,0))))</f>
        <v>5249.3840066074272</v>
      </c>
      <c r="AE216">
        <f ca="1">IF($C216-AE$1&lt;År1,0,AD215*(1-VLOOKUP($A216,[1]Hugst!$R$5:$W$9,MATCH(ROUNDUP((AE$1)/10,0)*10,[1]Hugst!$R$4:$W$4,0))))</f>
        <v>5247.664540327286</v>
      </c>
      <c r="AF216">
        <f ca="1">IF($C216-AF$1&lt;År1,0,AE215*(1-VLOOKUP($A216,[1]Hugst!$R$5:$W$9,MATCH(ROUNDUP((AF$1)/10,0)*10,[1]Hugst!$R$4:$W$4,0))))</f>
        <v>5245.9649609888129</v>
      </c>
      <c r="AG216">
        <f ca="1">IF($C216-AG$1&lt;År1,0,AF215*(1-VLOOKUP($A216,[1]Hugst!$R$5:$W$9,MATCH(ROUNDUP((AG$1)/10,0)*10,[1]Hugst!$R$4:$W$4,0))))</f>
        <v>5244.2853119325573</v>
      </c>
      <c r="AH216">
        <f ca="1">IF($C216-AH$1&lt;År1,0,AG215*(1-VLOOKUP($A216,[1]Hugst!$R$5:$W$9,MATCH(ROUNDUP((AH$1)/10,0)*10,[1]Hugst!$R$4:$W$4,0))))</f>
        <v>5242.6256367031638</v>
      </c>
      <c r="AI216">
        <f>IF($C216-AI$1&lt;År1,0,AH215*(1-VLOOKUP($A216,[1]Hugst!$R$5:$W$9,MATCH(ROUNDUP((AI$1)/10,0)*10,[1]Hugst!$R$4:$W$4,0))))</f>
        <v>0</v>
      </c>
      <c r="AJ216">
        <f>IF($C216-AJ$1&lt;År1,0,AI215*(1-VLOOKUP($A216,[1]Hugst!$R$5:$W$9,MATCH(ROUNDUP((AJ$1)/10,0)*10,[1]Hugst!$R$4:$W$4,0))))</f>
        <v>0</v>
      </c>
    </row>
    <row r="217" spans="1:36" x14ac:dyDescent="0.25">
      <c r="A217" t="s">
        <v>179</v>
      </c>
      <c r="B217" t="s">
        <v>23</v>
      </c>
      <c r="C217">
        <v>2049</v>
      </c>
      <c r="D217" cm="1">
        <f t="array" ref="D217">(IF(B217="Vestdanmark",Skovbrug!$C$22-(Skovbrug!$C$22)*(1-Skovbrug!$C$9)^(C217-Skovbrug!$B$12),Skovbrug!$F$22-(Skovbrug!$F$22)*(1-Skovbrug!$C$9)^(C217-Skovbrug!$B$12)))*VLOOKUP(A217,Skovbrug!$A$13:$D$17,IF('Skovbrug-alder'!C217&lt;=År2,3,4),FALSE)
-IF(C217&gt;2020,SUM(INDEX($C$1:$D$311,MATCH(1,(2020=$C$1:$C$311)*(B217=$B$1:$B$311)*(A217=$A$1:$A$311),0),2):D216),0)</f>
        <v>846.45822407204105</v>
      </c>
      <c r="E217">
        <f t="shared" ca="1" si="4"/>
        <v>142.59797786378476</v>
      </c>
      <c r="F217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3430.7228686024932</v>
      </c>
      <c r="G217">
        <f ca="1">IF($C217-G$1&lt;År1,0,F216*(1-VLOOKUP($A217,[1]Hugst!$R$5:$W$9,MATCH(ROUNDUP((G$1)/10,0)*10,[1]Hugst!$R$4:$W$4,0))))</f>
        <v>3432.7875665034221</v>
      </c>
      <c r="H217">
        <f ca="1">IF($C217-H$1&lt;År1,0,G216*(1-VLOOKUP($A217,[1]Hugst!$R$5:$W$9,MATCH(ROUNDUP((H$1)/10,0)*10,[1]Hugst!$R$4:$W$4,0))))</f>
        <v>3434.895143481695</v>
      </c>
      <c r="I217">
        <f ca="1">IF($C217-I$1&lt;År1,0,H216*(1-VLOOKUP($A217,[1]Hugst!$R$5:$W$9,MATCH(ROUNDUP((I$1)/10,0)*10,[1]Hugst!$R$4:$W$4,0))))</f>
        <v>3437.0458192620495</v>
      </c>
      <c r="J217">
        <f ca="1">IF($C217-J$1&lt;År1,0,I216*(1-VLOOKUP($A217,[1]Hugst!$R$5:$W$9,MATCH(ROUNDUP((J$1)/10,0)*10,[1]Hugst!$R$4:$W$4,0))))</f>
        <v>3439.2398145523471</v>
      </c>
      <c r="K217">
        <f ca="1">IF($C217-K$1&lt;År1,0,J216*(1-VLOOKUP($A217,[1]Hugst!$R$5:$W$9,MATCH(ROUNDUP((K$1)/10,0)*10,[1]Hugst!$R$4:$W$4,0))))</f>
        <v>3441.4773510485315</v>
      </c>
      <c r="L217">
        <f ca="1">IF($C217-L$1&lt;År1,0,K216*(1-VLOOKUP($A217,[1]Hugst!$R$5:$W$9,MATCH(ROUNDUP((L$1)/10,0)*10,[1]Hugst!$R$4:$W$4,0))))</f>
        <v>3443.7586514382451</v>
      </c>
      <c r="M217">
        <f ca="1">IF($C217-M$1&lt;År1,0,L216*(1-VLOOKUP($A217,[1]Hugst!$R$5:$W$9,MATCH(ROUNDUP((M$1)/10,0)*10,[1]Hugst!$R$4:$W$4,0))))</f>
        <v>3446.0839394059653</v>
      </c>
      <c r="N217">
        <f ca="1">IF($C217-N$1&lt;År1,0,M216*(1-VLOOKUP($A217,[1]Hugst!$R$5:$W$9,MATCH(ROUNDUP((N$1)/10,0)*10,[1]Hugst!$R$4:$W$4,0))))</f>
        <v>3448.4534396371851</v>
      </c>
      <c r="O217">
        <f ca="1">IF($C217-O$1&lt;År1,0,N216*(1-VLOOKUP($A217,[1]Hugst!$R$5:$W$9,MATCH(ROUNDUP((O$1)/10,0)*10,[1]Hugst!$R$4:$W$4,0))))</f>
        <v>3450.8673778227417</v>
      </c>
      <c r="P217">
        <f ca="1">IF($C217-P$1&lt;År1,0,O216*(1-VLOOKUP($A217,[1]Hugst!$R$5:$W$9,MATCH(ROUNDUP((P$1)/10,0)*10,[1]Hugst!$R$4:$W$4,0))))</f>
        <v>3441.3602540099487</v>
      </c>
      <c r="Q217">
        <f ca="1">IF($C217-Q$1&lt;År1,0,P216*(1-VLOOKUP($A217,[1]Hugst!$R$5:$W$9,MATCH(ROUNDUP((Q$1)/10,0)*10,[1]Hugst!$R$4:$W$4,0))))</f>
        <v>3426.7424328490979</v>
      </c>
      <c r="R217">
        <f ca="1">IF($C217-R$1&lt;År1,0,Q216*(1-VLOOKUP($A217,[1]Hugst!$R$5:$W$9,MATCH(ROUNDUP((R$1)/10,0)*10,[1]Hugst!$R$4:$W$4,0))))</f>
        <v>3412.158974930423</v>
      </c>
      <c r="S217">
        <f ca="1">IF($C217-S$1&lt;År1,0,R216*(1-VLOOKUP($A217,[1]Hugst!$R$5:$W$9,MATCH(ROUNDUP((S$1)/10,0)*10,[1]Hugst!$R$4:$W$4,0))))</f>
        <v>3397.6098112367049</v>
      </c>
      <c r="T217">
        <f ca="1">IF($C217-T$1&lt;År1,0,S216*(1-VLOOKUP($A217,[1]Hugst!$R$5:$W$9,MATCH(ROUNDUP((T$1)/10,0)*10,[1]Hugst!$R$4:$W$4,0))))</f>
        <v>3383.0948729201245</v>
      </c>
      <c r="U217">
        <f ca="1">IF($C217-U$1&lt;År1,0,T216*(1-VLOOKUP($A217,[1]Hugst!$R$5:$W$9,MATCH(ROUNDUP((U$1)/10,0)*10,[1]Hugst!$R$4:$W$4,0))))</f>
        <v>3368.6140913020886</v>
      </c>
      <c r="V217">
        <f ca="1">IF($C217-V$1&lt;År1,0,U216*(1-VLOOKUP($A217,[1]Hugst!$R$5:$W$9,MATCH(ROUNDUP((V$1)/10,0)*10,[1]Hugst!$R$4:$W$4,0))))</f>
        <v>3354.1673978730514</v>
      </c>
      <c r="W217">
        <f ca="1">IF($C217-W$1&lt;År1,0,V216*(1-VLOOKUP($A217,[1]Hugst!$R$5:$W$9,MATCH(ROUNDUP((W$1)/10,0)*10,[1]Hugst!$R$4:$W$4,0))))</f>
        <v>3339.7547242920591</v>
      </c>
      <c r="X217">
        <f ca="1">IF($C217-X$1&lt;År1,0,W216*(1-VLOOKUP($A217,[1]Hugst!$R$5:$W$9,MATCH(ROUNDUP((X$1)/10,0)*10,[1]Hugst!$R$4:$W$4,0))))</f>
        <v>3325.3760023863388</v>
      </c>
      <c r="Y217">
        <f ca="1">IF($C217-Y$1&lt;År1,0,X216*(1-VLOOKUP($A217,[1]Hugst!$R$5:$W$9,MATCH(ROUNDUP((Y$1)/10,0)*10,[1]Hugst!$R$4:$W$4,0))))</f>
        <v>5265.3365386576543</v>
      </c>
      <c r="Z217">
        <f ca="1">IF($C217-Z$1&lt;År1,0,Y216*(1-VLOOKUP($A217,[1]Hugst!$R$5:$W$9,MATCH(ROUNDUP((Z$1)/10,0)*10,[1]Hugst!$R$4:$W$4,0))))</f>
        <v>5251.8656050823392</v>
      </c>
      <c r="AA217">
        <f ca="1">IF($C217-AA$1&lt;År1,0,Z216*(1-VLOOKUP($A217,[1]Hugst!$R$5:$W$9,MATCH(ROUNDUP((AA$1)/10,0)*10,[1]Hugst!$R$4:$W$4,0))))</f>
        <v>5250.0495645024175</v>
      </c>
      <c r="AB217">
        <f ca="1">IF($C217-AB$1&lt;År1,0,AA216*(1-VLOOKUP($A217,[1]Hugst!$R$5:$W$9,MATCH(ROUNDUP((AB$1)/10,0)*10,[1]Hugst!$R$4:$W$4,0))))</f>
        <v>5248.253173203545</v>
      </c>
      <c r="AC217">
        <f ca="1">IF($C217-AC$1&lt;År1,0,AB216*(1-VLOOKUP($A217,[1]Hugst!$R$5:$W$9,MATCH(ROUNDUP((AC$1)/10,0)*10,[1]Hugst!$R$4:$W$4,0))))</f>
        <v>5246.4764734657365</v>
      </c>
      <c r="AD217">
        <f ca="1">IF($C217-AD$1&lt;År1,0,AC216*(1-VLOOKUP($A217,[1]Hugst!$R$5:$W$9,MATCH(ROUNDUP((AD$1)/10,0)*10,[1]Hugst!$R$4:$W$4,0))))</f>
        <v>5244.7195077690749</v>
      </c>
      <c r="AE217">
        <f ca="1">IF($C217-AE$1&lt;År1,0,AD216*(1-VLOOKUP($A217,[1]Hugst!$R$5:$W$9,MATCH(ROUNDUP((AE$1)/10,0)*10,[1]Hugst!$R$4:$W$4,0))))</f>
        <v>5242.9823187944912</v>
      </c>
      <c r="AF217">
        <f ca="1">IF($C217-AF$1&lt;År1,0,AE216*(1-VLOOKUP($A217,[1]Hugst!$R$5:$W$9,MATCH(ROUNDUP((AF$1)/10,0)*10,[1]Hugst!$R$4:$W$4,0))))</f>
        <v>5241.2649494244479</v>
      </c>
      <c r="AG217">
        <f ca="1">IF($C217-AG$1&lt;År1,0,AF216*(1-VLOOKUP($A217,[1]Hugst!$R$5:$W$9,MATCH(ROUNDUP((AG$1)/10,0)*10,[1]Hugst!$R$4:$W$4,0))))</f>
        <v>5239.5674427437043</v>
      </c>
      <c r="AH217">
        <f ca="1">IF($C217-AH$1&lt;År1,0,AG216*(1-VLOOKUP($A217,[1]Hugst!$R$5:$W$9,MATCH(ROUNDUP((AH$1)/10,0)*10,[1]Hugst!$R$4:$W$4,0))))</f>
        <v>5237.8898420399564</v>
      </c>
      <c r="AI217">
        <f ca="1">IF($C217-AI$1&lt;År1,0,AH216*(1-VLOOKUP($A217,[1]Hugst!$R$5:$W$9,MATCH(ROUNDUP((AI$1)/10,0)*10,[1]Hugst!$R$4:$W$4,0))))</f>
        <v>5236.2321908047452</v>
      </c>
      <c r="AJ217">
        <f>IF($C217-AJ$1&lt;År1,0,AI216*(1-VLOOKUP($A217,[1]Hugst!$R$5:$W$9,MATCH(ROUNDUP((AJ$1)/10,0)*10,[1]Hugst!$R$4:$W$4,0))))</f>
        <v>0</v>
      </c>
    </row>
    <row r="218" spans="1:36" x14ac:dyDescent="0.25">
      <c r="A218" t="s">
        <v>179</v>
      </c>
      <c r="B218" t="s">
        <v>23</v>
      </c>
      <c r="C218">
        <v>2050</v>
      </c>
      <c r="D218" cm="1">
        <f t="array" ref="D218">(IF(B218="Vestdanmark",Skovbrug!$C$22-(Skovbrug!$C$22)*(1-Skovbrug!$C$9)^(C218-Skovbrug!$B$12),Skovbrug!$F$22-(Skovbrug!$F$22)*(1-Skovbrug!$C$9)^(C218-Skovbrug!$B$12)))*VLOOKUP(A218,Skovbrug!$A$13:$D$17,IF('Skovbrug-alder'!C218&lt;=År2,3,4),FALSE)
-IF(C218&gt;2020,SUM(INDEX($C$1:$D$311,MATCH(1,(2020=$C$1:$C$311)*(B218=$B$1:$B$311)*(A218=$A$1:$A$311),0),2):D217),0)</f>
        <v>842.22593295169281</v>
      </c>
      <c r="E218">
        <f t="shared" ca="1" si="4"/>
        <v>141.91204367308819</v>
      </c>
      <c r="F21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3425.8046432914484</v>
      </c>
      <c r="G218">
        <f ca="1">IF($C218-G$1&lt;År1,0,F217*(1-VLOOKUP($A218,[1]Hugst!$R$5:$W$9,MATCH(ROUNDUP((G$1)/10,0)*10,[1]Hugst!$R$4:$W$4,0))))</f>
        <v>3430.7228686024932</v>
      </c>
      <c r="H218">
        <f ca="1">IF($C218-H$1&lt;År1,0,G217*(1-VLOOKUP($A218,[1]Hugst!$R$5:$W$9,MATCH(ROUNDUP((H$1)/10,0)*10,[1]Hugst!$R$4:$W$4,0))))</f>
        <v>3432.7875665034221</v>
      </c>
      <c r="I218">
        <f ca="1">IF($C218-I$1&lt;År1,0,H217*(1-VLOOKUP($A218,[1]Hugst!$R$5:$W$9,MATCH(ROUNDUP((I$1)/10,0)*10,[1]Hugst!$R$4:$W$4,0))))</f>
        <v>3434.895143481695</v>
      </c>
      <c r="J218">
        <f ca="1">IF($C218-J$1&lt;År1,0,I217*(1-VLOOKUP($A218,[1]Hugst!$R$5:$W$9,MATCH(ROUNDUP((J$1)/10,0)*10,[1]Hugst!$R$4:$W$4,0))))</f>
        <v>3437.0458192620495</v>
      </c>
      <c r="K218">
        <f ca="1">IF($C218-K$1&lt;År1,0,J217*(1-VLOOKUP($A218,[1]Hugst!$R$5:$W$9,MATCH(ROUNDUP((K$1)/10,0)*10,[1]Hugst!$R$4:$W$4,0))))</f>
        <v>3439.2398145523471</v>
      </c>
      <c r="L218">
        <f ca="1">IF($C218-L$1&lt;År1,0,K217*(1-VLOOKUP($A218,[1]Hugst!$R$5:$W$9,MATCH(ROUNDUP((L$1)/10,0)*10,[1]Hugst!$R$4:$W$4,0))))</f>
        <v>3441.4773510485315</v>
      </c>
      <c r="M218">
        <f ca="1">IF($C218-M$1&lt;År1,0,L217*(1-VLOOKUP($A218,[1]Hugst!$R$5:$W$9,MATCH(ROUNDUP((M$1)/10,0)*10,[1]Hugst!$R$4:$W$4,0))))</f>
        <v>3443.7586514382451</v>
      </c>
      <c r="N218">
        <f ca="1">IF($C218-N$1&lt;År1,0,M217*(1-VLOOKUP($A218,[1]Hugst!$R$5:$W$9,MATCH(ROUNDUP((N$1)/10,0)*10,[1]Hugst!$R$4:$W$4,0))))</f>
        <v>3446.0839394059653</v>
      </c>
      <c r="O218">
        <f ca="1">IF($C218-O$1&lt;År1,0,N217*(1-VLOOKUP($A218,[1]Hugst!$R$5:$W$9,MATCH(ROUNDUP((O$1)/10,0)*10,[1]Hugst!$R$4:$W$4,0))))</f>
        <v>3448.4534396371851</v>
      </c>
      <c r="P218">
        <f ca="1">IF($C218-P$1&lt;År1,0,O217*(1-VLOOKUP($A218,[1]Hugst!$R$5:$W$9,MATCH(ROUNDUP((P$1)/10,0)*10,[1]Hugst!$R$4:$W$4,0))))</f>
        <v>3443.2923030909355</v>
      </c>
      <c r="Q218">
        <f ca="1">IF($C218-Q$1&lt;År1,0,P217*(1-VLOOKUP($A218,[1]Hugst!$R$5:$W$9,MATCH(ROUNDUP((Q$1)/10,0)*10,[1]Hugst!$R$4:$W$4,0))))</f>
        <v>3433.8060485743172</v>
      </c>
      <c r="R218">
        <f ca="1">IF($C218-R$1&lt;År1,0,Q217*(1-VLOOKUP($A218,[1]Hugst!$R$5:$W$9,MATCH(ROUNDUP((R$1)/10,0)*10,[1]Hugst!$R$4:$W$4,0))))</f>
        <v>3419.2203153135756</v>
      </c>
      <c r="S218">
        <f ca="1">IF($C218-S$1&lt;År1,0,R217*(1-VLOOKUP($A218,[1]Hugst!$R$5:$W$9,MATCH(ROUNDUP((S$1)/10,0)*10,[1]Hugst!$R$4:$W$4,0))))</f>
        <v>3404.6688698635026</v>
      </c>
      <c r="T218">
        <f ca="1">IF($C218-T$1&lt;År1,0,S217*(1-VLOOKUP($A218,[1]Hugst!$R$5:$W$9,MATCH(ROUNDUP((T$1)/10,0)*10,[1]Hugst!$R$4:$W$4,0))))</f>
        <v>3390.1516433583806</v>
      </c>
      <c r="U218">
        <f ca="1">IF($C218-U$1&lt;År1,0,T217*(1-VLOOKUP($A218,[1]Hugst!$R$5:$W$9,MATCH(ROUNDUP((U$1)/10,0)*10,[1]Hugst!$R$4:$W$4,0))))</f>
        <v>3375.6685671015193</v>
      </c>
      <c r="V218">
        <f ca="1">IF($C218-V$1&lt;År1,0,U217*(1-VLOOKUP($A218,[1]Hugst!$R$5:$W$9,MATCH(ROUNDUP((V$1)/10,0)*10,[1]Hugst!$R$4:$W$4,0))))</f>
        <v>3361.219572565084</v>
      </c>
      <c r="W218">
        <f ca="1">IF($C218-W$1&lt;År1,0,V217*(1-VLOOKUP($A218,[1]Hugst!$R$5:$W$9,MATCH(ROUNDUP((W$1)/10,0)*10,[1]Hugst!$R$4:$W$4,0))))</f>
        <v>3346.8045913899155</v>
      </c>
      <c r="X218">
        <f ca="1">IF($C218-X$1&lt;År1,0,W217*(1-VLOOKUP($A218,[1]Hugst!$R$5:$W$9,MATCH(ROUNDUP((X$1)/10,0)*10,[1]Hugst!$R$4:$W$4,0))))</f>
        <v>3332.4235553850767</v>
      </c>
      <c r="Y218">
        <f ca="1">IF($C218-Y$1&lt;År1,0,X217*(1-VLOOKUP($A218,[1]Hugst!$R$5:$W$9,MATCH(ROUNDUP((Y$1)/10,0)*10,[1]Hugst!$R$4:$W$4,0))))</f>
        <v>3318.0763965274418</v>
      </c>
      <c r="Z218">
        <f ca="1">IF($C218-Z$1&lt;År1,0,Y217*(1-VLOOKUP($A218,[1]Hugst!$R$5:$W$9,MATCH(ROUNDUP((Z$1)/10,0)*10,[1]Hugst!$R$4:$W$4,0))))</f>
        <v>5258.9153965373398</v>
      </c>
      <c r="AA218">
        <f ca="1">IF($C218-AA$1&lt;År1,0,Z217*(1-VLOOKUP($A218,[1]Hugst!$R$5:$W$9,MATCH(ROUNDUP((AA$1)/10,0)*10,[1]Hugst!$R$4:$W$4,0))))</f>
        <v>5245.4608909297995</v>
      </c>
      <c r="AB218">
        <f ca="1">IF($C218-AB$1&lt;År1,0,AA217*(1-VLOOKUP($A218,[1]Hugst!$R$5:$W$9,MATCH(ROUNDUP((AB$1)/10,0)*10,[1]Hugst!$R$4:$W$4,0))))</f>
        <v>5243.6470650335123</v>
      </c>
      <c r="AC218">
        <f ca="1">IF($C218-AC$1&lt;År1,0,AB217*(1-VLOOKUP($A218,[1]Hugst!$R$5:$W$9,MATCH(ROUNDUP((AC$1)/10,0)*10,[1]Hugst!$R$4:$W$4,0))))</f>
        <v>5241.8528644557355</v>
      </c>
      <c r="AD218">
        <f ca="1">IF($C218-AD$1&lt;År1,0,AC217*(1-VLOOKUP($A218,[1]Hugst!$R$5:$W$9,MATCH(ROUNDUP((AD$1)/10,0)*10,[1]Hugst!$R$4:$W$4,0))))</f>
        <v>5240.0783314249247</v>
      </c>
      <c r="AE218">
        <f ca="1">IF($C218-AE$1&lt;År1,0,AD217*(1-VLOOKUP($A218,[1]Hugst!$R$5:$W$9,MATCH(ROUNDUP((AE$1)/10,0)*10,[1]Hugst!$R$4:$W$4,0))))</f>
        <v>5238.3235083693562</v>
      </c>
      <c r="AF218">
        <f ca="1">IF($C218-AF$1&lt;År1,0,AE217*(1-VLOOKUP($A218,[1]Hugst!$R$5:$W$9,MATCH(ROUNDUP((AF$1)/10,0)*10,[1]Hugst!$R$4:$W$4,0))))</f>
        <v>5236.5884379179124</v>
      </c>
      <c r="AG218">
        <f ca="1">IF($C218-AG$1&lt;År1,0,AF217*(1-VLOOKUP($A218,[1]Hugst!$R$5:$W$9,MATCH(ROUNDUP((AG$1)/10,0)*10,[1]Hugst!$R$4:$W$4,0))))</f>
        <v>5234.8731629007598</v>
      </c>
      <c r="AH218">
        <f ca="1">IF($C218-AH$1&lt;År1,0,AG217*(1-VLOOKUP($A218,[1]Hugst!$R$5:$W$9,MATCH(ROUNDUP((AH$1)/10,0)*10,[1]Hugst!$R$4:$W$4,0))))</f>
        <v>5233.1777263501144</v>
      </c>
      <c r="AI218">
        <f ca="1">IF($C218-AI$1&lt;År1,0,AH217*(1-VLOOKUP($A218,[1]Hugst!$R$5:$W$9,MATCH(ROUNDUP((AI$1)/10,0)*10,[1]Hugst!$R$4:$W$4,0))))</f>
        <v>5231.5021715008834</v>
      </c>
      <c r="AJ218">
        <f ca="1">IF($C218-AJ$1&lt;År1,0,AI217*(1-VLOOKUP($A218,[1]Hugst!$R$5:$W$9,MATCH(ROUNDUP((AJ$1)/10,0)*10,[1]Hugst!$R$4:$W$4,0))))</f>
        <v>5232.7200838474982</v>
      </c>
    </row>
    <row r="219" spans="1:36" x14ac:dyDescent="0.25">
      <c r="A219" t="s">
        <v>179</v>
      </c>
      <c r="B219" t="s">
        <v>24</v>
      </c>
      <c r="C219">
        <v>2020</v>
      </c>
      <c r="D219" cm="1">
        <f t="array" ref="D219">(IF(B219="Vestdanmark",Skovbrug!$C$22-(Skovbrug!$C$22)*(1-Skovbrug!$C$9)^(C219-Skovbrug!$B$12),Skovbrug!$F$22-(Skovbrug!$F$22)*(1-Skovbrug!$C$9)^(C219-Skovbrug!$B$12)))*VLOOKUP(A219,Skovbrug!$A$13:$D$17,IF('Skovbrug-alder'!C219&lt;=År2,3,4),FALSE)
-IF(C219&gt;2020,SUM(INDEX($C$1:$D$311,MATCH(1,(2020=$C$1:$C$311)*(B219=$B$1:$B$311)*(A219=$A$1:$A$311),0),2):D218),0)</f>
        <v>286.52732634810457</v>
      </c>
      <c r="E219">
        <f>IF(C219=2020,SUM(G219:AJ219),SUM(F218:AJ218)-SUM(G219:AJ219))</f>
        <v>0</v>
      </c>
      <c r="F21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960.76975059052859</v>
      </c>
      <c r="G219">
        <f>IF($C219-G$1&lt;År1,0,F218*(1-VLOOKUP($A219,[1]Hugst!$R$5:$W$9,MATCH(ROUNDUP((G$1)/10,0)*10,[1]Hugst!$R$4:$W$4,0))))</f>
        <v>0</v>
      </c>
      <c r="H219">
        <f>IF($C219-H$1&lt;År1,0,G218*(1-VLOOKUP($A219,[1]Hugst!$R$5:$W$9,MATCH(ROUNDUP((H$1)/10,0)*10,[1]Hugst!$R$4:$W$4,0))))</f>
        <v>0</v>
      </c>
      <c r="I219">
        <f>IF($C219-I$1&lt;År1,0,H218*(1-VLOOKUP($A219,[1]Hugst!$R$5:$W$9,MATCH(ROUNDUP((I$1)/10,0)*10,[1]Hugst!$R$4:$W$4,0))))</f>
        <v>0</v>
      </c>
      <c r="J219">
        <f>IF($C219-J$1&lt;År1,0,I218*(1-VLOOKUP($A219,[1]Hugst!$R$5:$W$9,MATCH(ROUNDUP((J$1)/10,0)*10,[1]Hugst!$R$4:$W$4,0))))</f>
        <v>0</v>
      </c>
      <c r="K219">
        <f>IF($C219-K$1&lt;År1,0,J218*(1-VLOOKUP($A219,[1]Hugst!$R$5:$W$9,MATCH(ROUNDUP((K$1)/10,0)*10,[1]Hugst!$R$4:$W$4,0))))</f>
        <v>0</v>
      </c>
      <c r="L219">
        <f>IF($C219-L$1&lt;År1,0,K218*(1-VLOOKUP($A219,[1]Hugst!$R$5:$W$9,MATCH(ROUNDUP((L$1)/10,0)*10,[1]Hugst!$R$4:$W$4,0))))</f>
        <v>0</v>
      </c>
      <c r="M219">
        <f>IF($C219-M$1&lt;År1,0,L218*(1-VLOOKUP($A219,[1]Hugst!$R$5:$W$9,MATCH(ROUNDUP((M$1)/10,0)*10,[1]Hugst!$R$4:$W$4,0))))</f>
        <v>0</v>
      </c>
      <c r="N219">
        <f>IF($C219-N$1&lt;År1,0,M218*(1-VLOOKUP($A219,[1]Hugst!$R$5:$W$9,MATCH(ROUNDUP((N$1)/10,0)*10,[1]Hugst!$R$4:$W$4,0))))</f>
        <v>0</v>
      </c>
      <c r="O219">
        <f>IF($C219-O$1&lt;År1,0,N218*(1-VLOOKUP($A219,[1]Hugst!$R$5:$W$9,MATCH(ROUNDUP((O$1)/10,0)*10,[1]Hugst!$R$4:$W$4,0))))</f>
        <v>0</v>
      </c>
      <c r="P219">
        <f>IF($C219-P$1&lt;År1,0,O218*(1-VLOOKUP($A219,[1]Hugst!$R$5:$W$9,MATCH(ROUNDUP((P$1)/10,0)*10,[1]Hugst!$R$4:$W$4,0))))</f>
        <v>0</v>
      </c>
      <c r="Q219">
        <f>IF($C219-Q$1&lt;År1,0,P218*(1-VLOOKUP($A219,[1]Hugst!$R$5:$W$9,MATCH(ROUNDUP((Q$1)/10,0)*10,[1]Hugst!$R$4:$W$4,0))))</f>
        <v>0</v>
      </c>
      <c r="R219">
        <f>IF($C219-R$1&lt;År1,0,Q218*(1-VLOOKUP($A219,[1]Hugst!$R$5:$W$9,MATCH(ROUNDUP((R$1)/10,0)*10,[1]Hugst!$R$4:$W$4,0))))</f>
        <v>0</v>
      </c>
      <c r="S219">
        <f>IF($C219-S$1&lt;År1,0,R218*(1-VLOOKUP($A219,[1]Hugst!$R$5:$W$9,MATCH(ROUNDUP((S$1)/10,0)*10,[1]Hugst!$R$4:$W$4,0))))</f>
        <v>0</v>
      </c>
      <c r="T219">
        <f>IF($C219-T$1&lt;År1,0,S218*(1-VLOOKUP($A219,[1]Hugst!$R$5:$W$9,MATCH(ROUNDUP((T$1)/10,0)*10,[1]Hugst!$R$4:$W$4,0))))</f>
        <v>0</v>
      </c>
      <c r="U219">
        <f>IF($C219-U$1&lt;År1,0,T218*(1-VLOOKUP($A219,[1]Hugst!$R$5:$W$9,MATCH(ROUNDUP((U$1)/10,0)*10,[1]Hugst!$R$4:$W$4,0))))</f>
        <v>0</v>
      </c>
      <c r="V219">
        <f>IF($C219-V$1&lt;År1,0,U218*(1-VLOOKUP($A219,[1]Hugst!$R$5:$W$9,MATCH(ROUNDUP((V$1)/10,0)*10,[1]Hugst!$R$4:$W$4,0))))</f>
        <v>0</v>
      </c>
      <c r="W219">
        <f>IF($C219-W$1&lt;År1,0,V218*(1-VLOOKUP($A219,[1]Hugst!$R$5:$W$9,MATCH(ROUNDUP((W$1)/10,0)*10,[1]Hugst!$R$4:$W$4,0))))</f>
        <v>0</v>
      </c>
      <c r="X219">
        <f>IF($C219-X$1&lt;År1,0,W218*(1-VLOOKUP($A219,[1]Hugst!$R$5:$W$9,MATCH(ROUNDUP((X$1)/10,0)*10,[1]Hugst!$R$4:$W$4,0))))</f>
        <v>0</v>
      </c>
      <c r="Y219">
        <f>IF($C219-Y$1&lt;År1,0,X218*(1-VLOOKUP($A219,[1]Hugst!$R$5:$W$9,MATCH(ROUNDUP((Y$1)/10,0)*10,[1]Hugst!$R$4:$W$4,0))))</f>
        <v>0</v>
      </c>
      <c r="Z219">
        <f>IF($C219-Z$1&lt;År1,0,Y218*(1-VLOOKUP($A219,[1]Hugst!$R$5:$W$9,MATCH(ROUNDUP((Z$1)/10,0)*10,[1]Hugst!$R$4:$W$4,0))))</f>
        <v>0</v>
      </c>
      <c r="AA219">
        <f>IF($C219-AA$1&lt;År1,0,Z218*(1-VLOOKUP($A219,[1]Hugst!$R$5:$W$9,MATCH(ROUNDUP((AA$1)/10,0)*10,[1]Hugst!$R$4:$W$4,0))))</f>
        <v>0</v>
      </c>
      <c r="AB219">
        <f>IF($C219-AB$1&lt;År1,0,AA218*(1-VLOOKUP($A219,[1]Hugst!$R$5:$W$9,MATCH(ROUNDUP((AB$1)/10,0)*10,[1]Hugst!$R$4:$W$4,0))))</f>
        <v>0</v>
      </c>
      <c r="AC219">
        <f>IF($C219-AC$1&lt;År1,0,AB218*(1-VLOOKUP($A219,[1]Hugst!$R$5:$W$9,MATCH(ROUNDUP((AC$1)/10,0)*10,[1]Hugst!$R$4:$W$4,0))))</f>
        <v>0</v>
      </c>
      <c r="AD219">
        <f>IF($C219-AD$1&lt;År1,0,AC218*(1-VLOOKUP($A219,[1]Hugst!$R$5:$W$9,MATCH(ROUNDUP((AD$1)/10,0)*10,[1]Hugst!$R$4:$W$4,0))))</f>
        <v>0</v>
      </c>
      <c r="AE219">
        <f>IF($C219-AE$1&lt;År1,0,AD218*(1-VLOOKUP($A219,[1]Hugst!$R$5:$W$9,MATCH(ROUNDUP((AE$1)/10,0)*10,[1]Hugst!$R$4:$W$4,0))))</f>
        <v>0</v>
      </c>
      <c r="AF219">
        <f>IF($C219-AF$1&lt;År1,0,AE218*(1-VLOOKUP($A219,[1]Hugst!$R$5:$W$9,MATCH(ROUNDUP((AF$1)/10,0)*10,[1]Hugst!$R$4:$W$4,0))))</f>
        <v>0</v>
      </c>
      <c r="AG219">
        <f>IF($C219-AG$1&lt;År1,0,AF218*(1-VLOOKUP($A219,[1]Hugst!$R$5:$W$9,MATCH(ROUNDUP((AG$1)/10,0)*10,[1]Hugst!$R$4:$W$4,0))))</f>
        <v>0</v>
      </c>
      <c r="AH219">
        <f>IF($C219-AH$1&lt;År1,0,AG218*(1-VLOOKUP($A219,[1]Hugst!$R$5:$W$9,MATCH(ROUNDUP((AH$1)/10,0)*10,[1]Hugst!$R$4:$W$4,0))))</f>
        <v>0</v>
      </c>
      <c r="AI219">
        <f>IF($C219-AI$1&lt;År1,0,AH218*(1-VLOOKUP($A219,[1]Hugst!$R$5:$W$9,MATCH(ROUNDUP((AI$1)/10,0)*10,[1]Hugst!$R$4:$W$4,0))))</f>
        <v>0</v>
      </c>
      <c r="AJ219">
        <f>IF($C219-AJ$1&lt;År1,0,AI218*(1-VLOOKUP($A219,[1]Hugst!$R$5:$W$9,MATCH(ROUNDUP((AJ$1)/10,0)*10,[1]Hugst!$R$4:$W$4,0))))</f>
        <v>0</v>
      </c>
    </row>
    <row r="220" spans="1:36" x14ac:dyDescent="0.25">
      <c r="A220" t="s">
        <v>179</v>
      </c>
      <c r="B220" t="s">
        <v>24</v>
      </c>
      <c r="C220">
        <v>2021</v>
      </c>
      <c r="D220" cm="1">
        <f t="array" ref="D220">(IF(B220="Vestdanmark",Skovbrug!$C$22-(Skovbrug!$C$22)*(1-Skovbrug!$C$9)^(C220-Skovbrug!$B$12),Skovbrug!$F$22-(Skovbrug!$F$22)*(1-Skovbrug!$C$9)^(C220-Skovbrug!$B$12)))*VLOOKUP(A220,Skovbrug!$A$13:$D$17,IF('Skovbrug-alder'!C220&lt;=År2,3,4),FALSE)
-IF(C220&gt;2020,SUM(INDEX($C$1:$D$311,MATCH(1,(2020=$C$1:$C$311)*(B220=$B$1:$B$311)*(A220=$A$1:$A$311),0),2):D219),0)</f>
        <v>285.09468971636375</v>
      </c>
      <c r="E220">
        <f t="shared" ref="E220:E248" ca="1" si="5">IF(C220=2020,SUM(G220:AJ220),SUM(F219:AJ219)-SUM(G220:AJ220))</f>
        <v>0</v>
      </c>
      <c r="F220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959.33711395878777</v>
      </c>
      <c r="G220">
        <f ca="1">IF($C220-G$1&lt;År1,0,F219*(1-VLOOKUP($A220,[1]Hugst!$R$5:$W$9,MATCH(ROUNDUP((G$1)/10,0)*10,[1]Hugst!$R$4:$W$4,0))))</f>
        <v>960.76975059052859</v>
      </c>
      <c r="H220">
        <f>IF($C220-H$1&lt;År1,0,G219*(1-VLOOKUP($A220,[1]Hugst!$R$5:$W$9,MATCH(ROUNDUP((H$1)/10,0)*10,[1]Hugst!$R$4:$W$4,0))))</f>
        <v>0</v>
      </c>
      <c r="I220">
        <f>IF($C220-I$1&lt;År1,0,H219*(1-VLOOKUP($A220,[1]Hugst!$R$5:$W$9,MATCH(ROUNDUP((I$1)/10,0)*10,[1]Hugst!$R$4:$W$4,0))))</f>
        <v>0</v>
      </c>
      <c r="J220">
        <f>IF($C220-J$1&lt;År1,0,I219*(1-VLOOKUP($A220,[1]Hugst!$R$5:$W$9,MATCH(ROUNDUP((J$1)/10,0)*10,[1]Hugst!$R$4:$W$4,0))))</f>
        <v>0</v>
      </c>
      <c r="K220">
        <f>IF($C220-K$1&lt;År1,0,J219*(1-VLOOKUP($A220,[1]Hugst!$R$5:$W$9,MATCH(ROUNDUP((K$1)/10,0)*10,[1]Hugst!$R$4:$W$4,0))))</f>
        <v>0</v>
      </c>
      <c r="L220">
        <f>IF($C220-L$1&lt;År1,0,K219*(1-VLOOKUP($A220,[1]Hugst!$R$5:$W$9,MATCH(ROUNDUP((L$1)/10,0)*10,[1]Hugst!$R$4:$W$4,0))))</f>
        <v>0</v>
      </c>
      <c r="M220">
        <f>IF($C220-M$1&lt;År1,0,L219*(1-VLOOKUP($A220,[1]Hugst!$R$5:$W$9,MATCH(ROUNDUP((M$1)/10,0)*10,[1]Hugst!$R$4:$W$4,0))))</f>
        <v>0</v>
      </c>
      <c r="N220">
        <f>IF($C220-N$1&lt;År1,0,M219*(1-VLOOKUP($A220,[1]Hugst!$R$5:$W$9,MATCH(ROUNDUP((N$1)/10,0)*10,[1]Hugst!$R$4:$W$4,0))))</f>
        <v>0</v>
      </c>
      <c r="O220">
        <f>IF($C220-O$1&lt;År1,0,N219*(1-VLOOKUP($A220,[1]Hugst!$R$5:$W$9,MATCH(ROUNDUP((O$1)/10,0)*10,[1]Hugst!$R$4:$W$4,0))))</f>
        <v>0</v>
      </c>
      <c r="P220">
        <f>IF($C220-P$1&lt;År1,0,O219*(1-VLOOKUP($A220,[1]Hugst!$R$5:$W$9,MATCH(ROUNDUP((P$1)/10,0)*10,[1]Hugst!$R$4:$W$4,0))))</f>
        <v>0</v>
      </c>
      <c r="Q220">
        <f>IF($C220-Q$1&lt;År1,0,P219*(1-VLOOKUP($A220,[1]Hugst!$R$5:$W$9,MATCH(ROUNDUP((Q$1)/10,0)*10,[1]Hugst!$R$4:$W$4,0))))</f>
        <v>0</v>
      </c>
      <c r="R220">
        <f>IF($C220-R$1&lt;År1,0,Q219*(1-VLOOKUP($A220,[1]Hugst!$R$5:$W$9,MATCH(ROUNDUP((R$1)/10,0)*10,[1]Hugst!$R$4:$W$4,0))))</f>
        <v>0</v>
      </c>
      <c r="S220">
        <f>IF($C220-S$1&lt;År1,0,R219*(1-VLOOKUP($A220,[1]Hugst!$R$5:$W$9,MATCH(ROUNDUP((S$1)/10,0)*10,[1]Hugst!$R$4:$W$4,0))))</f>
        <v>0</v>
      </c>
      <c r="T220">
        <f>IF($C220-T$1&lt;År1,0,S219*(1-VLOOKUP($A220,[1]Hugst!$R$5:$W$9,MATCH(ROUNDUP((T$1)/10,0)*10,[1]Hugst!$R$4:$W$4,0))))</f>
        <v>0</v>
      </c>
      <c r="U220">
        <f>IF($C220-U$1&lt;År1,0,T219*(1-VLOOKUP($A220,[1]Hugst!$R$5:$W$9,MATCH(ROUNDUP((U$1)/10,0)*10,[1]Hugst!$R$4:$W$4,0))))</f>
        <v>0</v>
      </c>
      <c r="V220">
        <f>IF($C220-V$1&lt;År1,0,U219*(1-VLOOKUP($A220,[1]Hugst!$R$5:$W$9,MATCH(ROUNDUP((V$1)/10,0)*10,[1]Hugst!$R$4:$W$4,0))))</f>
        <v>0</v>
      </c>
      <c r="W220">
        <f>IF($C220-W$1&lt;År1,0,V219*(1-VLOOKUP($A220,[1]Hugst!$R$5:$W$9,MATCH(ROUNDUP((W$1)/10,0)*10,[1]Hugst!$R$4:$W$4,0))))</f>
        <v>0</v>
      </c>
      <c r="X220">
        <f>IF($C220-X$1&lt;År1,0,W219*(1-VLOOKUP($A220,[1]Hugst!$R$5:$W$9,MATCH(ROUNDUP((X$1)/10,0)*10,[1]Hugst!$R$4:$W$4,0))))</f>
        <v>0</v>
      </c>
      <c r="Y220">
        <f>IF($C220-Y$1&lt;År1,0,X219*(1-VLOOKUP($A220,[1]Hugst!$R$5:$W$9,MATCH(ROUNDUP((Y$1)/10,0)*10,[1]Hugst!$R$4:$W$4,0))))</f>
        <v>0</v>
      </c>
      <c r="Z220">
        <f>IF($C220-Z$1&lt;År1,0,Y219*(1-VLOOKUP($A220,[1]Hugst!$R$5:$W$9,MATCH(ROUNDUP((Z$1)/10,0)*10,[1]Hugst!$R$4:$W$4,0))))</f>
        <v>0</v>
      </c>
      <c r="AA220">
        <f>IF($C220-AA$1&lt;År1,0,Z219*(1-VLOOKUP($A220,[1]Hugst!$R$5:$W$9,MATCH(ROUNDUP((AA$1)/10,0)*10,[1]Hugst!$R$4:$W$4,0))))</f>
        <v>0</v>
      </c>
      <c r="AB220">
        <f>IF($C220-AB$1&lt;År1,0,AA219*(1-VLOOKUP($A220,[1]Hugst!$R$5:$W$9,MATCH(ROUNDUP((AB$1)/10,0)*10,[1]Hugst!$R$4:$W$4,0))))</f>
        <v>0</v>
      </c>
      <c r="AC220">
        <f>IF($C220-AC$1&lt;År1,0,AB219*(1-VLOOKUP($A220,[1]Hugst!$R$5:$W$9,MATCH(ROUNDUP((AC$1)/10,0)*10,[1]Hugst!$R$4:$W$4,0))))</f>
        <v>0</v>
      </c>
      <c r="AD220">
        <f>IF($C220-AD$1&lt;År1,0,AC219*(1-VLOOKUP($A220,[1]Hugst!$R$5:$W$9,MATCH(ROUNDUP((AD$1)/10,0)*10,[1]Hugst!$R$4:$W$4,0))))</f>
        <v>0</v>
      </c>
      <c r="AE220">
        <f>IF($C220-AE$1&lt;År1,0,AD219*(1-VLOOKUP($A220,[1]Hugst!$R$5:$W$9,MATCH(ROUNDUP((AE$1)/10,0)*10,[1]Hugst!$R$4:$W$4,0))))</f>
        <v>0</v>
      </c>
      <c r="AF220">
        <f>IF($C220-AF$1&lt;År1,0,AE219*(1-VLOOKUP($A220,[1]Hugst!$R$5:$W$9,MATCH(ROUNDUP((AF$1)/10,0)*10,[1]Hugst!$R$4:$W$4,0))))</f>
        <v>0</v>
      </c>
      <c r="AG220">
        <f>IF($C220-AG$1&lt;År1,0,AF219*(1-VLOOKUP($A220,[1]Hugst!$R$5:$W$9,MATCH(ROUNDUP((AG$1)/10,0)*10,[1]Hugst!$R$4:$W$4,0))))</f>
        <v>0</v>
      </c>
      <c r="AH220">
        <f>IF($C220-AH$1&lt;År1,0,AG219*(1-VLOOKUP($A220,[1]Hugst!$R$5:$W$9,MATCH(ROUNDUP((AH$1)/10,0)*10,[1]Hugst!$R$4:$W$4,0))))</f>
        <v>0</v>
      </c>
      <c r="AI220">
        <f>IF($C220-AI$1&lt;År1,0,AH219*(1-VLOOKUP($A220,[1]Hugst!$R$5:$W$9,MATCH(ROUNDUP((AI$1)/10,0)*10,[1]Hugst!$R$4:$W$4,0))))</f>
        <v>0</v>
      </c>
      <c r="AJ220">
        <f>IF($C220-AJ$1&lt;År1,0,AI219*(1-VLOOKUP($A220,[1]Hugst!$R$5:$W$9,MATCH(ROUNDUP((AJ$1)/10,0)*10,[1]Hugst!$R$4:$W$4,0))))</f>
        <v>0</v>
      </c>
    </row>
    <row r="221" spans="1:36" x14ac:dyDescent="0.25">
      <c r="A221" t="s">
        <v>179</v>
      </c>
      <c r="B221" t="s">
        <v>24</v>
      </c>
      <c r="C221">
        <v>2022</v>
      </c>
      <c r="D221" cm="1">
        <f t="array" ref="D221">(IF(B221="Vestdanmark",Skovbrug!$C$22-(Skovbrug!$C$22)*(1-Skovbrug!$C$9)^(C221-Skovbrug!$B$12),Skovbrug!$F$22-(Skovbrug!$F$22)*(1-Skovbrug!$C$9)^(C221-Skovbrug!$B$12)))*VLOOKUP(A221,Skovbrug!$A$13:$D$17,IF('Skovbrug-alder'!C221&lt;=År2,3,4),FALSE)
-IF(C221&gt;2020,SUM(INDEX($C$1:$D$311,MATCH(1,(2020=$C$1:$C$311)*(B221=$B$1:$B$311)*(A221=$A$1:$A$311),0),2):D220),0)</f>
        <v>283.66921626778276</v>
      </c>
      <c r="E221">
        <f t="shared" ca="1" si="5"/>
        <v>0</v>
      </c>
      <c r="F221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957.91164051020678</v>
      </c>
      <c r="G221">
        <f ca="1">IF($C221-G$1&lt;År1,0,F220*(1-VLOOKUP($A221,[1]Hugst!$R$5:$W$9,MATCH(ROUNDUP((G$1)/10,0)*10,[1]Hugst!$R$4:$W$4,0))))</f>
        <v>959.33711395878777</v>
      </c>
      <c r="H221">
        <f ca="1">IF($C221-H$1&lt;År1,0,G220*(1-VLOOKUP($A221,[1]Hugst!$R$5:$W$9,MATCH(ROUNDUP((H$1)/10,0)*10,[1]Hugst!$R$4:$W$4,0))))</f>
        <v>960.76975059052859</v>
      </c>
      <c r="I221">
        <f>IF($C221-I$1&lt;År1,0,H220*(1-VLOOKUP($A221,[1]Hugst!$R$5:$W$9,MATCH(ROUNDUP((I$1)/10,0)*10,[1]Hugst!$R$4:$W$4,0))))</f>
        <v>0</v>
      </c>
      <c r="J221">
        <f>IF($C221-J$1&lt;År1,0,I220*(1-VLOOKUP($A221,[1]Hugst!$R$5:$W$9,MATCH(ROUNDUP((J$1)/10,0)*10,[1]Hugst!$R$4:$W$4,0))))</f>
        <v>0</v>
      </c>
      <c r="K221">
        <f>IF($C221-K$1&lt;År1,0,J220*(1-VLOOKUP($A221,[1]Hugst!$R$5:$W$9,MATCH(ROUNDUP((K$1)/10,0)*10,[1]Hugst!$R$4:$W$4,0))))</f>
        <v>0</v>
      </c>
      <c r="L221">
        <f>IF($C221-L$1&lt;År1,0,K220*(1-VLOOKUP($A221,[1]Hugst!$R$5:$W$9,MATCH(ROUNDUP((L$1)/10,0)*10,[1]Hugst!$R$4:$W$4,0))))</f>
        <v>0</v>
      </c>
      <c r="M221">
        <f>IF($C221-M$1&lt;År1,0,L220*(1-VLOOKUP($A221,[1]Hugst!$R$5:$W$9,MATCH(ROUNDUP((M$1)/10,0)*10,[1]Hugst!$R$4:$W$4,0))))</f>
        <v>0</v>
      </c>
      <c r="N221">
        <f>IF($C221-N$1&lt;År1,0,M220*(1-VLOOKUP($A221,[1]Hugst!$R$5:$W$9,MATCH(ROUNDUP((N$1)/10,0)*10,[1]Hugst!$R$4:$W$4,0))))</f>
        <v>0</v>
      </c>
      <c r="O221">
        <f>IF($C221-O$1&lt;År1,0,N220*(1-VLOOKUP($A221,[1]Hugst!$R$5:$W$9,MATCH(ROUNDUP((O$1)/10,0)*10,[1]Hugst!$R$4:$W$4,0))))</f>
        <v>0</v>
      </c>
      <c r="P221">
        <f>IF($C221-P$1&lt;År1,0,O220*(1-VLOOKUP($A221,[1]Hugst!$R$5:$W$9,MATCH(ROUNDUP((P$1)/10,0)*10,[1]Hugst!$R$4:$W$4,0))))</f>
        <v>0</v>
      </c>
      <c r="Q221">
        <f>IF($C221-Q$1&lt;År1,0,P220*(1-VLOOKUP($A221,[1]Hugst!$R$5:$W$9,MATCH(ROUNDUP((Q$1)/10,0)*10,[1]Hugst!$R$4:$W$4,0))))</f>
        <v>0</v>
      </c>
      <c r="R221">
        <f>IF($C221-R$1&lt;År1,0,Q220*(1-VLOOKUP($A221,[1]Hugst!$R$5:$W$9,MATCH(ROUNDUP((R$1)/10,0)*10,[1]Hugst!$R$4:$W$4,0))))</f>
        <v>0</v>
      </c>
      <c r="S221">
        <f>IF($C221-S$1&lt;År1,0,R220*(1-VLOOKUP($A221,[1]Hugst!$R$5:$W$9,MATCH(ROUNDUP((S$1)/10,0)*10,[1]Hugst!$R$4:$W$4,0))))</f>
        <v>0</v>
      </c>
      <c r="T221">
        <f>IF($C221-T$1&lt;År1,0,S220*(1-VLOOKUP($A221,[1]Hugst!$R$5:$W$9,MATCH(ROUNDUP((T$1)/10,0)*10,[1]Hugst!$R$4:$W$4,0))))</f>
        <v>0</v>
      </c>
      <c r="U221">
        <f>IF($C221-U$1&lt;År1,0,T220*(1-VLOOKUP($A221,[1]Hugst!$R$5:$W$9,MATCH(ROUNDUP((U$1)/10,0)*10,[1]Hugst!$R$4:$W$4,0))))</f>
        <v>0</v>
      </c>
      <c r="V221">
        <f>IF($C221-V$1&lt;År1,0,U220*(1-VLOOKUP($A221,[1]Hugst!$R$5:$W$9,MATCH(ROUNDUP((V$1)/10,0)*10,[1]Hugst!$R$4:$W$4,0))))</f>
        <v>0</v>
      </c>
      <c r="W221">
        <f>IF($C221-W$1&lt;År1,0,V220*(1-VLOOKUP($A221,[1]Hugst!$R$5:$W$9,MATCH(ROUNDUP((W$1)/10,0)*10,[1]Hugst!$R$4:$W$4,0))))</f>
        <v>0</v>
      </c>
      <c r="X221">
        <f>IF($C221-X$1&lt;År1,0,W220*(1-VLOOKUP($A221,[1]Hugst!$R$5:$W$9,MATCH(ROUNDUP((X$1)/10,0)*10,[1]Hugst!$R$4:$W$4,0))))</f>
        <v>0</v>
      </c>
      <c r="Y221">
        <f>IF($C221-Y$1&lt;År1,0,X220*(1-VLOOKUP($A221,[1]Hugst!$R$5:$W$9,MATCH(ROUNDUP((Y$1)/10,0)*10,[1]Hugst!$R$4:$W$4,0))))</f>
        <v>0</v>
      </c>
      <c r="Z221">
        <f>IF($C221-Z$1&lt;År1,0,Y220*(1-VLOOKUP($A221,[1]Hugst!$R$5:$W$9,MATCH(ROUNDUP((Z$1)/10,0)*10,[1]Hugst!$R$4:$W$4,0))))</f>
        <v>0</v>
      </c>
      <c r="AA221">
        <f>IF($C221-AA$1&lt;År1,0,Z220*(1-VLOOKUP($A221,[1]Hugst!$R$5:$W$9,MATCH(ROUNDUP((AA$1)/10,0)*10,[1]Hugst!$R$4:$W$4,0))))</f>
        <v>0</v>
      </c>
      <c r="AB221">
        <f>IF($C221-AB$1&lt;År1,0,AA220*(1-VLOOKUP($A221,[1]Hugst!$R$5:$W$9,MATCH(ROUNDUP((AB$1)/10,0)*10,[1]Hugst!$R$4:$W$4,0))))</f>
        <v>0</v>
      </c>
      <c r="AC221">
        <f>IF($C221-AC$1&lt;År1,0,AB220*(1-VLOOKUP($A221,[1]Hugst!$R$5:$W$9,MATCH(ROUNDUP((AC$1)/10,0)*10,[1]Hugst!$R$4:$W$4,0))))</f>
        <v>0</v>
      </c>
      <c r="AD221">
        <f>IF($C221-AD$1&lt;År1,0,AC220*(1-VLOOKUP($A221,[1]Hugst!$R$5:$W$9,MATCH(ROUNDUP((AD$1)/10,0)*10,[1]Hugst!$R$4:$W$4,0))))</f>
        <v>0</v>
      </c>
      <c r="AE221">
        <f>IF($C221-AE$1&lt;År1,0,AD220*(1-VLOOKUP($A221,[1]Hugst!$R$5:$W$9,MATCH(ROUNDUP((AE$1)/10,0)*10,[1]Hugst!$R$4:$W$4,0))))</f>
        <v>0</v>
      </c>
      <c r="AF221">
        <f>IF($C221-AF$1&lt;År1,0,AE220*(1-VLOOKUP($A221,[1]Hugst!$R$5:$W$9,MATCH(ROUNDUP((AF$1)/10,0)*10,[1]Hugst!$R$4:$W$4,0))))</f>
        <v>0</v>
      </c>
      <c r="AG221">
        <f>IF($C221-AG$1&lt;År1,0,AF220*(1-VLOOKUP($A221,[1]Hugst!$R$5:$W$9,MATCH(ROUNDUP((AG$1)/10,0)*10,[1]Hugst!$R$4:$W$4,0))))</f>
        <v>0</v>
      </c>
      <c r="AH221">
        <f>IF($C221-AH$1&lt;År1,0,AG220*(1-VLOOKUP($A221,[1]Hugst!$R$5:$W$9,MATCH(ROUNDUP((AH$1)/10,0)*10,[1]Hugst!$R$4:$W$4,0))))</f>
        <v>0</v>
      </c>
      <c r="AI221">
        <f>IF($C221-AI$1&lt;År1,0,AH220*(1-VLOOKUP($A221,[1]Hugst!$R$5:$W$9,MATCH(ROUNDUP((AI$1)/10,0)*10,[1]Hugst!$R$4:$W$4,0))))</f>
        <v>0</v>
      </c>
      <c r="AJ221">
        <f>IF($C221-AJ$1&lt;År1,0,AI220*(1-VLOOKUP($A221,[1]Hugst!$R$5:$W$9,MATCH(ROUNDUP((AJ$1)/10,0)*10,[1]Hugst!$R$4:$W$4,0))))</f>
        <v>0</v>
      </c>
    </row>
    <row r="222" spans="1:36" x14ac:dyDescent="0.25">
      <c r="A222" t="s">
        <v>179</v>
      </c>
      <c r="B222" t="s">
        <v>24</v>
      </c>
      <c r="C222">
        <v>2023</v>
      </c>
      <c r="D222" cm="1">
        <f t="array" ref="D222">(IF(B222="Vestdanmark",Skovbrug!$C$22-(Skovbrug!$C$22)*(1-Skovbrug!$C$9)^(C222-Skovbrug!$B$12),Skovbrug!$F$22-(Skovbrug!$F$22)*(1-Skovbrug!$C$9)^(C222-Skovbrug!$B$12)))*VLOOKUP(A222,Skovbrug!$A$13:$D$17,IF('Skovbrug-alder'!C222&lt;=År2,3,4),FALSE)
-IF(C222&gt;2020,SUM(INDEX($C$1:$D$311,MATCH(1,(2020=$C$1:$C$311)*(B222=$B$1:$B$311)*(A222=$A$1:$A$311),0),2):D221),0)</f>
        <v>282.25087018643683</v>
      </c>
      <c r="E222">
        <f t="shared" ca="1" si="5"/>
        <v>0</v>
      </c>
      <c r="F222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956.49329442886085</v>
      </c>
      <c r="G222">
        <f ca="1">IF($C222-G$1&lt;År1,0,F221*(1-VLOOKUP($A222,[1]Hugst!$R$5:$W$9,MATCH(ROUNDUP((G$1)/10,0)*10,[1]Hugst!$R$4:$W$4,0))))</f>
        <v>957.91164051020678</v>
      </c>
      <c r="H222">
        <f ca="1">IF($C222-H$1&lt;År1,0,G221*(1-VLOOKUP($A222,[1]Hugst!$R$5:$W$9,MATCH(ROUNDUP((H$1)/10,0)*10,[1]Hugst!$R$4:$W$4,0))))</f>
        <v>959.33711395878777</v>
      </c>
      <c r="I222">
        <f ca="1">IF($C222-I$1&lt;År1,0,H221*(1-VLOOKUP($A222,[1]Hugst!$R$5:$W$9,MATCH(ROUNDUP((I$1)/10,0)*10,[1]Hugst!$R$4:$W$4,0))))</f>
        <v>960.76975059052859</v>
      </c>
      <c r="J222">
        <f>IF($C222-J$1&lt;År1,0,I221*(1-VLOOKUP($A222,[1]Hugst!$R$5:$W$9,MATCH(ROUNDUP((J$1)/10,0)*10,[1]Hugst!$R$4:$W$4,0))))</f>
        <v>0</v>
      </c>
      <c r="K222">
        <f>IF($C222-K$1&lt;År1,0,J221*(1-VLOOKUP($A222,[1]Hugst!$R$5:$W$9,MATCH(ROUNDUP((K$1)/10,0)*10,[1]Hugst!$R$4:$W$4,0))))</f>
        <v>0</v>
      </c>
      <c r="L222">
        <f>IF($C222-L$1&lt;År1,0,K221*(1-VLOOKUP($A222,[1]Hugst!$R$5:$W$9,MATCH(ROUNDUP((L$1)/10,0)*10,[1]Hugst!$R$4:$W$4,0))))</f>
        <v>0</v>
      </c>
      <c r="M222">
        <f>IF($C222-M$1&lt;År1,0,L221*(1-VLOOKUP($A222,[1]Hugst!$R$5:$W$9,MATCH(ROUNDUP((M$1)/10,0)*10,[1]Hugst!$R$4:$W$4,0))))</f>
        <v>0</v>
      </c>
      <c r="N222">
        <f>IF($C222-N$1&lt;År1,0,M221*(1-VLOOKUP($A222,[1]Hugst!$R$5:$W$9,MATCH(ROUNDUP((N$1)/10,0)*10,[1]Hugst!$R$4:$W$4,0))))</f>
        <v>0</v>
      </c>
      <c r="O222">
        <f>IF($C222-O$1&lt;År1,0,N221*(1-VLOOKUP($A222,[1]Hugst!$R$5:$W$9,MATCH(ROUNDUP((O$1)/10,0)*10,[1]Hugst!$R$4:$W$4,0))))</f>
        <v>0</v>
      </c>
      <c r="P222">
        <f>IF($C222-P$1&lt;År1,0,O221*(1-VLOOKUP($A222,[1]Hugst!$R$5:$W$9,MATCH(ROUNDUP((P$1)/10,0)*10,[1]Hugst!$R$4:$W$4,0))))</f>
        <v>0</v>
      </c>
      <c r="Q222">
        <f>IF($C222-Q$1&lt;År1,0,P221*(1-VLOOKUP($A222,[1]Hugst!$R$5:$W$9,MATCH(ROUNDUP((Q$1)/10,0)*10,[1]Hugst!$R$4:$W$4,0))))</f>
        <v>0</v>
      </c>
      <c r="R222">
        <f>IF($C222-R$1&lt;År1,0,Q221*(1-VLOOKUP($A222,[1]Hugst!$R$5:$W$9,MATCH(ROUNDUP((R$1)/10,0)*10,[1]Hugst!$R$4:$W$4,0))))</f>
        <v>0</v>
      </c>
      <c r="S222">
        <f>IF($C222-S$1&lt;År1,0,R221*(1-VLOOKUP($A222,[1]Hugst!$R$5:$W$9,MATCH(ROUNDUP((S$1)/10,0)*10,[1]Hugst!$R$4:$W$4,0))))</f>
        <v>0</v>
      </c>
      <c r="T222">
        <f>IF($C222-T$1&lt;År1,0,S221*(1-VLOOKUP($A222,[1]Hugst!$R$5:$W$9,MATCH(ROUNDUP((T$1)/10,0)*10,[1]Hugst!$R$4:$W$4,0))))</f>
        <v>0</v>
      </c>
      <c r="U222">
        <f>IF($C222-U$1&lt;År1,0,T221*(1-VLOOKUP($A222,[1]Hugst!$R$5:$W$9,MATCH(ROUNDUP((U$1)/10,0)*10,[1]Hugst!$R$4:$W$4,0))))</f>
        <v>0</v>
      </c>
      <c r="V222">
        <f>IF($C222-V$1&lt;År1,0,U221*(1-VLOOKUP($A222,[1]Hugst!$R$5:$W$9,MATCH(ROUNDUP((V$1)/10,0)*10,[1]Hugst!$R$4:$W$4,0))))</f>
        <v>0</v>
      </c>
      <c r="W222">
        <f>IF($C222-W$1&lt;År1,0,V221*(1-VLOOKUP($A222,[1]Hugst!$R$5:$W$9,MATCH(ROUNDUP((W$1)/10,0)*10,[1]Hugst!$R$4:$W$4,0))))</f>
        <v>0</v>
      </c>
      <c r="X222">
        <f>IF($C222-X$1&lt;År1,0,W221*(1-VLOOKUP($A222,[1]Hugst!$R$5:$W$9,MATCH(ROUNDUP((X$1)/10,0)*10,[1]Hugst!$R$4:$W$4,0))))</f>
        <v>0</v>
      </c>
      <c r="Y222">
        <f>IF($C222-Y$1&lt;År1,0,X221*(1-VLOOKUP($A222,[1]Hugst!$R$5:$W$9,MATCH(ROUNDUP((Y$1)/10,0)*10,[1]Hugst!$R$4:$W$4,0))))</f>
        <v>0</v>
      </c>
      <c r="Z222">
        <f>IF($C222-Z$1&lt;År1,0,Y221*(1-VLOOKUP($A222,[1]Hugst!$R$5:$W$9,MATCH(ROUNDUP((Z$1)/10,0)*10,[1]Hugst!$R$4:$W$4,0))))</f>
        <v>0</v>
      </c>
      <c r="AA222">
        <f>IF($C222-AA$1&lt;År1,0,Z221*(1-VLOOKUP($A222,[1]Hugst!$R$5:$W$9,MATCH(ROUNDUP((AA$1)/10,0)*10,[1]Hugst!$R$4:$W$4,0))))</f>
        <v>0</v>
      </c>
      <c r="AB222">
        <f>IF($C222-AB$1&lt;År1,0,AA221*(1-VLOOKUP($A222,[1]Hugst!$R$5:$W$9,MATCH(ROUNDUP((AB$1)/10,0)*10,[1]Hugst!$R$4:$W$4,0))))</f>
        <v>0</v>
      </c>
      <c r="AC222">
        <f>IF($C222-AC$1&lt;År1,0,AB221*(1-VLOOKUP($A222,[1]Hugst!$R$5:$W$9,MATCH(ROUNDUP((AC$1)/10,0)*10,[1]Hugst!$R$4:$W$4,0))))</f>
        <v>0</v>
      </c>
      <c r="AD222">
        <f>IF($C222-AD$1&lt;År1,0,AC221*(1-VLOOKUP($A222,[1]Hugst!$R$5:$W$9,MATCH(ROUNDUP((AD$1)/10,0)*10,[1]Hugst!$R$4:$W$4,0))))</f>
        <v>0</v>
      </c>
      <c r="AE222">
        <f>IF($C222-AE$1&lt;År1,0,AD221*(1-VLOOKUP($A222,[1]Hugst!$R$5:$W$9,MATCH(ROUNDUP((AE$1)/10,0)*10,[1]Hugst!$R$4:$W$4,0))))</f>
        <v>0</v>
      </c>
      <c r="AF222">
        <f>IF($C222-AF$1&lt;År1,0,AE221*(1-VLOOKUP($A222,[1]Hugst!$R$5:$W$9,MATCH(ROUNDUP((AF$1)/10,0)*10,[1]Hugst!$R$4:$W$4,0))))</f>
        <v>0</v>
      </c>
      <c r="AG222">
        <f>IF($C222-AG$1&lt;År1,0,AF221*(1-VLOOKUP($A222,[1]Hugst!$R$5:$W$9,MATCH(ROUNDUP((AG$1)/10,0)*10,[1]Hugst!$R$4:$W$4,0))))</f>
        <v>0</v>
      </c>
      <c r="AH222">
        <f>IF($C222-AH$1&lt;År1,0,AG221*(1-VLOOKUP($A222,[1]Hugst!$R$5:$W$9,MATCH(ROUNDUP((AH$1)/10,0)*10,[1]Hugst!$R$4:$W$4,0))))</f>
        <v>0</v>
      </c>
      <c r="AI222">
        <f>IF($C222-AI$1&lt;År1,0,AH221*(1-VLOOKUP($A222,[1]Hugst!$R$5:$W$9,MATCH(ROUNDUP((AI$1)/10,0)*10,[1]Hugst!$R$4:$W$4,0))))</f>
        <v>0</v>
      </c>
      <c r="AJ222">
        <f>IF($C222-AJ$1&lt;År1,0,AI221*(1-VLOOKUP($A222,[1]Hugst!$R$5:$W$9,MATCH(ROUNDUP((AJ$1)/10,0)*10,[1]Hugst!$R$4:$W$4,0))))</f>
        <v>0</v>
      </c>
    </row>
    <row r="223" spans="1:36" x14ac:dyDescent="0.25">
      <c r="A223" t="s">
        <v>179</v>
      </c>
      <c r="B223" t="s">
        <v>24</v>
      </c>
      <c r="C223">
        <v>2024</v>
      </c>
      <c r="D223" cm="1">
        <f t="array" ref="D223">(IF(B223="Vestdanmark",Skovbrug!$C$22-(Skovbrug!$C$22)*(1-Skovbrug!$C$9)^(C223-Skovbrug!$B$12),Skovbrug!$F$22-(Skovbrug!$F$22)*(1-Skovbrug!$C$9)^(C223-Skovbrug!$B$12)))*VLOOKUP(A223,Skovbrug!$A$13:$D$17,IF('Skovbrug-alder'!C223&lt;=År2,3,4),FALSE)
-IF(C223&gt;2020,SUM(INDEX($C$1:$D$311,MATCH(1,(2020=$C$1:$C$311)*(B223=$B$1:$B$311)*(A223=$A$1:$A$311),0),2):D222),0)</f>
        <v>280.83961583551218</v>
      </c>
      <c r="E223">
        <f t="shared" ca="1" si="5"/>
        <v>0</v>
      </c>
      <c r="F223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955.0820400779362</v>
      </c>
      <c r="G223">
        <f ca="1">IF($C223-G$1&lt;År1,0,F222*(1-VLOOKUP($A223,[1]Hugst!$R$5:$W$9,MATCH(ROUNDUP((G$1)/10,0)*10,[1]Hugst!$R$4:$W$4,0))))</f>
        <v>956.49329442886085</v>
      </c>
      <c r="H223">
        <f ca="1">IF($C223-H$1&lt;År1,0,G222*(1-VLOOKUP($A223,[1]Hugst!$R$5:$W$9,MATCH(ROUNDUP((H$1)/10,0)*10,[1]Hugst!$R$4:$W$4,0))))</f>
        <v>957.91164051020678</v>
      </c>
      <c r="I223">
        <f ca="1">IF($C223-I$1&lt;År1,0,H222*(1-VLOOKUP($A223,[1]Hugst!$R$5:$W$9,MATCH(ROUNDUP((I$1)/10,0)*10,[1]Hugst!$R$4:$W$4,0))))</f>
        <v>959.33711395878777</v>
      </c>
      <c r="J223">
        <f ca="1">IF($C223-J$1&lt;År1,0,I222*(1-VLOOKUP($A223,[1]Hugst!$R$5:$W$9,MATCH(ROUNDUP((J$1)/10,0)*10,[1]Hugst!$R$4:$W$4,0))))</f>
        <v>960.76975059052859</v>
      </c>
      <c r="K223">
        <f>IF($C223-K$1&lt;År1,0,J222*(1-VLOOKUP($A223,[1]Hugst!$R$5:$W$9,MATCH(ROUNDUP((K$1)/10,0)*10,[1]Hugst!$R$4:$W$4,0))))</f>
        <v>0</v>
      </c>
      <c r="L223">
        <f>IF($C223-L$1&lt;År1,0,K222*(1-VLOOKUP($A223,[1]Hugst!$R$5:$W$9,MATCH(ROUNDUP((L$1)/10,0)*10,[1]Hugst!$R$4:$W$4,0))))</f>
        <v>0</v>
      </c>
      <c r="M223">
        <f>IF($C223-M$1&lt;År1,0,L222*(1-VLOOKUP($A223,[1]Hugst!$R$5:$W$9,MATCH(ROUNDUP((M$1)/10,0)*10,[1]Hugst!$R$4:$W$4,0))))</f>
        <v>0</v>
      </c>
      <c r="N223">
        <f>IF($C223-N$1&lt;År1,0,M222*(1-VLOOKUP($A223,[1]Hugst!$R$5:$W$9,MATCH(ROUNDUP((N$1)/10,0)*10,[1]Hugst!$R$4:$W$4,0))))</f>
        <v>0</v>
      </c>
      <c r="O223">
        <f>IF($C223-O$1&lt;År1,0,N222*(1-VLOOKUP($A223,[1]Hugst!$R$5:$W$9,MATCH(ROUNDUP((O$1)/10,0)*10,[1]Hugst!$R$4:$W$4,0))))</f>
        <v>0</v>
      </c>
      <c r="P223">
        <f>IF($C223-P$1&lt;År1,0,O222*(1-VLOOKUP($A223,[1]Hugst!$R$5:$W$9,MATCH(ROUNDUP((P$1)/10,0)*10,[1]Hugst!$R$4:$W$4,0))))</f>
        <v>0</v>
      </c>
      <c r="Q223">
        <f>IF($C223-Q$1&lt;År1,0,P222*(1-VLOOKUP($A223,[1]Hugst!$R$5:$W$9,MATCH(ROUNDUP((Q$1)/10,0)*10,[1]Hugst!$R$4:$W$4,0))))</f>
        <v>0</v>
      </c>
      <c r="R223">
        <f>IF($C223-R$1&lt;År1,0,Q222*(1-VLOOKUP($A223,[1]Hugst!$R$5:$W$9,MATCH(ROUNDUP((R$1)/10,0)*10,[1]Hugst!$R$4:$W$4,0))))</f>
        <v>0</v>
      </c>
      <c r="S223">
        <f>IF($C223-S$1&lt;År1,0,R222*(1-VLOOKUP($A223,[1]Hugst!$R$5:$W$9,MATCH(ROUNDUP((S$1)/10,0)*10,[1]Hugst!$R$4:$W$4,0))))</f>
        <v>0</v>
      </c>
      <c r="T223">
        <f>IF($C223-T$1&lt;År1,0,S222*(1-VLOOKUP($A223,[1]Hugst!$R$5:$W$9,MATCH(ROUNDUP((T$1)/10,0)*10,[1]Hugst!$R$4:$W$4,0))))</f>
        <v>0</v>
      </c>
      <c r="U223">
        <f>IF($C223-U$1&lt;År1,0,T222*(1-VLOOKUP($A223,[1]Hugst!$R$5:$W$9,MATCH(ROUNDUP((U$1)/10,0)*10,[1]Hugst!$R$4:$W$4,0))))</f>
        <v>0</v>
      </c>
      <c r="V223">
        <f>IF($C223-V$1&lt;År1,0,U222*(1-VLOOKUP($A223,[1]Hugst!$R$5:$W$9,MATCH(ROUNDUP((V$1)/10,0)*10,[1]Hugst!$R$4:$W$4,0))))</f>
        <v>0</v>
      </c>
      <c r="W223">
        <f>IF($C223-W$1&lt;År1,0,V222*(1-VLOOKUP($A223,[1]Hugst!$R$5:$W$9,MATCH(ROUNDUP((W$1)/10,0)*10,[1]Hugst!$R$4:$W$4,0))))</f>
        <v>0</v>
      </c>
      <c r="X223">
        <f>IF($C223-X$1&lt;År1,0,W222*(1-VLOOKUP($A223,[1]Hugst!$R$5:$W$9,MATCH(ROUNDUP((X$1)/10,0)*10,[1]Hugst!$R$4:$W$4,0))))</f>
        <v>0</v>
      </c>
      <c r="Y223">
        <f>IF($C223-Y$1&lt;År1,0,X222*(1-VLOOKUP($A223,[1]Hugst!$R$5:$W$9,MATCH(ROUNDUP((Y$1)/10,0)*10,[1]Hugst!$R$4:$W$4,0))))</f>
        <v>0</v>
      </c>
      <c r="Z223">
        <f>IF($C223-Z$1&lt;År1,0,Y222*(1-VLOOKUP($A223,[1]Hugst!$R$5:$W$9,MATCH(ROUNDUP((Z$1)/10,0)*10,[1]Hugst!$R$4:$W$4,0))))</f>
        <v>0</v>
      </c>
      <c r="AA223">
        <f>IF($C223-AA$1&lt;År1,0,Z222*(1-VLOOKUP($A223,[1]Hugst!$R$5:$W$9,MATCH(ROUNDUP((AA$1)/10,0)*10,[1]Hugst!$R$4:$W$4,0))))</f>
        <v>0</v>
      </c>
      <c r="AB223">
        <f>IF($C223-AB$1&lt;År1,0,AA222*(1-VLOOKUP($A223,[1]Hugst!$R$5:$W$9,MATCH(ROUNDUP((AB$1)/10,0)*10,[1]Hugst!$R$4:$W$4,0))))</f>
        <v>0</v>
      </c>
      <c r="AC223">
        <f>IF($C223-AC$1&lt;År1,0,AB222*(1-VLOOKUP($A223,[1]Hugst!$R$5:$W$9,MATCH(ROUNDUP((AC$1)/10,0)*10,[1]Hugst!$R$4:$W$4,0))))</f>
        <v>0</v>
      </c>
      <c r="AD223">
        <f>IF($C223-AD$1&lt;År1,0,AC222*(1-VLOOKUP($A223,[1]Hugst!$R$5:$W$9,MATCH(ROUNDUP((AD$1)/10,0)*10,[1]Hugst!$R$4:$W$4,0))))</f>
        <v>0</v>
      </c>
      <c r="AE223">
        <f>IF($C223-AE$1&lt;År1,0,AD222*(1-VLOOKUP($A223,[1]Hugst!$R$5:$W$9,MATCH(ROUNDUP((AE$1)/10,0)*10,[1]Hugst!$R$4:$W$4,0))))</f>
        <v>0</v>
      </c>
      <c r="AF223">
        <f>IF($C223-AF$1&lt;År1,0,AE222*(1-VLOOKUP($A223,[1]Hugst!$R$5:$W$9,MATCH(ROUNDUP((AF$1)/10,0)*10,[1]Hugst!$R$4:$W$4,0))))</f>
        <v>0</v>
      </c>
      <c r="AG223">
        <f>IF($C223-AG$1&lt;År1,0,AF222*(1-VLOOKUP($A223,[1]Hugst!$R$5:$W$9,MATCH(ROUNDUP((AG$1)/10,0)*10,[1]Hugst!$R$4:$W$4,0))))</f>
        <v>0</v>
      </c>
      <c r="AH223">
        <f>IF($C223-AH$1&lt;År1,0,AG222*(1-VLOOKUP($A223,[1]Hugst!$R$5:$W$9,MATCH(ROUNDUP((AH$1)/10,0)*10,[1]Hugst!$R$4:$W$4,0))))</f>
        <v>0</v>
      </c>
      <c r="AI223">
        <f>IF($C223-AI$1&lt;År1,0,AH222*(1-VLOOKUP($A223,[1]Hugst!$R$5:$W$9,MATCH(ROUNDUP((AI$1)/10,0)*10,[1]Hugst!$R$4:$W$4,0))))</f>
        <v>0</v>
      </c>
      <c r="AJ223">
        <f>IF($C223-AJ$1&lt;År1,0,AI222*(1-VLOOKUP($A223,[1]Hugst!$R$5:$W$9,MATCH(ROUNDUP((AJ$1)/10,0)*10,[1]Hugst!$R$4:$W$4,0))))</f>
        <v>0</v>
      </c>
    </row>
    <row r="224" spans="1:36" x14ac:dyDescent="0.25">
      <c r="A224" t="s">
        <v>179</v>
      </c>
      <c r="B224" t="s">
        <v>24</v>
      </c>
      <c r="C224">
        <v>2025</v>
      </c>
      <c r="D224" cm="1">
        <f t="array" ref="D224">(IF(B224="Vestdanmark",Skovbrug!$C$22-(Skovbrug!$C$22)*(1-Skovbrug!$C$9)^(C224-Skovbrug!$B$12),Skovbrug!$F$22-(Skovbrug!$F$22)*(1-Skovbrug!$C$9)^(C224-Skovbrug!$B$12)))*VLOOKUP(A224,Skovbrug!$A$13:$D$17,IF('Skovbrug-alder'!C224&lt;=År2,3,4),FALSE)
-IF(C224&gt;2020,SUM(INDEX($C$1:$D$311,MATCH(1,(2020=$C$1:$C$311)*(B224=$B$1:$B$311)*(A224=$A$1:$A$311),0),2):D223),0)</f>
        <v>279.4354177563298</v>
      </c>
      <c r="E224">
        <f t="shared" ca="1" si="5"/>
        <v>0</v>
      </c>
      <c r="F224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953.67784199875382</v>
      </c>
      <c r="G224">
        <f ca="1">IF($C224-G$1&lt;År1,0,F223*(1-VLOOKUP($A224,[1]Hugst!$R$5:$W$9,MATCH(ROUNDUP((G$1)/10,0)*10,[1]Hugst!$R$4:$W$4,0))))</f>
        <v>955.0820400779362</v>
      </c>
      <c r="H224">
        <f ca="1">IF($C224-H$1&lt;År1,0,G223*(1-VLOOKUP($A224,[1]Hugst!$R$5:$W$9,MATCH(ROUNDUP((H$1)/10,0)*10,[1]Hugst!$R$4:$W$4,0))))</f>
        <v>956.49329442886085</v>
      </c>
      <c r="I224">
        <f ca="1">IF($C224-I$1&lt;År1,0,H223*(1-VLOOKUP($A224,[1]Hugst!$R$5:$W$9,MATCH(ROUNDUP((I$1)/10,0)*10,[1]Hugst!$R$4:$W$4,0))))</f>
        <v>957.91164051020678</v>
      </c>
      <c r="J224">
        <f ca="1">IF($C224-J$1&lt;År1,0,I223*(1-VLOOKUP($A224,[1]Hugst!$R$5:$W$9,MATCH(ROUNDUP((J$1)/10,0)*10,[1]Hugst!$R$4:$W$4,0))))</f>
        <v>959.33711395878777</v>
      </c>
      <c r="K224">
        <f ca="1">IF($C224-K$1&lt;År1,0,J223*(1-VLOOKUP($A224,[1]Hugst!$R$5:$W$9,MATCH(ROUNDUP((K$1)/10,0)*10,[1]Hugst!$R$4:$W$4,0))))</f>
        <v>960.76975059052859</v>
      </c>
      <c r="L224">
        <f>IF($C224-L$1&lt;År1,0,K223*(1-VLOOKUP($A224,[1]Hugst!$R$5:$W$9,MATCH(ROUNDUP((L$1)/10,0)*10,[1]Hugst!$R$4:$W$4,0))))</f>
        <v>0</v>
      </c>
      <c r="M224">
        <f>IF($C224-M$1&lt;År1,0,L223*(1-VLOOKUP($A224,[1]Hugst!$R$5:$W$9,MATCH(ROUNDUP((M$1)/10,0)*10,[1]Hugst!$R$4:$W$4,0))))</f>
        <v>0</v>
      </c>
      <c r="N224">
        <f>IF($C224-N$1&lt;År1,0,M223*(1-VLOOKUP($A224,[1]Hugst!$R$5:$W$9,MATCH(ROUNDUP((N$1)/10,0)*10,[1]Hugst!$R$4:$W$4,0))))</f>
        <v>0</v>
      </c>
      <c r="O224">
        <f>IF($C224-O$1&lt;År1,0,N223*(1-VLOOKUP($A224,[1]Hugst!$R$5:$W$9,MATCH(ROUNDUP((O$1)/10,0)*10,[1]Hugst!$R$4:$W$4,0))))</f>
        <v>0</v>
      </c>
      <c r="P224">
        <f>IF($C224-P$1&lt;År1,0,O223*(1-VLOOKUP($A224,[1]Hugst!$R$5:$W$9,MATCH(ROUNDUP((P$1)/10,0)*10,[1]Hugst!$R$4:$W$4,0))))</f>
        <v>0</v>
      </c>
      <c r="Q224">
        <f>IF($C224-Q$1&lt;År1,0,P223*(1-VLOOKUP($A224,[1]Hugst!$R$5:$W$9,MATCH(ROUNDUP((Q$1)/10,0)*10,[1]Hugst!$R$4:$W$4,0))))</f>
        <v>0</v>
      </c>
      <c r="R224">
        <f>IF($C224-R$1&lt;År1,0,Q223*(1-VLOOKUP($A224,[1]Hugst!$R$5:$W$9,MATCH(ROUNDUP((R$1)/10,0)*10,[1]Hugst!$R$4:$W$4,0))))</f>
        <v>0</v>
      </c>
      <c r="S224">
        <f>IF($C224-S$1&lt;År1,0,R223*(1-VLOOKUP($A224,[1]Hugst!$R$5:$W$9,MATCH(ROUNDUP((S$1)/10,0)*10,[1]Hugst!$R$4:$W$4,0))))</f>
        <v>0</v>
      </c>
      <c r="T224">
        <f>IF($C224-T$1&lt;År1,0,S223*(1-VLOOKUP($A224,[1]Hugst!$R$5:$W$9,MATCH(ROUNDUP((T$1)/10,0)*10,[1]Hugst!$R$4:$W$4,0))))</f>
        <v>0</v>
      </c>
      <c r="U224">
        <f>IF($C224-U$1&lt;År1,0,T223*(1-VLOOKUP($A224,[1]Hugst!$R$5:$W$9,MATCH(ROUNDUP((U$1)/10,0)*10,[1]Hugst!$R$4:$W$4,0))))</f>
        <v>0</v>
      </c>
      <c r="V224">
        <f>IF($C224-V$1&lt;År1,0,U223*(1-VLOOKUP($A224,[1]Hugst!$R$5:$W$9,MATCH(ROUNDUP((V$1)/10,0)*10,[1]Hugst!$R$4:$W$4,0))))</f>
        <v>0</v>
      </c>
      <c r="W224">
        <f>IF($C224-W$1&lt;År1,0,V223*(1-VLOOKUP($A224,[1]Hugst!$R$5:$W$9,MATCH(ROUNDUP((W$1)/10,0)*10,[1]Hugst!$R$4:$W$4,0))))</f>
        <v>0</v>
      </c>
      <c r="X224">
        <f>IF($C224-X$1&lt;År1,0,W223*(1-VLOOKUP($A224,[1]Hugst!$R$5:$W$9,MATCH(ROUNDUP((X$1)/10,0)*10,[1]Hugst!$R$4:$W$4,0))))</f>
        <v>0</v>
      </c>
      <c r="Y224">
        <f>IF($C224-Y$1&lt;År1,0,X223*(1-VLOOKUP($A224,[1]Hugst!$R$5:$W$9,MATCH(ROUNDUP((Y$1)/10,0)*10,[1]Hugst!$R$4:$W$4,0))))</f>
        <v>0</v>
      </c>
      <c r="Z224">
        <f>IF($C224-Z$1&lt;År1,0,Y223*(1-VLOOKUP($A224,[1]Hugst!$R$5:$W$9,MATCH(ROUNDUP((Z$1)/10,0)*10,[1]Hugst!$R$4:$W$4,0))))</f>
        <v>0</v>
      </c>
      <c r="AA224">
        <f>IF($C224-AA$1&lt;År1,0,Z223*(1-VLOOKUP($A224,[1]Hugst!$R$5:$W$9,MATCH(ROUNDUP((AA$1)/10,0)*10,[1]Hugst!$R$4:$W$4,0))))</f>
        <v>0</v>
      </c>
      <c r="AB224">
        <f>IF($C224-AB$1&lt;År1,0,AA223*(1-VLOOKUP($A224,[1]Hugst!$R$5:$W$9,MATCH(ROUNDUP((AB$1)/10,0)*10,[1]Hugst!$R$4:$W$4,0))))</f>
        <v>0</v>
      </c>
      <c r="AC224">
        <f>IF($C224-AC$1&lt;År1,0,AB223*(1-VLOOKUP($A224,[1]Hugst!$R$5:$W$9,MATCH(ROUNDUP((AC$1)/10,0)*10,[1]Hugst!$R$4:$W$4,0))))</f>
        <v>0</v>
      </c>
      <c r="AD224">
        <f>IF($C224-AD$1&lt;År1,0,AC223*(1-VLOOKUP($A224,[1]Hugst!$R$5:$W$9,MATCH(ROUNDUP((AD$1)/10,0)*10,[1]Hugst!$R$4:$W$4,0))))</f>
        <v>0</v>
      </c>
      <c r="AE224">
        <f>IF($C224-AE$1&lt;År1,0,AD223*(1-VLOOKUP($A224,[1]Hugst!$R$5:$W$9,MATCH(ROUNDUP((AE$1)/10,0)*10,[1]Hugst!$R$4:$W$4,0))))</f>
        <v>0</v>
      </c>
      <c r="AF224">
        <f>IF($C224-AF$1&lt;År1,0,AE223*(1-VLOOKUP($A224,[1]Hugst!$R$5:$W$9,MATCH(ROUNDUP((AF$1)/10,0)*10,[1]Hugst!$R$4:$W$4,0))))</f>
        <v>0</v>
      </c>
      <c r="AG224">
        <f>IF($C224-AG$1&lt;År1,0,AF223*(1-VLOOKUP($A224,[1]Hugst!$R$5:$W$9,MATCH(ROUNDUP((AG$1)/10,0)*10,[1]Hugst!$R$4:$W$4,0))))</f>
        <v>0</v>
      </c>
      <c r="AH224">
        <f>IF($C224-AH$1&lt;År1,0,AG223*(1-VLOOKUP($A224,[1]Hugst!$R$5:$W$9,MATCH(ROUNDUP((AH$1)/10,0)*10,[1]Hugst!$R$4:$W$4,0))))</f>
        <v>0</v>
      </c>
      <c r="AI224">
        <f>IF($C224-AI$1&lt;År1,0,AH223*(1-VLOOKUP($A224,[1]Hugst!$R$5:$W$9,MATCH(ROUNDUP((AI$1)/10,0)*10,[1]Hugst!$R$4:$W$4,0))))</f>
        <v>0</v>
      </c>
      <c r="AJ224">
        <f>IF($C224-AJ$1&lt;År1,0,AI223*(1-VLOOKUP($A224,[1]Hugst!$R$5:$W$9,MATCH(ROUNDUP((AJ$1)/10,0)*10,[1]Hugst!$R$4:$W$4,0))))</f>
        <v>0</v>
      </c>
    </row>
    <row r="225" spans="1:36" x14ac:dyDescent="0.25">
      <c r="A225" t="s">
        <v>179</v>
      </c>
      <c r="B225" t="s">
        <v>24</v>
      </c>
      <c r="C225">
        <v>2026</v>
      </c>
      <c r="D225" cm="1">
        <f t="array" ref="D225">(IF(B225="Vestdanmark",Skovbrug!$C$22-(Skovbrug!$C$22)*(1-Skovbrug!$C$9)^(C225-Skovbrug!$B$12),Skovbrug!$F$22-(Skovbrug!$F$22)*(1-Skovbrug!$C$9)^(C225-Skovbrug!$B$12)))*VLOOKUP(A225,Skovbrug!$A$13:$D$17,IF('Skovbrug-alder'!C225&lt;=År2,3,4),FALSE)
-IF(C225&gt;2020,SUM(INDEX($C$1:$D$311,MATCH(1,(2020=$C$1:$C$311)*(B225=$B$1:$B$311)*(A225=$A$1:$A$311),0),2):D224),0)</f>
        <v>278.03824066756056</v>
      </c>
      <c r="E225">
        <f t="shared" ca="1" si="5"/>
        <v>0</v>
      </c>
      <c r="F225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952.28066490998458</v>
      </c>
      <c r="G225">
        <f ca="1">IF($C225-G$1&lt;År1,0,F224*(1-VLOOKUP($A225,[1]Hugst!$R$5:$W$9,MATCH(ROUNDUP((G$1)/10,0)*10,[1]Hugst!$R$4:$W$4,0))))</f>
        <v>953.67784199875382</v>
      </c>
      <c r="H225">
        <f ca="1">IF($C225-H$1&lt;År1,0,G224*(1-VLOOKUP($A225,[1]Hugst!$R$5:$W$9,MATCH(ROUNDUP((H$1)/10,0)*10,[1]Hugst!$R$4:$W$4,0))))</f>
        <v>955.0820400779362</v>
      </c>
      <c r="I225">
        <f ca="1">IF($C225-I$1&lt;År1,0,H224*(1-VLOOKUP($A225,[1]Hugst!$R$5:$W$9,MATCH(ROUNDUP((I$1)/10,0)*10,[1]Hugst!$R$4:$W$4,0))))</f>
        <v>956.49329442886085</v>
      </c>
      <c r="J225">
        <f ca="1">IF($C225-J$1&lt;År1,0,I224*(1-VLOOKUP($A225,[1]Hugst!$R$5:$W$9,MATCH(ROUNDUP((J$1)/10,0)*10,[1]Hugst!$R$4:$W$4,0))))</f>
        <v>957.91164051020678</v>
      </c>
      <c r="K225">
        <f ca="1">IF($C225-K$1&lt;År1,0,J224*(1-VLOOKUP($A225,[1]Hugst!$R$5:$W$9,MATCH(ROUNDUP((K$1)/10,0)*10,[1]Hugst!$R$4:$W$4,0))))</f>
        <v>959.33711395878777</v>
      </c>
      <c r="L225">
        <f ca="1">IF($C225-L$1&lt;År1,0,K224*(1-VLOOKUP($A225,[1]Hugst!$R$5:$W$9,MATCH(ROUNDUP((L$1)/10,0)*10,[1]Hugst!$R$4:$W$4,0))))</f>
        <v>960.76975059052859</v>
      </c>
      <c r="M225">
        <f>IF($C225-M$1&lt;År1,0,L224*(1-VLOOKUP($A225,[1]Hugst!$R$5:$W$9,MATCH(ROUNDUP((M$1)/10,0)*10,[1]Hugst!$R$4:$W$4,0))))</f>
        <v>0</v>
      </c>
      <c r="N225">
        <f>IF($C225-N$1&lt;År1,0,M224*(1-VLOOKUP($A225,[1]Hugst!$R$5:$W$9,MATCH(ROUNDUP((N$1)/10,0)*10,[1]Hugst!$R$4:$W$4,0))))</f>
        <v>0</v>
      </c>
      <c r="O225">
        <f>IF($C225-O$1&lt;År1,0,N224*(1-VLOOKUP($A225,[1]Hugst!$R$5:$W$9,MATCH(ROUNDUP((O$1)/10,0)*10,[1]Hugst!$R$4:$W$4,0))))</f>
        <v>0</v>
      </c>
      <c r="P225">
        <f>IF($C225-P$1&lt;År1,0,O224*(1-VLOOKUP($A225,[1]Hugst!$R$5:$W$9,MATCH(ROUNDUP((P$1)/10,0)*10,[1]Hugst!$R$4:$W$4,0))))</f>
        <v>0</v>
      </c>
      <c r="Q225">
        <f>IF($C225-Q$1&lt;År1,0,P224*(1-VLOOKUP($A225,[1]Hugst!$R$5:$W$9,MATCH(ROUNDUP((Q$1)/10,0)*10,[1]Hugst!$R$4:$W$4,0))))</f>
        <v>0</v>
      </c>
      <c r="R225">
        <f>IF($C225-R$1&lt;År1,0,Q224*(1-VLOOKUP($A225,[1]Hugst!$R$5:$W$9,MATCH(ROUNDUP((R$1)/10,0)*10,[1]Hugst!$R$4:$W$4,0))))</f>
        <v>0</v>
      </c>
      <c r="S225">
        <f>IF($C225-S$1&lt;År1,0,R224*(1-VLOOKUP($A225,[1]Hugst!$R$5:$W$9,MATCH(ROUNDUP((S$1)/10,0)*10,[1]Hugst!$R$4:$W$4,0))))</f>
        <v>0</v>
      </c>
      <c r="T225">
        <f>IF($C225-T$1&lt;År1,0,S224*(1-VLOOKUP($A225,[1]Hugst!$R$5:$W$9,MATCH(ROUNDUP((T$1)/10,0)*10,[1]Hugst!$R$4:$W$4,0))))</f>
        <v>0</v>
      </c>
      <c r="U225">
        <f>IF($C225-U$1&lt;År1,0,T224*(1-VLOOKUP($A225,[1]Hugst!$R$5:$W$9,MATCH(ROUNDUP((U$1)/10,0)*10,[1]Hugst!$R$4:$W$4,0))))</f>
        <v>0</v>
      </c>
      <c r="V225">
        <f>IF($C225-V$1&lt;År1,0,U224*(1-VLOOKUP($A225,[1]Hugst!$R$5:$W$9,MATCH(ROUNDUP((V$1)/10,0)*10,[1]Hugst!$R$4:$W$4,0))))</f>
        <v>0</v>
      </c>
      <c r="W225">
        <f>IF($C225-W$1&lt;År1,0,V224*(1-VLOOKUP($A225,[1]Hugst!$R$5:$W$9,MATCH(ROUNDUP((W$1)/10,0)*10,[1]Hugst!$R$4:$W$4,0))))</f>
        <v>0</v>
      </c>
      <c r="X225">
        <f>IF($C225-X$1&lt;År1,0,W224*(1-VLOOKUP($A225,[1]Hugst!$R$5:$W$9,MATCH(ROUNDUP((X$1)/10,0)*10,[1]Hugst!$R$4:$W$4,0))))</f>
        <v>0</v>
      </c>
      <c r="Y225">
        <f>IF($C225-Y$1&lt;År1,0,X224*(1-VLOOKUP($A225,[1]Hugst!$R$5:$W$9,MATCH(ROUNDUP((Y$1)/10,0)*10,[1]Hugst!$R$4:$W$4,0))))</f>
        <v>0</v>
      </c>
      <c r="Z225">
        <f>IF($C225-Z$1&lt;År1,0,Y224*(1-VLOOKUP($A225,[1]Hugst!$R$5:$W$9,MATCH(ROUNDUP((Z$1)/10,0)*10,[1]Hugst!$R$4:$W$4,0))))</f>
        <v>0</v>
      </c>
      <c r="AA225">
        <f>IF($C225-AA$1&lt;År1,0,Z224*(1-VLOOKUP($A225,[1]Hugst!$R$5:$W$9,MATCH(ROUNDUP((AA$1)/10,0)*10,[1]Hugst!$R$4:$W$4,0))))</f>
        <v>0</v>
      </c>
      <c r="AB225">
        <f>IF($C225-AB$1&lt;År1,0,AA224*(1-VLOOKUP($A225,[1]Hugst!$R$5:$W$9,MATCH(ROUNDUP((AB$1)/10,0)*10,[1]Hugst!$R$4:$W$4,0))))</f>
        <v>0</v>
      </c>
      <c r="AC225">
        <f>IF($C225-AC$1&lt;År1,0,AB224*(1-VLOOKUP($A225,[1]Hugst!$R$5:$W$9,MATCH(ROUNDUP((AC$1)/10,0)*10,[1]Hugst!$R$4:$W$4,0))))</f>
        <v>0</v>
      </c>
      <c r="AD225">
        <f>IF($C225-AD$1&lt;År1,0,AC224*(1-VLOOKUP($A225,[1]Hugst!$R$5:$W$9,MATCH(ROUNDUP((AD$1)/10,0)*10,[1]Hugst!$R$4:$W$4,0))))</f>
        <v>0</v>
      </c>
      <c r="AE225">
        <f>IF($C225-AE$1&lt;År1,0,AD224*(1-VLOOKUP($A225,[1]Hugst!$R$5:$W$9,MATCH(ROUNDUP((AE$1)/10,0)*10,[1]Hugst!$R$4:$W$4,0))))</f>
        <v>0</v>
      </c>
      <c r="AF225">
        <f>IF($C225-AF$1&lt;År1,0,AE224*(1-VLOOKUP($A225,[1]Hugst!$R$5:$W$9,MATCH(ROUNDUP((AF$1)/10,0)*10,[1]Hugst!$R$4:$W$4,0))))</f>
        <v>0</v>
      </c>
      <c r="AG225">
        <f>IF($C225-AG$1&lt;År1,0,AF224*(1-VLOOKUP($A225,[1]Hugst!$R$5:$W$9,MATCH(ROUNDUP((AG$1)/10,0)*10,[1]Hugst!$R$4:$W$4,0))))</f>
        <v>0</v>
      </c>
      <c r="AH225">
        <f>IF($C225-AH$1&lt;År1,0,AG224*(1-VLOOKUP($A225,[1]Hugst!$R$5:$W$9,MATCH(ROUNDUP((AH$1)/10,0)*10,[1]Hugst!$R$4:$W$4,0))))</f>
        <v>0</v>
      </c>
      <c r="AI225">
        <f>IF($C225-AI$1&lt;År1,0,AH224*(1-VLOOKUP($A225,[1]Hugst!$R$5:$W$9,MATCH(ROUNDUP((AI$1)/10,0)*10,[1]Hugst!$R$4:$W$4,0))))</f>
        <v>0</v>
      </c>
      <c r="AJ225">
        <f>IF($C225-AJ$1&lt;År1,0,AI224*(1-VLOOKUP($A225,[1]Hugst!$R$5:$W$9,MATCH(ROUNDUP((AJ$1)/10,0)*10,[1]Hugst!$R$4:$W$4,0))))</f>
        <v>0</v>
      </c>
    </row>
    <row r="226" spans="1:36" x14ac:dyDescent="0.25">
      <c r="A226" t="s">
        <v>179</v>
      </c>
      <c r="B226" t="s">
        <v>24</v>
      </c>
      <c r="C226">
        <v>2027</v>
      </c>
      <c r="D226" cm="1">
        <f t="array" ref="D226">(IF(B226="Vestdanmark",Skovbrug!$C$22-(Skovbrug!$C$22)*(1-Skovbrug!$C$9)^(C226-Skovbrug!$B$12),Skovbrug!$F$22-(Skovbrug!$F$22)*(1-Skovbrug!$C$9)^(C226-Skovbrug!$B$12)))*VLOOKUP(A226,Skovbrug!$A$13:$D$17,IF('Skovbrug-alder'!C226&lt;=År2,3,4),FALSE)
-IF(C226&gt;2020,SUM(INDEX($C$1:$D$311,MATCH(1,(2020=$C$1:$C$311)*(B226=$B$1:$B$311)*(A226=$A$1:$A$311),0),2):D225),0)</f>
        <v>276.64804946420918</v>
      </c>
      <c r="E226">
        <f t="shared" ca="1" si="5"/>
        <v>0</v>
      </c>
      <c r="F226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950.8904737066332</v>
      </c>
      <c r="G226">
        <f ca="1">IF($C226-G$1&lt;År1,0,F225*(1-VLOOKUP($A226,[1]Hugst!$R$5:$W$9,MATCH(ROUNDUP((G$1)/10,0)*10,[1]Hugst!$R$4:$W$4,0))))</f>
        <v>952.28066490998458</v>
      </c>
      <c r="H226">
        <f ca="1">IF($C226-H$1&lt;År1,0,G225*(1-VLOOKUP($A226,[1]Hugst!$R$5:$W$9,MATCH(ROUNDUP((H$1)/10,0)*10,[1]Hugst!$R$4:$W$4,0))))</f>
        <v>953.67784199875382</v>
      </c>
      <c r="I226">
        <f ca="1">IF($C226-I$1&lt;År1,0,H225*(1-VLOOKUP($A226,[1]Hugst!$R$5:$W$9,MATCH(ROUNDUP((I$1)/10,0)*10,[1]Hugst!$R$4:$W$4,0))))</f>
        <v>955.0820400779362</v>
      </c>
      <c r="J226">
        <f ca="1">IF($C226-J$1&lt;År1,0,I225*(1-VLOOKUP($A226,[1]Hugst!$R$5:$W$9,MATCH(ROUNDUP((J$1)/10,0)*10,[1]Hugst!$R$4:$W$4,0))))</f>
        <v>956.49329442886085</v>
      </c>
      <c r="K226">
        <f ca="1">IF($C226-K$1&lt;År1,0,J225*(1-VLOOKUP($A226,[1]Hugst!$R$5:$W$9,MATCH(ROUNDUP((K$1)/10,0)*10,[1]Hugst!$R$4:$W$4,0))))</f>
        <v>957.91164051020678</v>
      </c>
      <c r="L226">
        <f ca="1">IF($C226-L$1&lt;År1,0,K225*(1-VLOOKUP($A226,[1]Hugst!$R$5:$W$9,MATCH(ROUNDUP((L$1)/10,0)*10,[1]Hugst!$R$4:$W$4,0))))</f>
        <v>959.33711395878777</v>
      </c>
      <c r="M226">
        <f ca="1">IF($C226-M$1&lt;År1,0,L225*(1-VLOOKUP($A226,[1]Hugst!$R$5:$W$9,MATCH(ROUNDUP((M$1)/10,0)*10,[1]Hugst!$R$4:$W$4,0))))</f>
        <v>960.76975059052859</v>
      </c>
      <c r="N226">
        <f>IF($C226-N$1&lt;År1,0,M225*(1-VLOOKUP($A226,[1]Hugst!$R$5:$W$9,MATCH(ROUNDUP((N$1)/10,0)*10,[1]Hugst!$R$4:$W$4,0))))</f>
        <v>0</v>
      </c>
      <c r="O226">
        <f>IF($C226-O$1&lt;År1,0,N225*(1-VLOOKUP($A226,[1]Hugst!$R$5:$W$9,MATCH(ROUNDUP((O$1)/10,0)*10,[1]Hugst!$R$4:$W$4,0))))</f>
        <v>0</v>
      </c>
      <c r="P226">
        <f>IF($C226-P$1&lt;År1,0,O225*(1-VLOOKUP($A226,[1]Hugst!$R$5:$W$9,MATCH(ROUNDUP((P$1)/10,0)*10,[1]Hugst!$R$4:$W$4,0))))</f>
        <v>0</v>
      </c>
      <c r="Q226">
        <f>IF($C226-Q$1&lt;År1,0,P225*(1-VLOOKUP($A226,[1]Hugst!$R$5:$W$9,MATCH(ROUNDUP((Q$1)/10,0)*10,[1]Hugst!$R$4:$W$4,0))))</f>
        <v>0</v>
      </c>
      <c r="R226">
        <f>IF($C226-R$1&lt;År1,0,Q225*(1-VLOOKUP($A226,[1]Hugst!$R$5:$W$9,MATCH(ROUNDUP((R$1)/10,0)*10,[1]Hugst!$R$4:$W$4,0))))</f>
        <v>0</v>
      </c>
      <c r="S226">
        <f>IF($C226-S$1&lt;År1,0,R225*(1-VLOOKUP($A226,[1]Hugst!$R$5:$W$9,MATCH(ROUNDUP((S$1)/10,0)*10,[1]Hugst!$R$4:$W$4,0))))</f>
        <v>0</v>
      </c>
      <c r="T226">
        <f>IF($C226-T$1&lt;År1,0,S225*(1-VLOOKUP($A226,[1]Hugst!$R$5:$W$9,MATCH(ROUNDUP((T$1)/10,0)*10,[1]Hugst!$R$4:$W$4,0))))</f>
        <v>0</v>
      </c>
      <c r="U226">
        <f>IF($C226-U$1&lt;År1,0,T225*(1-VLOOKUP($A226,[1]Hugst!$R$5:$W$9,MATCH(ROUNDUP((U$1)/10,0)*10,[1]Hugst!$R$4:$W$4,0))))</f>
        <v>0</v>
      </c>
      <c r="V226">
        <f>IF($C226-V$1&lt;År1,0,U225*(1-VLOOKUP($A226,[1]Hugst!$R$5:$W$9,MATCH(ROUNDUP((V$1)/10,0)*10,[1]Hugst!$R$4:$W$4,0))))</f>
        <v>0</v>
      </c>
      <c r="W226">
        <f>IF($C226-W$1&lt;År1,0,V225*(1-VLOOKUP($A226,[1]Hugst!$R$5:$W$9,MATCH(ROUNDUP((W$1)/10,0)*10,[1]Hugst!$R$4:$W$4,0))))</f>
        <v>0</v>
      </c>
      <c r="X226">
        <f>IF($C226-X$1&lt;År1,0,W225*(1-VLOOKUP($A226,[1]Hugst!$R$5:$W$9,MATCH(ROUNDUP((X$1)/10,0)*10,[1]Hugst!$R$4:$W$4,0))))</f>
        <v>0</v>
      </c>
      <c r="Y226">
        <f>IF($C226-Y$1&lt;År1,0,X225*(1-VLOOKUP($A226,[1]Hugst!$R$5:$W$9,MATCH(ROUNDUP((Y$1)/10,0)*10,[1]Hugst!$R$4:$W$4,0))))</f>
        <v>0</v>
      </c>
      <c r="Z226">
        <f>IF($C226-Z$1&lt;År1,0,Y225*(1-VLOOKUP($A226,[1]Hugst!$R$5:$W$9,MATCH(ROUNDUP((Z$1)/10,0)*10,[1]Hugst!$R$4:$W$4,0))))</f>
        <v>0</v>
      </c>
      <c r="AA226">
        <f>IF($C226-AA$1&lt;År1,0,Z225*(1-VLOOKUP($A226,[1]Hugst!$R$5:$W$9,MATCH(ROUNDUP((AA$1)/10,0)*10,[1]Hugst!$R$4:$W$4,0))))</f>
        <v>0</v>
      </c>
      <c r="AB226">
        <f>IF($C226-AB$1&lt;År1,0,AA225*(1-VLOOKUP($A226,[1]Hugst!$R$5:$W$9,MATCH(ROUNDUP((AB$1)/10,0)*10,[1]Hugst!$R$4:$W$4,0))))</f>
        <v>0</v>
      </c>
      <c r="AC226">
        <f>IF($C226-AC$1&lt;År1,0,AB225*(1-VLOOKUP($A226,[1]Hugst!$R$5:$W$9,MATCH(ROUNDUP((AC$1)/10,0)*10,[1]Hugst!$R$4:$W$4,0))))</f>
        <v>0</v>
      </c>
      <c r="AD226">
        <f>IF($C226-AD$1&lt;År1,0,AC225*(1-VLOOKUP($A226,[1]Hugst!$R$5:$W$9,MATCH(ROUNDUP((AD$1)/10,0)*10,[1]Hugst!$R$4:$W$4,0))))</f>
        <v>0</v>
      </c>
      <c r="AE226">
        <f>IF($C226-AE$1&lt;År1,0,AD225*(1-VLOOKUP($A226,[1]Hugst!$R$5:$W$9,MATCH(ROUNDUP((AE$1)/10,0)*10,[1]Hugst!$R$4:$W$4,0))))</f>
        <v>0</v>
      </c>
      <c r="AF226">
        <f>IF($C226-AF$1&lt;År1,0,AE225*(1-VLOOKUP($A226,[1]Hugst!$R$5:$W$9,MATCH(ROUNDUP((AF$1)/10,0)*10,[1]Hugst!$R$4:$W$4,0))))</f>
        <v>0</v>
      </c>
      <c r="AG226">
        <f>IF($C226-AG$1&lt;År1,0,AF225*(1-VLOOKUP($A226,[1]Hugst!$R$5:$W$9,MATCH(ROUNDUP((AG$1)/10,0)*10,[1]Hugst!$R$4:$W$4,0))))</f>
        <v>0</v>
      </c>
      <c r="AH226">
        <f>IF($C226-AH$1&lt;År1,0,AG225*(1-VLOOKUP($A226,[1]Hugst!$R$5:$W$9,MATCH(ROUNDUP((AH$1)/10,0)*10,[1]Hugst!$R$4:$W$4,0))))</f>
        <v>0</v>
      </c>
      <c r="AI226">
        <f>IF($C226-AI$1&lt;År1,0,AH225*(1-VLOOKUP($A226,[1]Hugst!$R$5:$W$9,MATCH(ROUNDUP((AI$1)/10,0)*10,[1]Hugst!$R$4:$W$4,0))))</f>
        <v>0</v>
      </c>
      <c r="AJ226">
        <f>IF($C226-AJ$1&lt;År1,0,AI225*(1-VLOOKUP($A226,[1]Hugst!$R$5:$W$9,MATCH(ROUNDUP((AJ$1)/10,0)*10,[1]Hugst!$R$4:$W$4,0))))</f>
        <v>0</v>
      </c>
    </row>
    <row r="227" spans="1:36" x14ac:dyDescent="0.25">
      <c r="A227" t="s">
        <v>179</v>
      </c>
      <c r="B227" t="s">
        <v>24</v>
      </c>
      <c r="C227">
        <v>2028</v>
      </c>
      <c r="D227" cm="1">
        <f t="array" ref="D227">(IF(B227="Vestdanmark",Skovbrug!$C$22-(Skovbrug!$C$22)*(1-Skovbrug!$C$9)^(C227-Skovbrug!$B$12),Skovbrug!$F$22-(Skovbrug!$F$22)*(1-Skovbrug!$C$9)^(C227-Skovbrug!$B$12)))*VLOOKUP(A227,Skovbrug!$A$13:$D$17,IF('Skovbrug-alder'!C227&lt;=År2,3,4),FALSE)
-IF(C227&gt;2020,SUM(INDEX($C$1:$D$311,MATCH(1,(2020=$C$1:$C$311)*(B227=$B$1:$B$311)*(A227=$A$1:$A$311),0),2):D226),0)</f>
        <v>275.26480921689426</v>
      </c>
      <c r="E227">
        <f t="shared" ca="1" si="5"/>
        <v>0</v>
      </c>
      <c r="F227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949.50723345931829</v>
      </c>
      <c r="G227">
        <f ca="1">IF($C227-G$1&lt;År1,0,F226*(1-VLOOKUP($A227,[1]Hugst!$R$5:$W$9,MATCH(ROUNDUP((G$1)/10,0)*10,[1]Hugst!$R$4:$W$4,0))))</f>
        <v>950.8904737066332</v>
      </c>
      <c r="H227">
        <f ca="1">IF($C227-H$1&lt;År1,0,G226*(1-VLOOKUP($A227,[1]Hugst!$R$5:$W$9,MATCH(ROUNDUP((H$1)/10,0)*10,[1]Hugst!$R$4:$W$4,0))))</f>
        <v>952.28066490998458</v>
      </c>
      <c r="I227">
        <f ca="1">IF($C227-I$1&lt;År1,0,H226*(1-VLOOKUP($A227,[1]Hugst!$R$5:$W$9,MATCH(ROUNDUP((I$1)/10,0)*10,[1]Hugst!$R$4:$W$4,0))))</f>
        <v>953.67784199875382</v>
      </c>
      <c r="J227">
        <f ca="1">IF($C227-J$1&lt;År1,0,I226*(1-VLOOKUP($A227,[1]Hugst!$R$5:$W$9,MATCH(ROUNDUP((J$1)/10,0)*10,[1]Hugst!$R$4:$W$4,0))))</f>
        <v>955.0820400779362</v>
      </c>
      <c r="K227">
        <f ca="1">IF($C227-K$1&lt;År1,0,J226*(1-VLOOKUP($A227,[1]Hugst!$R$5:$W$9,MATCH(ROUNDUP((K$1)/10,0)*10,[1]Hugst!$R$4:$W$4,0))))</f>
        <v>956.49329442886085</v>
      </c>
      <c r="L227">
        <f ca="1">IF($C227-L$1&lt;År1,0,K226*(1-VLOOKUP($A227,[1]Hugst!$R$5:$W$9,MATCH(ROUNDUP((L$1)/10,0)*10,[1]Hugst!$R$4:$W$4,0))))</f>
        <v>957.91164051020678</v>
      </c>
      <c r="M227">
        <f ca="1">IF($C227-M$1&lt;År1,0,L226*(1-VLOOKUP($A227,[1]Hugst!$R$5:$W$9,MATCH(ROUNDUP((M$1)/10,0)*10,[1]Hugst!$R$4:$W$4,0))))</f>
        <v>959.33711395878777</v>
      </c>
      <c r="N227">
        <f ca="1">IF($C227-N$1&lt;År1,0,M226*(1-VLOOKUP($A227,[1]Hugst!$R$5:$W$9,MATCH(ROUNDUP((N$1)/10,0)*10,[1]Hugst!$R$4:$W$4,0))))</f>
        <v>960.76975059052859</v>
      </c>
      <c r="O227">
        <f>IF($C227-O$1&lt;År1,0,N226*(1-VLOOKUP($A227,[1]Hugst!$R$5:$W$9,MATCH(ROUNDUP((O$1)/10,0)*10,[1]Hugst!$R$4:$W$4,0))))</f>
        <v>0</v>
      </c>
      <c r="P227">
        <f>IF($C227-P$1&lt;År1,0,O226*(1-VLOOKUP($A227,[1]Hugst!$R$5:$W$9,MATCH(ROUNDUP((P$1)/10,0)*10,[1]Hugst!$R$4:$W$4,0))))</f>
        <v>0</v>
      </c>
      <c r="Q227">
        <f>IF($C227-Q$1&lt;År1,0,P226*(1-VLOOKUP($A227,[1]Hugst!$R$5:$W$9,MATCH(ROUNDUP((Q$1)/10,0)*10,[1]Hugst!$R$4:$W$4,0))))</f>
        <v>0</v>
      </c>
      <c r="R227">
        <f>IF($C227-R$1&lt;År1,0,Q226*(1-VLOOKUP($A227,[1]Hugst!$R$5:$W$9,MATCH(ROUNDUP((R$1)/10,0)*10,[1]Hugst!$R$4:$W$4,0))))</f>
        <v>0</v>
      </c>
      <c r="S227">
        <f>IF($C227-S$1&lt;År1,0,R226*(1-VLOOKUP($A227,[1]Hugst!$R$5:$W$9,MATCH(ROUNDUP((S$1)/10,0)*10,[1]Hugst!$R$4:$W$4,0))))</f>
        <v>0</v>
      </c>
      <c r="T227">
        <f>IF($C227-T$1&lt;År1,0,S226*(1-VLOOKUP($A227,[1]Hugst!$R$5:$W$9,MATCH(ROUNDUP((T$1)/10,0)*10,[1]Hugst!$R$4:$W$4,0))))</f>
        <v>0</v>
      </c>
      <c r="U227">
        <f>IF($C227-U$1&lt;År1,0,T226*(1-VLOOKUP($A227,[1]Hugst!$R$5:$W$9,MATCH(ROUNDUP((U$1)/10,0)*10,[1]Hugst!$R$4:$W$4,0))))</f>
        <v>0</v>
      </c>
      <c r="V227">
        <f>IF($C227-V$1&lt;År1,0,U226*(1-VLOOKUP($A227,[1]Hugst!$R$5:$W$9,MATCH(ROUNDUP((V$1)/10,0)*10,[1]Hugst!$R$4:$W$4,0))))</f>
        <v>0</v>
      </c>
      <c r="W227">
        <f>IF($C227-W$1&lt;År1,0,V226*(1-VLOOKUP($A227,[1]Hugst!$R$5:$W$9,MATCH(ROUNDUP((W$1)/10,0)*10,[1]Hugst!$R$4:$W$4,0))))</f>
        <v>0</v>
      </c>
      <c r="X227">
        <f>IF($C227-X$1&lt;År1,0,W226*(1-VLOOKUP($A227,[1]Hugst!$R$5:$W$9,MATCH(ROUNDUP((X$1)/10,0)*10,[1]Hugst!$R$4:$W$4,0))))</f>
        <v>0</v>
      </c>
      <c r="Y227">
        <f>IF($C227-Y$1&lt;År1,0,X226*(1-VLOOKUP($A227,[1]Hugst!$R$5:$W$9,MATCH(ROUNDUP((Y$1)/10,0)*10,[1]Hugst!$R$4:$W$4,0))))</f>
        <v>0</v>
      </c>
      <c r="Z227">
        <f>IF($C227-Z$1&lt;År1,0,Y226*(1-VLOOKUP($A227,[1]Hugst!$R$5:$W$9,MATCH(ROUNDUP((Z$1)/10,0)*10,[1]Hugst!$R$4:$W$4,0))))</f>
        <v>0</v>
      </c>
      <c r="AA227">
        <f>IF($C227-AA$1&lt;År1,0,Z226*(1-VLOOKUP($A227,[1]Hugst!$R$5:$W$9,MATCH(ROUNDUP((AA$1)/10,0)*10,[1]Hugst!$R$4:$W$4,0))))</f>
        <v>0</v>
      </c>
      <c r="AB227">
        <f>IF($C227-AB$1&lt;År1,0,AA226*(1-VLOOKUP($A227,[1]Hugst!$R$5:$W$9,MATCH(ROUNDUP((AB$1)/10,0)*10,[1]Hugst!$R$4:$W$4,0))))</f>
        <v>0</v>
      </c>
      <c r="AC227">
        <f>IF($C227-AC$1&lt;År1,0,AB226*(1-VLOOKUP($A227,[1]Hugst!$R$5:$W$9,MATCH(ROUNDUP((AC$1)/10,0)*10,[1]Hugst!$R$4:$W$4,0))))</f>
        <v>0</v>
      </c>
      <c r="AD227">
        <f>IF($C227-AD$1&lt;År1,0,AC226*(1-VLOOKUP($A227,[1]Hugst!$R$5:$W$9,MATCH(ROUNDUP((AD$1)/10,0)*10,[1]Hugst!$R$4:$W$4,0))))</f>
        <v>0</v>
      </c>
      <c r="AE227">
        <f>IF($C227-AE$1&lt;År1,0,AD226*(1-VLOOKUP($A227,[1]Hugst!$R$5:$W$9,MATCH(ROUNDUP((AE$1)/10,0)*10,[1]Hugst!$R$4:$W$4,0))))</f>
        <v>0</v>
      </c>
      <c r="AF227">
        <f>IF($C227-AF$1&lt;År1,0,AE226*(1-VLOOKUP($A227,[1]Hugst!$R$5:$W$9,MATCH(ROUNDUP((AF$1)/10,0)*10,[1]Hugst!$R$4:$W$4,0))))</f>
        <v>0</v>
      </c>
      <c r="AG227">
        <f>IF($C227-AG$1&lt;År1,0,AF226*(1-VLOOKUP($A227,[1]Hugst!$R$5:$W$9,MATCH(ROUNDUP((AG$1)/10,0)*10,[1]Hugst!$R$4:$W$4,0))))</f>
        <v>0</v>
      </c>
      <c r="AH227">
        <f>IF($C227-AH$1&lt;År1,0,AG226*(1-VLOOKUP($A227,[1]Hugst!$R$5:$W$9,MATCH(ROUNDUP((AH$1)/10,0)*10,[1]Hugst!$R$4:$W$4,0))))</f>
        <v>0</v>
      </c>
      <c r="AI227">
        <f>IF($C227-AI$1&lt;År1,0,AH226*(1-VLOOKUP($A227,[1]Hugst!$R$5:$W$9,MATCH(ROUNDUP((AI$1)/10,0)*10,[1]Hugst!$R$4:$W$4,0))))</f>
        <v>0</v>
      </c>
      <c r="AJ227">
        <f>IF($C227-AJ$1&lt;År1,0,AI226*(1-VLOOKUP($A227,[1]Hugst!$R$5:$W$9,MATCH(ROUNDUP((AJ$1)/10,0)*10,[1]Hugst!$R$4:$W$4,0))))</f>
        <v>0</v>
      </c>
    </row>
    <row r="228" spans="1:36" x14ac:dyDescent="0.25">
      <c r="A228" t="s">
        <v>179</v>
      </c>
      <c r="B228" t="s">
        <v>24</v>
      </c>
      <c r="C228">
        <v>2029</v>
      </c>
      <c r="D228" cm="1">
        <f t="array" ref="D228">(IF(B228="Vestdanmark",Skovbrug!$C$22-(Skovbrug!$C$22)*(1-Skovbrug!$C$9)^(C228-Skovbrug!$B$12),Skovbrug!$F$22-(Skovbrug!$F$22)*(1-Skovbrug!$C$9)^(C228-Skovbrug!$B$12)))*VLOOKUP(A228,Skovbrug!$A$13:$D$17,IF('Skovbrug-alder'!C228&lt;=År2,3,4),FALSE)
-IF(C228&gt;2020,SUM(INDEX($C$1:$D$311,MATCH(1,(2020=$C$1:$C$311)*(B228=$B$1:$B$311)*(A228=$A$1:$A$311),0),2):D227),0)</f>
        <v>273.88848517080805</v>
      </c>
      <c r="E228">
        <f t="shared" ca="1" si="5"/>
        <v>0</v>
      </c>
      <c r="F22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948.13090941323208</v>
      </c>
      <c r="G228">
        <f ca="1">IF($C228-G$1&lt;År1,0,F227*(1-VLOOKUP($A228,[1]Hugst!$R$5:$W$9,MATCH(ROUNDUP((G$1)/10,0)*10,[1]Hugst!$R$4:$W$4,0))))</f>
        <v>949.50723345931829</v>
      </c>
      <c r="H228">
        <f ca="1">IF($C228-H$1&lt;År1,0,G227*(1-VLOOKUP($A228,[1]Hugst!$R$5:$W$9,MATCH(ROUNDUP((H$1)/10,0)*10,[1]Hugst!$R$4:$W$4,0))))</f>
        <v>950.8904737066332</v>
      </c>
      <c r="I228">
        <f ca="1">IF($C228-I$1&lt;År1,0,H227*(1-VLOOKUP($A228,[1]Hugst!$R$5:$W$9,MATCH(ROUNDUP((I$1)/10,0)*10,[1]Hugst!$R$4:$W$4,0))))</f>
        <v>952.28066490998458</v>
      </c>
      <c r="J228">
        <f ca="1">IF($C228-J$1&lt;År1,0,I227*(1-VLOOKUP($A228,[1]Hugst!$R$5:$W$9,MATCH(ROUNDUP((J$1)/10,0)*10,[1]Hugst!$R$4:$W$4,0))))</f>
        <v>953.67784199875382</v>
      </c>
      <c r="K228">
        <f ca="1">IF($C228-K$1&lt;År1,0,J227*(1-VLOOKUP($A228,[1]Hugst!$R$5:$W$9,MATCH(ROUNDUP((K$1)/10,0)*10,[1]Hugst!$R$4:$W$4,0))))</f>
        <v>955.0820400779362</v>
      </c>
      <c r="L228">
        <f ca="1">IF($C228-L$1&lt;År1,0,K227*(1-VLOOKUP($A228,[1]Hugst!$R$5:$W$9,MATCH(ROUNDUP((L$1)/10,0)*10,[1]Hugst!$R$4:$W$4,0))))</f>
        <v>956.49329442886085</v>
      </c>
      <c r="M228">
        <f ca="1">IF($C228-M$1&lt;År1,0,L227*(1-VLOOKUP($A228,[1]Hugst!$R$5:$W$9,MATCH(ROUNDUP((M$1)/10,0)*10,[1]Hugst!$R$4:$W$4,0))))</f>
        <v>957.91164051020678</v>
      </c>
      <c r="N228">
        <f ca="1">IF($C228-N$1&lt;År1,0,M227*(1-VLOOKUP($A228,[1]Hugst!$R$5:$W$9,MATCH(ROUNDUP((N$1)/10,0)*10,[1]Hugst!$R$4:$W$4,0))))</f>
        <v>959.33711395878777</v>
      </c>
      <c r="O228">
        <f ca="1">IF($C228-O$1&lt;År1,0,N227*(1-VLOOKUP($A228,[1]Hugst!$R$5:$W$9,MATCH(ROUNDUP((O$1)/10,0)*10,[1]Hugst!$R$4:$W$4,0))))</f>
        <v>960.76975059052859</v>
      </c>
      <c r="P228">
        <f>IF($C228-P$1&lt;År1,0,O227*(1-VLOOKUP($A228,[1]Hugst!$R$5:$W$9,MATCH(ROUNDUP((P$1)/10,0)*10,[1]Hugst!$R$4:$W$4,0))))</f>
        <v>0</v>
      </c>
      <c r="Q228">
        <f>IF($C228-Q$1&lt;År1,0,P227*(1-VLOOKUP($A228,[1]Hugst!$R$5:$W$9,MATCH(ROUNDUP((Q$1)/10,0)*10,[1]Hugst!$R$4:$W$4,0))))</f>
        <v>0</v>
      </c>
      <c r="R228">
        <f>IF($C228-R$1&lt;År1,0,Q227*(1-VLOOKUP($A228,[1]Hugst!$R$5:$W$9,MATCH(ROUNDUP((R$1)/10,0)*10,[1]Hugst!$R$4:$W$4,0))))</f>
        <v>0</v>
      </c>
      <c r="S228">
        <f>IF($C228-S$1&lt;År1,0,R227*(1-VLOOKUP($A228,[1]Hugst!$R$5:$W$9,MATCH(ROUNDUP((S$1)/10,0)*10,[1]Hugst!$R$4:$W$4,0))))</f>
        <v>0</v>
      </c>
      <c r="T228">
        <f>IF($C228-T$1&lt;År1,0,S227*(1-VLOOKUP($A228,[1]Hugst!$R$5:$W$9,MATCH(ROUNDUP((T$1)/10,0)*10,[1]Hugst!$R$4:$W$4,0))))</f>
        <v>0</v>
      </c>
      <c r="U228">
        <f>IF($C228-U$1&lt;År1,0,T227*(1-VLOOKUP($A228,[1]Hugst!$R$5:$W$9,MATCH(ROUNDUP((U$1)/10,0)*10,[1]Hugst!$R$4:$W$4,0))))</f>
        <v>0</v>
      </c>
      <c r="V228">
        <f>IF($C228-V$1&lt;År1,0,U227*(1-VLOOKUP($A228,[1]Hugst!$R$5:$W$9,MATCH(ROUNDUP((V$1)/10,0)*10,[1]Hugst!$R$4:$W$4,0))))</f>
        <v>0</v>
      </c>
      <c r="W228">
        <f>IF($C228-W$1&lt;År1,0,V227*(1-VLOOKUP($A228,[1]Hugst!$R$5:$W$9,MATCH(ROUNDUP((W$1)/10,0)*10,[1]Hugst!$R$4:$W$4,0))))</f>
        <v>0</v>
      </c>
      <c r="X228">
        <f>IF($C228-X$1&lt;År1,0,W227*(1-VLOOKUP($A228,[1]Hugst!$R$5:$W$9,MATCH(ROUNDUP((X$1)/10,0)*10,[1]Hugst!$R$4:$W$4,0))))</f>
        <v>0</v>
      </c>
      <c r="Y228">
        <f>IF($C228-Y$1&lt;År1,0,X227*(1-VLOOKUP($A228,[1]Hugst!$R$5:$W$9,MATCH(ROUNDUP((Y$1)/10,0)*10,[1]Hugst!$R$4:$W$4,0))))</f>
        <v>0</v>
      </c>
      <c r="Z228">
        <f>IF($C228-Z$1&lt;År1,0,Y227*(1-VLOOKUP($A228,[1]Hugst!$R$5:$W$9,MATCH(ROUNDUP((Z$1)/10,0)*10,[1]Hugst!$R$4:$W$4,0))))</f>
        <v>0</v>
      </c>
      <c r="AA228">
        <f>IF($C228-AA$1&lt;År1,0,Z227*(1-VLOOKUP($A228,[1]Hugst!$R$5:$W$9,MATCH(ROUNDUP((AA$1)/10,0)*10,[1]Hugst!$R$4:$W$4,0))))</f>
        <v>0</v>
      </c>
      <c r="AB228">
        <f>IF($C228-AB$1&lt;År1,0,AA227*(1-VLOOKUP($A228,[1]Hugst!$R$5:$W$9,MATCH(ROUNDUP((AB$1)/10,0)*10,[1]Hugst!$R$4:$W$4,0))))</f>
        <v>0</v>
      </c>
      <c r="AC228">
        <f>IF($C228-AC$1&lt;År1,0,AB227*(1-VLOOKUP($A228,[1]Hugst!$R$5:$W$9,MATCH(ROUNDUP((AC$1)/10,0)*10,[1]Hugst!$R$4:$W$4,0))))</f>
        <v>0</v>
      </c>
      <c r="AD228">
        <f>IF($C228-AD$1&lt;År1,0,AC227*(1-VLOOKUP($A228,[1]Hugst!$R$5:$W$9,MATCH(ROUNDUP((AD$1)/10,0)*10,[1]Hugst!$R$4:$W$4,0))))</f>
        <v>0</v>
      </c>
      <c r="AE228">
        <f>IF($C228-AE$1&lt;År1,0,AD227*(1-VLOOKUP($A228,[1]Hugst!$R$5:$W$9,MATCH(ROUNDUP((AE$1)/10,0)*10,[1]Hugst!$R$4:$W$4,0))))</f>
        <v>0</v>
      </c>
      <c r="AF228">
        <f>IF($C228-AF$1&lt;År1,0,AE227*(1-VLOOKUP($A228,[1]Hugst!$R$5:$W$9,MATCH(ROUNDUP((AF$1)/10,0)*10,[1]Hugst!$R$4:$W$4,0))))</f>
        <v>0</v>
      </c>
      <c r="AG228">
        <f>IF($C228-AG$1&lt;År1,0,AF227*(1-VLOOKUP($A228,[1]Hugst!$R$5:$W$9,MATCH(ROUNDUP((AG$1)/10,0)*10,[1]Hugst!$R$4:$W$4,0))))</f>
        <v>0</v>
      </c>
      <c r="AH228">
        <f>IF($C228-AH$1&lt;År1,0,AG227*(1-VLOOKUP($A228,[1]Hugst!$R$5:$W$9,MATCH(ROUNDUP((AH$1)/10,0)*10,[1]Hugst!$R$4:$W$4,0))))</f>
        <v>0</v>
      </c>
      <c r="AI228">
        <f>IF($C228-AI$1&lt;År1,0,AH227*(1-VLOOKUP($A228,[1]Hugst!$R$5:$W$9,MATCH(ROUNDUP((AI$1)/10,0)*10,[1]Hugst!$R$4:$W$4,0))))</f>
        <v>0</v>
      </c>
      <c r="AJ228">
        <f>IF($C228-AJ$1&lt;År1,0,AI227*(1-VLOOKUP($A228,[1]Hugst!$R$5:$W$9,MATCH(ROUNDUP((AJ$1)/10,0)*10,[1]Hugst!$R$4:$W$4,0))))</f>
        <v>0</v>
      </c>
    </row>
    <row r="229" spans="1:36" x14ac:dyDescent="0.25">
      <c r="A229" t="s">
        <v>179</v>
      </c>
      <c r="B229" t="s">
        <v>24</v>
      </c>
      <c r="C229">
        <v>2030</v>
      </c>
      <c r="D229" cm="1">
        <f t="array" ref="D229">(IF(B229="Vestdanmark",Skovbrug!$C$22-(Skovbrug!$C$22)*(1-Skovbrug!$C$9)^(C229-Skovbrug!$B$12),Skovbrug!$F$22-(Skovbrug!$F$22)*(1-Skovbrug!$C$9)^(C229-Skovbrug!$B$12)))*VLOOKUP(A229,Skovbrug!$A$13:$D$17,IF('Skovbrug-alder'!C229&lt;=År2,3,4),FALSE)
-IF(C229&gt;2020,SUM(INDEX($C$1:$D$311,MATCH(1,(2020=$C$1:$C$311)*(B229=$B$1:$B$311)*(A229=$A$1:$A$311),0),2):D228),0)</f>
        <v>272.51904274496019</v>
      </c>
      <c r="E229">
        <f t="shared" ca="1" si="5"/>
        <v>2.1090067695895414</v>
      </c>
      <c r="F229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948.87047375697375</v>
      </c>
      <c r="G229">
        <f ca="1">IF($C229-G$1&lt;År1,0,F228*(1-VLOOKUP($A229,[1]Hugst!$R$5:$W$9,MATCH(ROUNDUP((G$1)/10,0)*10,[1]Hugst!$R$4:$W$4,0))))</f>
        <v>948.13090941323208</v>
      </c>
      <c r="H229">
        <f ca="1">IF($C229-H$1&lt;År1,0,G228*(1-VLOOKUP($A229,[1]Hugst!$R$5:$W$9,MATCH(ROUNDUP((H$1)/10,0)*10,[1]Hugst!$R$4:$W$4,0))))</f>
        <v>949.50723345931829</v>
      </c>
      <c r="I229">
        <f ca="1">IF($C229-I$1&lt;År1,0,H228*(1-VLOOKUP($A229,[1]Hugst!$R$5:$W$9,MATCH(ROUNDUP((I$1)/10,0)*10,[1]Hugst!$R$4:$W$4,0))))</f>
        <v>950.8904737066332</v>
      </c>
      <c r="J229">
        <f ca="1">IF($C229-J$1&lt;År1,0,I228*(1-VLOOKUP($A229,[1]Hugst!$R$5:$W$9,MATCH(ROUNDUP((J$1)/10,0)*10,[1]Hugst!$R$4:$W$4,0))))</f>
        <v>952.28066490998458</v>
      </c>
      <c r="K229">
        <f ca="1">IF($C229-K$1&lt;År1,0,J228*(1-VLOOKUP($A229,[1]Hugst!$R$5:$W$9,MATCH(ROUNDUP((K$1)/10,0)*10,[1]Hugst!$R$4:$W$4,0))))</f>
        <v>953.67784199875382</v>
      </c>
      <c r="L229">
        <f ca="1">IF($C229-L$1&lt;År1,0,K228*(1-VLOOKUP($A229,[1]Hugst!$R$5:$W$9,MATCH(ROUNDUP((L$1)/10,0)*10,[1]Hugst!$R$4:$W$4,0))))</f>
        <v>955.0820400779362</v>
      </c>
      <c r="M229">
        <f ca="1">IF($C229-M$1&lt;År1,0,L228*(1-VLOOKUP($A229,[1]Hugst!$R$5:$W$9,MATCH(ROUNDUP((M$1)/10,0)*10,[1]Hugst!$R$4:$W$4,0))))</f>
        <v>956.49329442886085</v>
      </c>
      <c r="N229">
        <f ca="1">IF($C229-N$1&lt;År1,0,M228*(1-VLOOKUP($A229,[1]Hugst!$R$5:$W$9,MATCH(ROUNDUP((N$1)/10,0)*10,[1]Hugst!$R$4:$W$4,0))))</f>
        <v>957.91164051020678</v>
      </c>
      <c r="O229">
        <f ca="1">IF($C229-O$1&lt;År1,0,N228*(1-VLOOKUP($A229,[1]Hugst!$R$5:$W$9,MATCH(ROUNDUP((O$1)/10,0)*10,[1]Hugst!$R$4:$W$4,0))))</f>
        <v>959.33711395878777</v>
      </c>
      <c r="P229">
        <f ca="1">IF($C229-P$1&lt;År1,0,O228*(1-VLOOKUP($A229,[1]Hugst!$R$5:$W$9,MATCH(ROUNDUP((P$1)/10,0)*10,[1]Hugst!$R$4:$W$4,0))))</f>
        <v>958.66074382093962</v>
      </c>
      <c r="Q229">
        <f>IF($C229-Q$1&lt;År1,0,P228*(1-VLOOKUP($A229,[1]Hugst!$R$5:$W$9,MATCH(ROUNDUP((Q$1)/10,0)*10,[1]Hugst!$R$4:$W$4,0))))</f>
        <v>0</v>
      </c>
      <c r="R229">
        <f>IF($C229-R$1&lt;År1,0,Q228*(1-VLOOKUP($A229,[1]Hugst!$R$5:$W$9,MATCH(ROUNDUP((R$1)/10,0)*10,[1]Hugst!$R$4:$W$4,0))))</f>
        <v>0</v>
      </c>
      <c r="S229">
        <f>IF($C229-S$1&lt;År1,0,R228*(1-VLOOKUP($A229,[1]Hugst!$R$5:$W$9,MATCH(ROUNDUP((S$1)/10,0)*10,[1]Hugst!$R$4:$W$4,0))))</f>
        <v>0</v>
      </c>
      <c r="T229">
        <f>IF($C229-T$1&lt;År1,0,S228*(1-VLOOKUP($A229,[1]Hugst!$R$5:$W$9,MATCH(ROUNDUP((T$1)/10,0)*10,[1]Hugst!$R$4:$W$4,0))))</f>
        <v>0</v>
      </c>
      <c r="U229">
        <f>IF($C229-U$1&lt;År1,0,T228*(1-VLOOKUP($A229,[1]Hugst!$R$5:$W$9,MATCH(ROUNDUP((U$1)/10,0)*10,[1]Hugst!$R$4:$W$4,0))))</f>
        <v>0</v>
      </c>
      <c r="V229">
        <f>IF($C229-V$1&lt;År1,0,U228*(1-VLOOKUP($A229,[1]Hugst!$R$5:$W$9,MATCH(ROUNDUP((V$1)/10,0)*10,[1]Hugst!$R$4:$W$4,0))))</f>
        <v>0</v>
      </c>
      <c r="W229">
        <f>IF($C229-W$1&lt;År1,0,V228*(1-VLOOKUP($A229,[1]Hugst!$R$5:$W$9,MATCH(ROUNDUP((W$1)/10,0)*10,[1]Hugst!$R$4:$W$4,0))))</f>
        <v>0</v>
      </c>
      <c r="X229">
        <f>IF($C229-X$1&lt;År1,0,W228*(1-VLOOKUP($A229,[1]Hugst!$R$5:$W$9,MATCH(ROUNDUP((X$1)/10,0)*10,[1]Hugst!$R$4:$W$4,0))))</f>
        <v>0</v>
      </c>
      <c r="Y229">
        <f>IF($C229-Y$1&lt;År1,0,X228*(1-VLOOKUP($A229,[1]Hugst!$R$5:$W$9,MATCH(ROUNDUP((Y$1)/10,0)*10,[1]Hugst!$R$4:$W$4,0))))</f>
        <v>0</v>
      </c>
      <c r="Z229">
        <f>IF($C229-Z$1&lt;År1,0,Y228*(1-VLOOKUP($A229,[1]Hugst!$R$5:$W$9,MATCH(ROUNDUP((Z$1)/10,0)*10,[1]Hugst!$R$4:$W$4,0))))</f>
        <v>0</v>
      </c>
      <c r="AA229">
        <f>IF($C229-AA$1&lt;År1,0,Z228*(1-VLOOKUP($A229,[1]Hugst!$R$5:$W$9,MATCH(ROUNDUP((AA$1)/10,0)*10,[1]Hugst!$R$4:$W$4,0))))</f>
        <v>0</v>
      </c>
      <c r="AB229">
        <f>IF($C229-AB$1&lt;År1,0,AA228*(1-VLOOKUP($A229,[1]Hugst!$R$5:$W$9,MATCH(ROUNDUP((AB$1)/10,0)*10,[1]Hugst!$R$4:$W$4,0))))</f>
        <v>0</v>
      </c>
      <c r="AC229">
        <f>IF($C229-AC$1&lt;År1,0,AB228*(1-VLOOKUP($A229,[1]Hugst!$R$5:$W$9,MATCH(ROUNDUP((AC$1)/10,0)*10,[1]Hugst!$R$4:$W$4,0))))</f>
        <v>0</v>
      </c>
      <c r="AD229">
        <f>IF($C229-AD$1&lt;År1,0,AC228*(1-VLOOKUP($A229,[1]Hugst!$R$5:$W$9,MATCH(ROUNDUP((AD$1)/10,0)*10,[1]Hugst!$R$4:$W$4,0))))</f>
        <v>0</v>
      </c>
      <c r="AE229">
        <f>IF($C229-AE$1&lt;År1,0,AD228*(1-VLOOKUP($A229,[1]Hugst!$R$5:$W$9,MATCH(ROUNDUP((AE$1)/10,0)*10,[1]Hugst!$R$4:$W$4,0))))</f>
        <v>0</v>
      </c>
      <c r="AF229">
        <f>IF($C229-AF$1&lt;År1,0,AE228*(1-VLOOKUP($A229,[1]Hugst!$R$5:$W$9,MATCH(ROUNDUP((AF$1)/10,0)*10,[1]Hugst!$R$4:$W$4,0))))</f>
        <v>0</v>
      </c>
      <c r="AG229">
        <f>IF($C229-AG$1&lt;År1,0,AF228*(1-VLOOKUP($A229,[1]Hugst!$R$5:$W$9,MATCH(ROUNDUP((AG$1)/10,0)*10,[1]Hugst!$R$4:$W$4,0))))</f>
        <v>0</v>
      </c>
      <c r="AH229">
        <f>IF($C229-AH$1&lt;År1,0,AG228*(1-VLOOKUP($A229,[1]Hugst!$R$5:$W$9,MATCH(ROUNDUP((AH$1)/10,0)*10,[1]Hugst!$R$4:$W$4,0))))</f>
        <v>0</v>
      </c>
      <c r="AI229">
        <f>IF($C229-AI$1&lt;År1,0,AH228*(1-VLOOKUP($A229,[1]Hugst!$R$5:$W$9,MATCH(ROUNDUP((AI$1)/10,0)*10,[1]Hugst!$R$4:$W$4,0))))</f>
        <v>0</v>
      </c>
      <c r="AJ229">
        <f>IF($C229-AJ$1&lt;År1,0,AI228*(1-VLOOKUP($A229,[1]Hugst!$R$5:$W$9,MATCH(ROUNDUP((AJ$1)/10,0)*10,[1]Hugst!$R$4:$W$4,0))))</f>
        <v>0</v>
      </c>
    </row>
    <row r="230" spans="1:36" x14ac:dyDescent="0.25">
      <c r="A230" t="s">
        <v>179</v>
      </c>
      <c r="B230" t="s">
        <v>24</v>
      </c>
      <c r="C230">
        <v>2031</v>
      </c>
      <c r="D230" cm="1">
        <f t="array" ref="D230">(IF(B230="Vestdanmark",Skovbrug!$C$22-(Skovbrug!$C$22)*(1-Skovbrug!$C$9)^(C230-Skovbrug!$B$12),Skovbrug!$F$22-(Skovbrug!$F$22)*(1-Skovbrug!$C$9)^(C230-Skovbrug!$B$12)))*VLOOKUP(A230,Skovbrug!$A$13:$D$17,IF('Skovbrug-alder'!C230&lt;=År2,3,4),FALSE)
-IF(C230&gt;2020,SUM(INDEX($C$1:$D$311,MATCH(1,(2020=$C$1:$C$311)*(B230=$B$1:$B$311)*(A230=$A$1:$A$311),0),2):D229),0)</f>
        <v>271.15644753122115</v>
      </c>
      <c r="E230">
        <f t="shared" ca="1" si="5"/>
        <v>4.2102392000033433</v>
      </c>
      <c r="F230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646.20002006455798</v>
      </c>
      <c r="G230">
        <f ca="1">IF($C230-G$1&lt;År1,0,F229*(1-VLOOKUP($A230,[1]Hugst!$R$5:$W$9,MATCH(ROUNDUP((G$1)/10,0)*10,[1]Hugst!$R$4:$W$4,0))))</f>
        <v>948.87047375697375</v>
      </c>
      <c r="H230">
        <f ca="1">IF($C230-H$1&lt;År1,0,G229*(1-VLOOKUP($A230,[1]Hugst!$R$5:$W$9,MATCH(ROUNDUP((H$1)/10,0)*10,[1]Hugst!$R$4:$W$4,0))))</f>
        <v>948.13090941323208</v>
      </c>
      <c r="I230">
        <f ca="1">IF($C230-I$1&lt;År1,0,H229*(1-VLOOKUP($A230,[1]Hugst!$R$5:$W$9,MATCH(ROUNDUP((I$1)/10,0)*10,[1]Hugst!$R$4:$W$4,0))))</f>
        <v>949.50723345931829</v>
      </c>
      <c r="J230">
        <f ca="1">IF($C230-J$1&lt;År1,0,I229*(1-VLOOKUP($A230,[1]Hugst!$R$5:$W$9,MATCH(ROUNDUP((J$1)/10,0)*10,[1]Hugst!$R$4:$W$4,0))))</f>
        <v>950.8904737066332</v>
      </c>
      <c r="K230">
        <f ca="1">IF($C230-K$1&lt;År1,0,J229*(1-VLOOKUP($A230,[1]Hugst!$R$5:$W$9,MATCH(ROUNDUP((K$1)/10,0)*10,[1]Hugst!$R$4:$W$4,0))))</f>
        <v>952.28066490998458</v>
      </c>
      <c r="L230">
        <f ca="1">IF($C230-L$1&lt;År1,0,K229*(1-VLOOKUP($A230,[1]Hugst!$R$5:$W$9,MATCH(ROUNDUP((L$1)/10,0)*10,[1]Hugst!$R$4:$W$4,0))))</f>
        <v>953.67784199875382</v>
      </c>
      <c r="M230">
        <f ca="1">IF($C230-M$1&lt;År1,0,L229*(1-VLOOKUP($A230,[1]Hugst!$R$5:$W$9,MATCH(ROUNDUP((M$1)/10,0)*10,[1]Hugst!$R$4:$W$4,0))))</f>
        <v>955.0820400779362</v>
      </c>
      <c r="N230">
        <f ca="1">IF($C230-N$1&lt;År1,0,M229*(1-VLOOKUP($A230,[1]Hugst!$R$5:$W$9,MATCH(ROUNDUP((N$1)/10,0)*10,[1]Hugst!$R$4:$W$4,0))))</f>
        <v>956.49329442886085</v>
      </c>
      <c r="O230">
        <f ca="1">IF($C230-O$1&lt;År1,0,N229*(1-VLOOKUP($A230,[1]Hugst!$R$5:$W$9,MATCH(ROUNDUP((O$1)/10,0)*10,[1]Hugst!$R$4:$W$4,0))))</f>
        <v>957.91164051020678</v>
      </c>
      <c r="P230">
        <f ca="1">IF($C230-P$1&lt;År1,0,O229*(1-VLOOKUP($A230,[1]Hugst!$R$5:$W$9,MATCH(ROUNDUP((P$1)/10,0)*10,[1]Hugst!$R$4:$W$4,0))))</f>
        <v>957.23125200131722</v>
      </c>
      <c r="Q230">
        <f ca="1">IF($C230-Q$1&lt;År1,0,P229*(1-VLOOKUP($A230,[1]Hugst!$R$5:$W$9,MATCH(ROUNDUP((Q$1)/10,0)*10,[1]Hugst!$R$4:$W$4,0))))</f>
        <v>956.5563665784058</v>
      </c>
      <c r="R230">
        <f>IF($C230-R$1&lt;År1,0,Q229*(1-VLOOKUP($A230,[1]Hugst!$R$5:$W$9,MATCH(ROUNDUP((R$1)/10,0)*10,[1]Hugst!$R$4:$W$4,0))))</f>
        <v>0</v>
      </c>
      <c r="S230">
        <f>IF($C230-S$1&lt;År1,0,R229*(1-VLOOKUP($A230,[1]Hugst!$R$5:$W$9,MATCH(ROUNDUP((S$1)/10,0)*10,[1]Hugst!$R$4:$W$4,0))))</f>
        <v>0</v>
      </c>
      <c r="T230">
        <f>IF($C230-T$1&lt;År1,0,S229*(1-VLOOKUP($A230,[1]Hugst!$R$5:$W$9,MATCH(ROUNDUP((T$1)/10,0)*10,[1]Hugst!$R$4:$W$4,0))))</f>
        <v>0</v>
      </c>
      <c r="U230">
        <f>IF($C230-U$1&lt;År1,0,T229*(1-VLOOKUP($A230,[1]Hugst!$R$5:$W$9,MATCH(ROUNDUP((U$1)/10,0)*10,[1]Hugst!$R$4:$W$4,0))))</f>
        <v>0</v>
      </c>
      <c r="V230">
        <f>IF($C230-V$1&lt;År1,0,U229*(1-VLOOKUP($A230,[1]Hugst!$R$5:$W$9,MATCH(ROUNDUP((V$1)/10,0)*10,[1]Hugst!$R$4:$W$4,0))))</f>
        <v>0</v>
      </c>
      <c r="W230">
        <f>IF($C230-W$1&lt;År1,0,V229*(1-VLOOKUP($A230,[1]Hugst!$R$5:$W$9,MATCH(ROUNDUP((W$1)/10,0)*10,[1]Hugst!$R$4:$W$4,0))))</f>
        <v>0</v>
      </c>
      <c r="X230">
        <f>IF($C230-X$1&lt;År1,0,W229*(1-VLOOKUP($A230,[1]Hugst!$R$5:$W$9,MATCH(ROUNDUP((X$1)/10,0)*10,[1]Hugst!$R$4:$W$4,0))))</f>
        <v>0</v>
      </c>
      <c r="Y230">
        <f>IF($C230-Y$1&lt;År1,0,X229*(1-VLOOKUP($A230,[1]Hugst!$R$5:$W$9,MATCH(ROUNDUP((Y$1)/10,0)*10,[1]Hugst!$R$4:$W$4,0))))</f>
        <v>0</v>
      </c>
      <c r="Z230">
        <f>IF($C230-Z$1&lt;År1,0,Y229*(1-VLOOKUP($A230,[1]Hugst!$R$5:$W$9,MATCH(ROUNDUP((Z$1)/10,0)*10,[1]Hugst!$R$4:$W$4,0))))</f>
        <v>0</v>
      </c>
      <c r="AA230">
        <f>IF($C230-AA$1&lt;År1,0,Z229*(1-VLOOKUP($A230,[1]Hugst!$R$5:$W$9,MATCH(ROUNDUP((AA$1)/10,0)*10,[1]Hugst!$R$4:$W$4,0))))</f>
        <v>0</v>
      </c>
      <c r="AB230">
        <f>IF($C230-AB$1&lt;År1,0,AA229*(1-VLOOKUP($A230,[1]Hugst!$R$5:$W$9,MATCH(ROUNDUP((AB$1)/10,0)*10,[1]Hugst!$R$4:$W$4,0))))</f>
        <v>0</v>
      </c>
      <c r="AC230">
        <f>IF($C230-AC$1&lt;År1,0,AB229*(1-VLOOKUP($A230,[1]Hugst!$R$5:$W$9,MATCH(ROUNDUP((AC$1)/10,0)*10,[1]Hugst!$R$4:$W$4,0))))</f>
        <v>0</v>
      </c>
      <c r="AD230">
        <f>IF($C230-AD$1&lt;År1,0,AC229*(1-VLOOKUP($A230,[1]Hugst!$R$5:$W$9,MATCH(ROUNDUP((AD$1)/10,0)*10,[1]Hugst!$R$4:$W$4,0))))</f>
        <v>0</v>
      </c>
      <c r="AE230">
        <f>IF($C230-AE$1&lt;År1,0,AD229*(1-VLOOKUP($A230,[1]Hugst!$R$5:$W$9,MATCH(ROUNDUP((AE$1)/10,0)*10,[1]Hugst!$R$4:$W$4,0))))</f>
        <v>0</v>
      </c>
      <c r="AF230">
        <f>IF($C230-AF$1&lt;År1,0,AE229*(1-VLOOKUP($A230,[1]Hugst!$R$5:$W$9,MATCH(ROUNDUP((AF$1)/10,0)*10,[1]Hugst!$R$4:$W$4,0))))</f>
        <v>0</v>
      </c>
      <c r="AG230">
        <f>IF($C230-AG$1&lt;År1,0,AF229*(1-VLOOKUP($A230,[1]Hugst!$R$5:$W$9,MATCH(ROUNDUP((AG$1)/10,0)*10,[1]Hugst!$R$4:$W$4,0))))</f>
        <v>0</v>
      </c>
      <c r="AH230">
        <f>IF($C230-AH$1&lt;År1,0,AG229*(1-VLOOKUP($A230,[1]Hugst!$R$5:$W$9,MATCH(ROUNDUP((AH$1)/10,0)*10,[1]Hugst!$R$4:$W$4,0))))</f>
        <v>0</v>
      </c>
      <c r="AI230">
        <f>IF($C230-AI$1&lt;År1,0,AH229*(1-VLOOKUP($A230,[1]Hugst!$R$5:$W$9,MATCH(ROUNDUP((AI$1)/10,0)*10,[1]Hugst!$R$4:$W$4,0))))</f>
        <v>0</v>
      </c>
      <c r="AJ230">
        <f>IF($C230-AJ$1&lt;År1,0,AI229*(1-VLOOKUP($A230,[1]Hugst!$R$5:$W$9,MATCH(ROUNDUP((AJ$1)/10,0)*10,[1]Hugst!$R$4:$W$4,0))))</f>
        <v>0</v>
      </c>
    </row>
    <row r="231" spans="1:36" x14ac:dyDescent="0.25">
      <c r="A231" t="s">
        <v>179</v>
      </c>
      <c r="B231" t="s">
        <v>24</v>
      </c>
      <c r="C231">
        <v>2032</v>
      </c>
      <c r="D231" cm="1">
        <f t="array" ref="D231">(IF(B231="Vestdanmark",Skovbrug!$C$22-(Skovbrug!$C$22)*(1-Skovbrug!$C$9)^(C231-Skovbrug!$B$12),Skovbrug!$F$22-(Skovbrug!$F$22)*(1-Skovbrug!$C$9)^(C231-Skovbrug!$B$12)))*VLOOKUP(A231,Skovbrug!$A$13:$D$17,IF('Skovbrug-alder'!C231&lt;=År2,3,4),FALSE)
-IF(C231&gt;2020,SUM(INDEX($C$1:$D$311,MATCH(1,(2020=$C$1:$C$311)*(B231=$B$1:$B$311)*(A231=$A$1:$A$311),0),2):D230),0)</f>
        <v>269.80066529357509</v>
      </c>
      <c r="E231">
        <f t="shared" ca="1" si="5"/>
        <v>6.3037300809282897</v>
      </c>
      <c r="F231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646.93772870783687</v>
      </c>
      <c r="G231">
        <f ca="1">IF($C231-G$1&lt;År1,0,F230*(1-VLOOKUP($A231,[1]Hugst!$R$5:$W$9,MATCH(ROUNDUP((G$1)/10,0)*10,[1]Hugst!$R$4:$W$4,0))))</f>
        <v>646.20002006455798</v>
      </c>
      <c r="H231">
        <f ca="1">IF($C231-H$1&lt;År1,0,G230*(1-VLOOKUP($A231,[1]Hugst!$R$5:$W$9,MATCH(ROUNDUP((H$1)/10,0)*10,[1]Hugst!$R$4:$W$4,0))))</f>
        <v>948.87047375697375</v>
      </c>
      <c r="I231">
        <f ca="1">IF($C231-I$1&lt;År1,0,H230*(1-VLOOKUP($A231,[1]Hugst!$R$5:$W$9,MATCH(ROUNDUP((I$1)/10,0)*10,[1]Hugst!$R$4:$W$4,0))))</f>
        <v>948.13090941323208</v>
      </c>
      <c r="J231">
        <f ca="1">IF($C231-J$1&lt;År1,0,I230*(1-VLOOKUP($A231,[1]Hugst!$R$5:$W$9,MATCH(ROUNDUP((J$1)/10,0)*10,[1]Hugst!$R$4:$W$4,0))))</f>
        <v>949.50723345931829</v>
      </c>
      <c r="K231">
        <f ca="1">IF($C231-K$1&lt;År1,0,J230*(1-VLOOKUP($A231,[1]Hugst!$R$5:$W$9,MATCH(ROUNDUP((K$1)/10,0)*10,[1]Hugst!$R$4:$W$4,0))))</f>
        <v>950.8904737066332</v>
      </c>
      <c r="L231">
        <f ca="1">IF($C231-L$1&lt;År1,0,K230*(1-VLOOKUP($A231,[1]Hugst!$R$5:$W$9,MATCH(ROUNDUP((L$1)/10,0)*10,[1]Hugst!$R$4:$W$4,0))))</f>
        <v>952.28066490998458</v>
      </c>
      <c r="M231">
        <f ca="1">IF($C231-M$1&lt;År1,0,L230*(1-VLOOKUP($A231,[1]Hugst!$R$5:$W$9,MATCH(ROUNDUP((M$1)/10,0)*10,[1]Hugst!$R$4:$W$4,0))))</f>
        <v>953.67784199875382</v>
      </c>
      <c r="N231">
        <f ca="1">IF($C231-N$1&lt;År1,0,M230*(1-VLOOKUP($A231,[1]Hugst!$R$5:$W$9,MATCH(ROUNDUP((N$1)/10,0)*10,[1]Hugst!$R$4:$W$4,0))))</f>
        <v>955.0820400779362</v>
      </c>
      <c r="O231">
        <f ca="1">IF($C231-O$1&lt;År1,0,N230*(1-VLOOKUP($A231,[1]Hugst!$R$5:$W$9,MATCH(ROUNDUP((O$1)/10,0)*10,[1]Hugst!$R$4:$W$4,0))))</f>
        <v>956.49329442886085</v>
      </c>
      <c r="P231">
        <f ca="1">IF($C231-P$1&lt;År1,0,O230*(1-VLOOKUP($A231,[1]Hugst!$R$5:$W$9,MATCH(ROUNDUP((P$1)/10,0)*10,[1]Hugst!$R$4:$W$4,0))))</f>
        <v>955.80890764079413</v>
      </c>
      <c r="Q231">
        <f ca="1">IF($C231-Q$1&lt;År1,0,P230*(1-VLOOKUP($A231,[1]Hugst!$R$5:$W$9,MATCH(ROUNDUP((Q$1)/10,0)*10,[1]Hugst!$R$4:$W$4,0))))</f>
        <v>955.13001266765582</v>
      </c>
      <c r="R231">
        <f ca="1">IF($C231-R$1&lt;År1,0,Q230*(1-VLOOKUP($A231,[1]Hugst!$R$5:$W$9,MATCH(ROUNDUP((R$1)/10,0)*10,[1]Hugst!$R$4:$W$4,0))))</f>
        <v>954.45660870055076</v>
      </c>
      <c r="S231">
        <f>IF($C231-S$1&lt;År1,0,R230*(1-VLOOKUP($A231,[1]Hugst!$R$5:$W$9,MATCH(ROUNDUP((S$1)/10,0)*10,[1]Hugst!$R$4:$W$4,0))))</f>
        <v>0</v>
      </c>
      <c r="T231">
        <f>IF($C231-T$1&lt;År1,0,S230*(1-VLOOKUP($A231,[1]Hugst!$R$5:$W$9,MATCH(ROUNDUP((T$1)/10,0)*10,[1]Hugst!$R$4:$W$4,0))))</f>
        <v>0</v>
      </c>
      <c r="U231">
        <f>IF($C231-U$1&lt;År1,0,T230*(1-VLOOKUP($A231,[1]Hugst!$R$5:$W$9,MATCH(ROUNDUP((U$1)/10,0)*10,[1]Hugst!$R$4:$W$4,0))))</f>
        <v>0</v>
      </c>
      <c r="V231">
        <f>IF($C231-V$1&lt;År1,0,U230*(1-VLOOKUP($A231,[1]Hugst!$R$5:$W$9,MATCH(ROUNDUP((V$1)/10,0)*10,[1]Hugst!$R$4:$W$4,0))))</f>
        <v>0</v>
      </c>
      <c r="W231">
        <f>IF($C231-W$1&lt;År1,0,V230*(1-VLOOKUP($A231,[1]Hugst!$R$5:$W$9,MATCH(ROUNDUP((W$1)/10,0)*10,[1]Hugst!$R$4:$W$4,0))))</f>
        <v>0</v>
      </c>
      <c r="X231">
        <f>IF($C231-X$1&lt;År1,0,W230*(1-VLOOKUP($A231,[1]Hugst!$R$5:$W$9,MATCH(ROUNDUP((X$1)/10,0)*10,[1]Hugst!$R$4:$W$4,0))))</f>
        <v>0</v>
      </c>
      <c r="Y231">
        <f>IF($C231-Y$1&lt;År1,0,X230*(1-VLOOKUP($A231,[1]Hugst!$R$5:$W$9,MATCH(ROUNDUP((Y$1)/10,0)*10,[1]Hugst!$R$4:$W$4,0))))</f>
        <v>0</v>
      </c>
      <c r="Z231">
        <f>IF($C231-Z$1&lt;År1,0,Y230*(1-VLOOKUP($A231,[1]Hugst!$R$5:$W$9,MATCH(ROUNDUP((Z$1)/10,0)*10,[1]Hugst!$R$4:$W$4,0))))</f>
        <v>0</v>
      </c>
      <c r="AA231">
        <f>IF($C231-AA$1&lt;År1,0,Z230*(1-VLOOKUP($A231,[1]Hugst!$R$5:$W$9,MATCH(ROUNDUP((AA$1)/10,0)*10,[1]Hugst!$R$4:$W$4,0))))</f>
        <v>0</v>
      </c>
      <c r="AB231">
        <f>IF($C231-AB$1&lt;År1,0,AA230*(1-VLOOKUP($A231,[1]Hugst!$R$5:$W$9,MATCH(ROUNDUP((AB$1)/10,0)*10,[1]Hugst!$R$4:$W$4,0))))</f>
        <v>0</v>
      </c>
      <c r="AC231">
        <f>IF($C231-AC$1&lt;År1,0,AB230*(1-VLOOKUP($A231,[1]Hugst!$R$5:$W$9,MATCH(ROUNDUP((AC$1)/10,0)*10,[1]Hugst!$R$4:$W$4,0))))</f>
        <v>0</v>
      </c>
      <c r="AD231">
        <f>IF($C231-AD$1&lt;År1,0,AC230*(1-VLOOKUP($A231,[1]Hugst!$R$5:$W$9,MATCH(ROUNDUP((AD$1)/10,0)*10,[1]Hugst!$R$4:$W$4,0))))</f>
        <v>0</v>
      </c>
      <c r="AE231">
        <f>IF($C231-AE$1&lt;År1,0,AD230*(1-VLOOKUP($A231,[1]Hugst!$R$5:$W$9,MATCH(ROUNDUP((AE$1)/10,0)*10,[1]Hugst!$R$4:$W$4,0))))</f>
        <v>0</v>
      </c>
      <c r="AF231">
        <f>IF($C231-AF$1&lt;År1,0,AE230*(1-VLOOKUP($A231,[1]Hugst!$R$5:$W$9,MATCH(ROUNDUP((AF$1)/10,0)*10,[1]Hugst!$R$4:$W$4,0))))</f>
        <v>0</v>
      </c>
      <c r="AG231">
        <f>IF($C231-AG$1&lt;År1,0,AF230*(1-VLOOKUP($A231,[1]Hugst!$R$5:$W$9,MATCH(ROUNDUP((AG$1)/10,0)*10,[1]Hugst!$R$4:$W$4,0))))</f>
        <v>0</v>
      </c>
      <c r="AH231">
        <f>IF($C231-AH$1&lt;År1,0,AG230*(1-VLOOKUP($A231,[1]Hugst!$R$5:$W$9,MATCH(ROUNDUP((AH$1)/10,0)*10,[1]Hugst!$R$4:$W$4,0))))</f>
        <v>0</v>
      </c>
      <c r="AI231">
        <f>IF($C231-AI$1&lt;År1,0,AH230*(1-VLOOKUP($A231,[1]Hugst!$R$5:$W$9,MATCH(ROUNDUP((AI$1)/10,0)*10,[1]Hugst!$R$4:$W$4,0))))</f>
        <v>0</v>
      </c>
      <c r="AJ231">
        <f>IF($C231-AJ$1&lt;År1,0,AI230*(1-VLOOKUP($A231,[1]Hugst!$R$5:$W$9,MATCH(ROUNDUP((AJ$1)/10,0)*10,[1]Hugst!$R$4:$W$4,0))))</f>
        <v>0</v>
      </c>
    </row>
    <row r="232" spans="1:36" x14ac:dyDescent="0.25">
      <c r="A232" t="s">
        <v>179</v>
      </c>
      <c r="B232" t="s">
        <v>24</v>
      </c>
      <c r="C232">
        <v>2033</v>
      </c>
      <c r="D232" cm="1">
        <f t="array" ref="D232">(IF(B232="Vestdanmark",Skovbrug!$C$22-(Skovbrug!$C$22)*(1-Skovbrug!$C$9)^(C232-Skovbrug!$B$12),Skovbrug!$F$22-(Skovbrug!$F$22)*(1-Skovbrug!$C$9)^(C232-Skovbrug!$B$12)))*VLOOKUP(A232,Skovbrug!$A$13:$D$17,IF('Skovbrug-alder'!C232&lt;=År2,3,4),FALSE)
-IF(C232&gt;2020,SUM(INDEX($C$1:$D$311,MATCH(1,(2020=$C$1:$C$311)*(B232=$B$1:$B$311)*(A232=$A$1:$A$311),0),2):D231),0)</f>
        <v>268.45166196710352</v>
      </c>
      <c r="E232">
        <f t="shared" ca="1" si="5"/>
        <v>8.3895120514498558</v>
      </c>
      <c r="F232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647.67450735188686</v>
      </c>
      <c r="G232">
        <f ca="1">IF($C232-G$1&lt;År1,0,F231*(1-VLOOKUP($A232,[1]Hugst!$R$5:$W$9,MATCH(ROUNDUP((G$1)/10,0)*10,[1]Hugst!$R$4:$W$4,0))))</f>
        <v>646.93772870783687</v>
      </c>
      <c r="H232">
        <f ca="1">IF($C232-H$1&lt;År1,0,G231*(1-VLOOKUP($A232,[1]Hugst!$R$5:$W$9,MATCH(ROUNDUP((H$1)/10,0)*10,[1]Hugst!$R$4:$W$4,0))))</f>
        <v>646.20002006455798</v>
      </c>
      <c r="I232">
        <f ca="1">IF($C232-I$1&lt;År1,0,H231*(1-VLOOKUP($A232,[1]Hugst!$R$5:$W$9,MATCH(ROUNDUP((I$1)/10,0)*10,[1]Hugst!$R$4:$W$4,0))))</f>
        <v>948.87047375697375</v>
      </c>
      <c r="J232">
        <f ca="1">IF($C232-J$1&lt;År1,0,I231*(1-VLOOKUP($A232,[1]Hugst!$R$5:$W$9,MATCH(ROUNDUP((J$1)/10,0)*10,[1]Hugst!$R$4:$W$4,0))))</f>
        <v>948.13090941323208</v>
      </c>
      <c r="K232">
        <f ca="1">IF($C232-K$1&lt;År1,0,J231*(1-VLOOKUP($A232,[1]Hugst!$R$5:$W$9,MATCH(ROUNDUP((K$1)/10,0)*10,[1]Hugst!$R$4:$W$4,0))))</f>
        <v>949.50723345931829</v>
      </c>
      <c r="L232">
        <f ca="1">IF($C232-L$1&lt;År1,0,K231*(1-VLOOKUP($A232,[1]Hugst!$R$5:$W$9,MATCH(ROUNDUP((L$1)/10,0)*10,[1]Hugst!$R$4:$W$4,0))))</f>
        <v>950.8904737066332</v>
      </c>
      <c r="M232">
        <f ca="1">IF($C232-M$1&lt;År1,0,L231*(1-VLOOKUP($A232,[1]Hugst!$R$5:$W$9,MATCH(ROUNDUP((M$1)/10,0)*10,[1]Hugst!$R$4:$W$4,0))))</f>
        <v>952.28066490998458</v>
      </c>
      <c r="N232">
        <f ca="1">IF($C232-N$1&lt;År1,0,M231*(1-VLOOKUP($A232,[1]Hugst!$R$5:$W$9,MATCH(ROUNDUP((N$1)/10,0)*10,[1]Hugst!$R$4:$W$4,0))))</f>
        <v>953.67784199875382</v>
      </c>
      <c r="O232">
        <f ca="1">IF($C232-O$1&lt;År1,0,N231*(1-VLOOKUP($A232,[1]Hugst!$R$5:$W$9,MATCH(ROUNDUP((O$1)/10,0)*10,[1]Hugst!$R$4:$W$4,0))))</f>
        <v>955.0820400779362</v>
      </c>
      <c r="P232">
        <f ca="1">IF($C232-P$1&lt;År1,0,O231*(1-VLOOKUP($A232,[1]Hugst!$R$5:$W$9,MATCH(ROUNDUP((P$1)/10,0)*10,[1]Hugst!$R$4:$W$4,0))))</f>
        <v>954.39367500206583</v>
      </c>
      <c r="Q232">
        <f ca="1">IF($C232-Q$1&lt;År1,0,P231*(1-VLOOKUP($A232,[1]Hugst!$R$5:$W$9,MATCH(ROUNDUP((Q$1)/10,0)*10,[1]Hugst!$R$4:$W$4,0))))</f>
        <v>953.71079052646064</v>
      </c>
      <c r="R232">
        <f ca="1">IF($C232-R$1&lt;År1,0,Q231*(1-VLOOKUP($A232,[1]Hugst!$R$5:$W$9,MATCH(ROUNDUP((R$1)/10,0)*10,[1]Hugst!$R$4:$W$4,0))))</f>
        <v>953.03338581058051</v>
      </c>
      <c r="S232">
        <f ca="1">IF($C232-S$1&lt;År1,0,R231*(1-VLOOKUP($A232,[1]Hugst!$R$5:$W$9,MATCH(ROUNDUP((S$1)/10,0)*10,[1]Hugst!$R$4:$W$4,0))))</f>
        <v>952.36146004730563</v>
      </c>
      <c r="T232">
        <f>IF($C232-T$1&lt;År1,0,S231*(1-VLOOKUP($A232,[1]Hugst!$R$5:$W$9,MATCH(ROUNDUP((T$1)/10,0)*10,[1]Hugst!$R$4:$W$4,0))))</f>
        <v>0</v>
      </c>
      <c r="U232">
        <f>IF($C232-U$1&lt;År1,0,T231*(1-VLOOKUP($A232,[1]Hugst!$R$5:$W$9,MATCH(ROUNDUP((U$1)/10,0)*10,[1]Hugst!$R$4:$W$4,0))))</f>
        <v>0</v>
      </c>
      <c r="V232">
        <f>IF($C232-V$1&lt;År1,0,U231*(1-VLOOKUP($A232,[1]Hugst!$R$5:$W$9,MATCH(ROUNDUP((V$1)/10,0)*10,[1]Hugst!$R$4:$W$4,0))))</f>
        <v>0</v>
      </c>
      <c r="W232">
        <f>IF($C232-W$1&lt;År1,0,V231*(1-VLOOKUP($A232,[1]Hugst!$R$5:$W$9,MATCH(ROUNDUP((W$1)/10,0)*10,[1]Hugst!$R$4:$W$4,0))))</f>
        <v>0</v>
      </c>
      <c r="X232">
        <f>IF($C232-X$1&lt;År1,0,W231*(1-VLOOKUP($A232,[1]Hugst!$R$5:$W$9,MATCH(ROUNDUP((X$1)/10,0)*10,[1]Hugst!$R$4:$W$4,0))))</f>
        <v>0</v>
      </c>
      <c r="Y232">
        <f>IF($C232-Y$1&lt;År1,0,X231*(1-VLOOKUP($A232,[1]Hugst!$R$5:$W$9,MATCH(ROUNDUP((Y$1)/10,0)*10,[1]Hugst!$R$4:$W$4,0))))</f>
        <v>0</v>
      </c>
      <c r="Z232">
        <f>IF($C232-Z$1&lt;År1,0,Y231*(1-VLOOKUP($A232,[1]Hugst!$R$5:$W$9,MATCH(ROUNDUP((Z$1)/10,0)*10,[1]Hugst!$R$4:$W$4,0))))</f>
        <v>0</v>
      </c>
      <c r="AA232">
        <f>IF($C232-AA$1&lt;År1,0,Z231*(1-VLOOKUP($A232,[1]Hugst!$R$5:$W$9,MATCH(ROUNDUP((AA$1)/10,0)*10,[1]Hugst!$R$4:$W$4,0))))</f>
        <v>0</v>
      </c>
      <c r="AB232">
        <f>IF($C232-AB$1&lt;År1,0,AA231*(1-VLOOKUP($A232,[1]Hugst!$R$5:$W$9,MATCH(ROUNDUP((AB$1)/10,0)*10,[1]Hugst!$R$4:$W$4,0))))</f>
        <v>0</v>
      </c>
      <c r="AC232">
        <f>IF($C232-AC$1&lt;År1,0,AB231*(1-VLOOKUP($A232,[1]Hugst!$R$5:$W$9,MATCH(ROUNDUP((AC$1)/10,0)*10,[1]Hugst!$R$4:$W$4,0))))</f>
        <v>0</v>
      </c>
      <c r="AD232">
        <f>IF($C232-AD$1&lt;År1,0,AC231*(1-VLOOKUP($A232,[1]Hugst!$R$5:$W$9,MATCH(ROUNDUP((AD$1)/10,0)*10,[1]Hugst!$R$4:$W$4,0))))</f>
        <v>0</v>
      </c>
      <c r="AE232">
        <f>IF($C232-AE$1&lt;År1,0,AD231*(1-VLOOKUP($A232,[1]Hugst!$R$5:$W$9,MATCH(ROUNDUP((AE$1)/10,0)*10,[1]Hugst!$R$4:$W$4,0))))</f>
        <v>0</v>
      </c>
      <c r="AF232">
        <f>IF($C232-AF$1&lt;År1,0,AE231*(1-VLOOKUP($A232,[1]Hugst!$R$5:$W$9,MATCH(ROUNDUP((AF$1)/10,0)*10,[1]Hugst!$R$4:$W$4,0))))</f>
        <v>0</v>
      </c>
      <c r="AG232">
        <f>IF($C232-AG$1&lt;År1,0,AF231*(1-VLOOKUP($A232,[1]Hugst!$R$5:$W$9,MATCH(ROUNDUP((AG$1)/10,0)*10,[1]Hugst!$R$4:$W$4,0))))</f>
        <v>0</v>
      </c>
      <c r="AH232">
        <f>IF($C232-AH$1&lt;År1,0,AG231*(1-VLOOKUP($A232,[1]Hugst!$R$5:$W$9,MATCH(ROUNDUP((AH$1)/10,0)*10,[1]Hugst!$R$4:$W$4,0))))</f>
        <v>0</v>
      </c>
      <c r="AI232">
        <f>IF($C232-AI$1&lt;År1,0,AH231*(1-VLOOKUP($A232,[1]Hugst!$R$5:$W$9,MATCH(ROUNDUP((AI$1)/10,0)*10,[1]Hugst!$R$4:$W$4,0))))</f>
        <v>0</v>
      </c>
      <c r="AJ232">
        <f>IF($C232-AJ$1&lt;År1,0,AI231*(1-VLOOKUP($A232,[1]Hugst!$R$5:$W$9,MATCH(ROUNDUP((AJ$1)/10,0)*10,[1]Hugst!$R$4:$W$4,0))))</f>
        <v>0</v>
      </c>
    </row>
    <row r="233" spans="1:36" x14ac:dyDescent="0.25">
      <c r="A233" t="s">
        <v>179</v>
      </c>
      <c r="B233" t="s">
        <v>24</v>
      </c>
      <c r="C233">
        <v>2034</v>
      </c>
      <c r="D233" cm="1">
        <f t="array" ref="D233">(IF(B233="Vestdanmark",Skovbrug!$C$22-(Skovbrug!$C$22)*(1-Skovbrug!$C$9)^(C233-Skovbrug!$B$12),Skovbrug!$F$22-(Skovbrug!$F$22)*(1-Skovbrug!$C$9)^(C233-Skovbrug!$B$12)))*VLOOKUP(A233,Skovbrug!$A$13:$D$17,IF('Skovbrug-alder'!C233&lt;=År2,3,4),FALSE)
-IF(C233&gt;2020,SUM(INDEX($C$1:$D$311,MATCH(1,(2020=$C$1:$C$311)*(B233=$B$1:$B$311)*(A233=$A$1:$A$311),0),2):D232),0)</f>
        <v>267.10940365726901</v>
      </c>
      <c r="E233">
        <f t="shared" ca="1" si="5"/>
        <v>10.467617600776066</v>
      </c>
      <c r="F233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648.41035459137856</v>
      </c>
      <c r="G233">
        <f ca="1">IF($C233-G$1&lt;År1,0,F232*(1-VLOOKUP($A233,[1]Hugst!$R$5:$W$9,MATCH(ROUNDUP((G$1)/10,0)*10,[1]Hugst!$R$4:$W$4,0))))</f>
        <v>647.67450735188686</v>
      </c>
      <c r="H233">
        <f ca="1">IF($C233-H$1&lt;År1,0,G232*(1-VLOOKUP($A233,[1]Hugst!$R$5:$W$9,MATCH(ROUNDUP((H$1)/10,0)*10,[1]Hugst!$R$4:$W$4,0))))</f>
        <v>646.93772870783687</v>
      </c>
      <c r="I233">
        <f ca="1">IF($C233-I$1&lt;År1,0,H232*(1-VLOOKUP($A233,[1]Hugst!$R$5:$W$9,MATCH(ROUNDUP((I$1)/10,0)*10,[1]Hugst!$R$4:$W$4,0))))</f>
        <v>646.20002006455798</v>
      </c>
      <c r="J233">
        <f ca="1">IF($C233-J$1&lt;År1,0,I232*(1-VLOOKUP($A233,[1]Hugst!$R$5:$W$9,MATCH(ROUNDUP((J$1)/10,0)*10,[1]Hugst!$R$4:$W$4,0))))</f>
        <v>948.87047375697375</v>
      </c>
      <c r="K233">
        <f ca="1">IF($C233-K$1&lt;År1,0,J232*(1-VLOOKUP($A233,[1]Hugst!$R$5:$W$9,MATCH(ROUNDUP((K$1)/10,0)*10,[1]Hugst!$R$4:$W$4,0))))</f>
        <v>948.13090941323208</v>
      </c>
      <c r="L233">
        <f ca="1">IF($C233-L$1&lt;År1,0,K232*(1-VLOOKUP($A233,[1]Hugst!$R$5:$W$9,MATCH(ROUNDUP((L$1)/10,0)*10,[1]Hugst!$R$4:$W$4,0))))</f>
        <v>949.50723345931829</v>
      </c>
      <c r="M233">
        <f ca="1">IF($C233-M$1&lt;År1,0,L232*(1-VLOOKUP($A233,[1]Hugst!$R$5:$W$9,MATCH(ROUNDUP((M$1)/10,0)*10,[1]Hugst!$R$4:$W$4,0))))</f>
        <v>950.8904737066332</v>
      </c>
      <c r="N233">
        <f ca="1">IF($C233-N$1&lt;År1,0,M232*(1-VLOOKUP($A233,[1]Hugst!$R$5:$W$9,MATCH(ROUNDUP((N$1)/10,0)*10,[1]Hugst!$R$4:$W$4,0))))</f>
        <v>952.28066490998458</v>
      </c>
      <c r="O233">
        <f ca="1">IF($C233-O$1&lt;År1,0,N232*(1-VLOOKUP($A233,[1]Hugst!$R$5:$W$9,MATCH(ROUNDUP((O$1)/10,0)*10,[1]Hugst!$R$4:$W$4,0))))</f>
        <v>953.67784199875382</v>
      </c>
      <c r="P233">
        <f ca="1">IF($C233-P$1&lt;År1,0,O232*(1-VLOOKUP($A233,[1]Hugst!$R$5:$W$9,MATCH(ROUNDUP((P$1)/10,0)*10,[1]Hugst!$R$4:$W$4,0))))</f>
        <v>952.98551852654566</v>
      </c>
      <c r="Q233">
        <f ca="1">IF($C233-Q$1&lt;År1,0,P232*(1-VLOOKUP($A233,[1]Hugst!$R$5:$W$9,MATCH(ROUNDUP((Q$1)/10,0)*10,[1]Hugst!$R$4:$W$4,0))))</f>
        <v>952.29866449596375</v>
      </c>
      <c r="R233">
        <f ca="1">IF($C233-R$1&lt;År1,0,Q232*(1-VLOOKUP($A233,[1]Hugst!$R$5:$W$9,MATCH(ROUNDUP((R$1)/10,0)*10,[1]Hugst!$R$4:$W$4,0))))</f>
        <v>951.61727903506107</v>
      </c>
      <c r="S233">
        <f ca="1">IF($C233-S$1&lt;År1,0,R232*(1-VLOOKUP($A233,[1]Hugst!$R$5:$W$9,MATCH(ROUNDUP((S$1)/10,0)*10,[1]Hugst!$R$4:$W$4,0))))</f>
        <v>950.94136130514266</v>
      </c>
      <c r="T233">
        <f ca="1">IF($C233-T$1&lt;År1,0,S232*(1-VLOOKUP($A233,[1]Hugst!$R$5:$W$9,MATCH(ROUNDUP((T$1)/10,0)*10,[1]Hugst!$R$4:$W$4,0))))</f>
        <v>950.27091050086028</v>
      </c>
      <c r="U233">
        <f>IF($C233-U$1&lt;År1,0,T232*(1-VLOOKUP($A233,[1]Hugst!$R$5:$W$9,MATCH(ROUNDUP((U$1)/10,0)*10,[1]Hugst!$R$4:$W$4,0))))</f>
        <v>0</v>
      </c>
      <c r="V233">
        <f>IF($C233-V$1&lt;År1,0,U232*(1-VLOOKUP($A233,[1]Hugst!$R$5:$W$9,MATCH(ROUNDUP((V$1)/10,0)*10,[1]Hugst!$R$4:$W$4,0))))</f>
        <v>0</v>
      </c>
      <c r="W233">
        <f>IF($C233-W$1&lt;År1,0,V232*(1-VLOOKUP($A233,[1]Hugst!$R$5:$W$9,MATCH(ROUNDUP((W$1)/10,0)*10,[1]Hugst!$R$4:$W$4,0))))</f>
        <v>0</v>
      </c>
      <c r="X233">
        <f>IF($C233-X$1&lt;År1,0,W232*(1-VLOOKUP($A233,[1]Hugst!$R$5:$W$9,MATCH(ROUNDUP((X$1)/10,0)*10,[1]Hugst!$R$4:$W$4,0))))</f>
        <v>0</v>
      </c>
      <c r="Y233">
        <f>IF($C233-Y$1&lt;År1,0,X232*(1-VLOOKUP($A233,[1]Hugst!$R$5:$W$9,MATCH(ROUNDUP((Y$1)/10,0)*10,[1]Hugst!$R$4:$W$4,0))))</f>
        <v>0</v>
      </c>
      <c r="Z233">
        <f>IF($C233-Z$1&lt;År1,0,Y232*(1-VLOOKUP($A233,[1]Hugst!$R$5:$W$9,MATCH(ROUNDUP((Z$1)/10,0)*10,[1]Hugst!$R$4:$W$4,0))))</f>
        <v>0</v>
      </c>
      <c r="AA233">
        <f>IF($C233-AA$1&lt;År1,0,Z232*(1-VLOOKUP($A233,[1]Hugst!$R$5:$W$9,MATCH(ROUNDUP((AA$1)/10,0)*10,[1]Hugst!$R$4:$W$4,0))))</f>
        <v>0</v>
      </c>
      <c r="AB233">
        <f>IF($C233-AB$1&lt;År1,0,AA232*(1-VLOOKUP($A233,[1]Hugst!$R$5:$W$9,MATCH(ROUNDUP((AB$1)/10,0)*10,[1]Hugst!$R$4:$W$4,0))))</f>
        <v>0</v>
      </c>
      <c r="AC233">
        <f>IF($C233-AC$1&lt;År1,0,AB232*(1-VLOOKUP($A233,[1]Hugst!$R$5:$W$9,MATCH(ROUNDUP((AC$1)/10,0)*10,[1]Hugst!$R$4:$W$4,0))))</f>
        <v>0</v>
      </c>
      <c r="AD233">
        <f>IF($C233-AD$1&lt;År1,0,AC232*(1-VLOOKUP($A233,[1]Hugst!$R$5:$W$9,MATCH(ROUNDUP((AD$1)/10,0)*10,[1]Hugst!$R$4:$W$4,0))))</f>
        <v>0</v>
      </c>
      <c r="AE233">
        <f>IF($C233-AE$1&lt;År1,0,AD232*(1-VLOOKUP($A233,[1]Hugst!$R$5:$W$9,MATCH(ROUNDUP((AE$1)/10,0)*10,[1]Hugst!$R$4:$W$4,0))))</f>
        <v>0</v>
      </c>
      <c r="AF233">
        <f>IF($C233-AF$1&lt;År1,0,AE232*(1-VLOOKUP($A233,[1]Hugst!$R$5:$W$9,MATCH(ROUNDUP((AF$1)/10,0)*10,[1]Hugst!$R$4:$W$4,0))))</f>
        <v>0</v>
      </c>
      <c r="AG233">
        <f>IF($C233-AG$1&lt;År1,0,AF232*(1-VLOOKUP($A233,[1]Hugst!$R$5:$W$9,MATCH(ROUNDUP((AG$1)/10,0)*10,[1]Hugst!$R$4:$W$4,0))))</f>
        <v>0</v>
      </c>
      <c r="AH233">
        <f>IF($C233-AH$1&lt;År1,0,AG232*(1-VLOOKUP($A233,[1]Hugst!$R$5:$W$9,MATCH(ROUNDUP((AH$1)/10,0)*10,[1]Hugst!$R$4:$W$4,0))))</f>
        <v>0</v>
      </c>
      <c r="AI233">
        <f>IF($C233-AI$1&lt;År1,0,AH232*(1-VLOOKUP($A233,[1]Hugst!$R$5:$W$9,MATCH(ROUNDUP((AI$1)/10,0)*10,[1]Hugst!$R$4:$W$4,0))))</f>
        <v>0</v>
      </c>
      <c r="AJ233">
        <f>IF($C233-AJ$1&lt;År1,0,AI232*(1-VLOOKUP($A233,[1]Hugst!$R$5:$W$9,MATCH(ROUNDUP((AJ$1)/10,0)*10,[1]Hugst!$R$4:$W$4,0))))</f>
        <v>0</v>
      </c>
    </row>
    <row r="234" spans="1:36" x14ac:dyDescent="0.25">
      <c r="A234" t="s">
        <v>179</v>
      </c>
      <c r="B234" t="s">
        <v>24</v>
      </c>
      <c r="C234">
        <v>2035</v>
      </c>
      <c r="D234" cm="1">
        <f t="array" ref="D234">(IF(B234="Vestdanmark",Skovbrug!$C$22-(Skovbrug!$C$22)*(1-Skovbrug!$C$9)^(C234-Skovbrug!$B$12),Skovbrug!$F$22-(Skovbrug!$F$22)*(1-Skovbrug!$C$9)^(C234-Skovbrug!$B$12)))*VLOOKUP(A234,Skovbrug!$A$13:$D$17,IF('Skovbrug-alder'!C234&lt;=År2,3,4),FALSE)
-IF(C234&gt;2020,SUM(INDEX($C$1:$D$311,MATCH(1,(2020=$C$1:$C$311)*(B234=$B$1:$B$311)*(A234=$A$1:$A$311),0),2):D233),0)</f>
        <v>265.77385663898804</v>
      </c>
      <c r="E234">
        <f t="shared" ca="1" si="5"/>
        <v>12.538079068965089</v>
      </c>
      <c r="F234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649.14526904128661</v>
      </c>
      <c r="G234">
        <f ca="1">IF($C234-G$1&lt;År1,0,F233*(1-VLOOKUP($A234,[1]Hugst!$R$5:$W$9,MATCH(ROUNDUP((G$1)/10,0)*10,[1]Hugst!$R$4:$W$4,0))))</f>
        <v>648.41035459137856</v>
      </c>
      <c r="H234">
        <f ca="1">IF($C234-H$1&lt;År1,0,G233*(1-VLOOKUP($A234,[1]Hugst!$R$5:$W$9,MATCH(ROUNDUP((H$1)/10,0)*10,[1]Hugst!$R$4:$W$4,0))))</f>
        <v>647.67450735188686</v>
      </c>
      <c r="I234">
        <f ca="1">IF($C234-I$1&lt;År1,0,H233*(1-VLOOKUP($A234,[1]Hugst!$R$5:$W$9,MATCH(ROUNDUP((I$1)/10,0)*10,[1]Hugst!$R$4:$W$4,0))))</f>
        <v>646.93772870783687</v>
      </c>
      <c r="J234">
        <f ca="1">IF($C234-J$1&lt;År1,0,I233*(1-VLOOKUP($A234,[1]Hugst!$R$5:$W$9,MATCH(ROUNDUP((J$1)/10,0)*10,[1]Hugst!$R$4:$W$4,0))))</f>
        <v>646.20002006455798</v>
      </c>
      <c r="K234">
        <f ca="1">IF($C234-K$1&lt;År1,0,J233*(1-VLOOKUP($A234,[1]Hugst!$R$5:$W$9,MATCH(ROUNDUP((K$1)/10,0)*10,[1]Hugst!$R$4:$W$4,0))))</f>
        <v>948.87047375697375</v>
      </c>
      <c r="L234">
        <f ca="1">IF($C234-L$1&lt;År1,0,K233*(1-VLOOKUP($A234,[1]Hugst!$R$5:$W$9,MATCH(ROUNDUP((L$1)/10,0)*10,[1]Hugst!$R$4:$W$4,0))))</f>
        <v>948.13090941323208</v>
      </c>
      <c r="M234">
        <f ca="1">IF($C234-M$1&lt;År1,0,L233*(1-VLOOKUP($A234,[1]Hugst!$R$5:$W$9,MATCH(ROUNDUP((M$1)/10,0)*10,[1]Hugst!$R$4:$W$4,0))))</f>
        <v>949.50723345931829</v>
      </c>
      <c r="N234">
        <f ca="1">IF($C234-N$1&lt;År1,0,M233*(1-VLOOKUP($A234,[1]Hugst!$R$5:$W$9,MATCH(ROUNDUP((N$1)/10,0)*10,[1]Hugst!$R$4:$W$4,0))))</f>
        <v>950.8904737066332</v>
      </c>
      <c r="O234">
        <f ca="1">IF($C234-O$1&lt;År1,0,N233*(1-VLOOKUP($A234,[1]Hugst!$R$5:$W$9,MATCH(ROUNDUP((O$1)/10,0)*10,[1]Hugst!$R$4:$W$4,0))))</f>
        <v>952.28066490998458</v>
      </c>
      <c r="P234">
        <f ca="1">IF($C234-P$1&lt;År1,0,O233*(1-VLOOKUP($A234,[1]Hugst!$R$5:$W$9,MATCH(ROUNDUP((P$1)/10,0)*10,[1]Hugst!$R$4:$W$4,0))))</f>
        <v>951.58440283339075</v>
      </c>
      <c r="Q234">
        <f ca="1">IF($C234-Q$1&lt;År1,0,P233*(1-VLOOKUP($A234,[1]Hugst!$R$5:$W$9,MATCH(ROUNDUP((Q$1)/10,0)*10,[1]Hugst!$R$4:$W$4,0))))</f>
        <v>950.8935990956337</v>
      </c>
      <c r="R234">
        <f ca="1">IF($C234-R$1&lt;År1,0,Q233*(1-VLOOKUP($A234,[1]Hugst!$R$5:$W$9,MATCH(ROUNDUP((R$1)/10,0)*10,[1]Hugst!$R$4:$W$4,0))))</f>
        <v>950.20825279341159</v>
      </c>
      <c r="S234">
        <f ca="1">IF($C234-S$1&lt;År1,0,R233*(1-VLOOKUP($A234,[1]Hugst!$R$5:$W$9,MATCH(ROUNDUP((S$1)/10,0)*10,[1]Hugst!$R$4:$W$4,0))))</f>
        <v>949.52836305669143</v>
      </c>
      <c r="T234">
        <f ca="1">IF($C234-T$1&lt;År1,0,S233*(1-VLOOKUP($A234,[1]Hugst!$R$5:$W$9,MATCH(ROUNDUP((T$1)/10,0)*10,[1]Hugst!$R$4:$W$4,0))))</f>
        <v>948.85392904861919</v>
      </c>
      <c r="U234">
        <f ca="1">IF($C234-U$1&lt;År1,0,T233*(1-VLOOKUP($A234,[1]Hugst!$R$5:$W$9,MATCH(ROUNDUP((U$1)/10,0)*10,[1]Hugst!$R$4:$W$4,0))))</f>
        <v>948.18494996561446</v>
      </c>
      <c r="V234">
        <f>IF($C234-V$1&lt;År1,0,U233*(1-VLOOKUP($A234,[1]Hugst!$R$5:$W$9,MATCH(ROUNDUP((V$1)/10,0)*10,[1]Hugst!$R$4:$W$4,0))))</f>
        <v>0</v>
      </c>
      <c r="W234">
        <f>IF($C234-W$1&lt;År1,0,V233*(1-VLOOKUP($A234,[1]Hugst!$R$5:$W$9,MATCH(ROUNDUP((W$1)/10,0)*10,[1]Hugst!$R$4:$W$4,0))))</f>
        <v>0</v>
      </c>
      <c r="X234">
        <f>IF($C234-X$1&lt;År1,0,W233*(1-VLOOKUP($A234,[1]Hugst!$R$5:$W$9,MATCH(ROUNDUP((X$1)/10,0)*10,[1]Hugst!$R$4:$W$4,0))))</f>
        <v>0</v>
      </c>
      <c r="Y234">
        <f>IF($C234-Y$1&lt;År1,0,X233*(1-VLOOKUP($A234,[1]Hugst!$R$5:$W$9,MATCH(ROUNDUP((Y$1)/10,0)*10,[1]Hugst!$R$4:$W$4,0))))</f>
        <v>0</v>
      </c>
      <c r="Z234">
        <f>IF($C234-Z$1&lt;År1,0,Y233*(1-VLOOKUP($A234,[1]Hugst!$R$5:$W$9,MATCH(ROUNDUP((Z$1)/10,0)*10,[1]Hugst!$R$4:$W$4,0))))</f>
        <v>0</v>
      </c>
      <c r="AA234">
        <f>IF($C234-AA$1&lt;År1,0,Z233*(1-VLOOKUP($A234,[1]Hugst!$R$5:$W$9,MATCH(ROUNDUP((AA$1)/10,0)*10,[1]Hugst!$R$4:$W$4,0))))</f>
        <v>0</v>
      </c>
      <c r="AB234">
        <f>IF($C234-AB$1&lt;År1,0,AA233*(1-VLOOKUP($A234,[1]Hugst!$R$5:$W$9,MATCH(ROUNDUP((AB$1)/10,0)*10,[1]Hugst!$R$4:$W$4,0))))</f>
        <v>0</v>
      </c>
      <c r="AC234">
        <f>IF($C234-AC$1&lt;År1,0,AB233*(1-VLOOKUP($A234,[1]Hugst!$R$5:$W$9,MATCH(ROUNDUP((AC$1)/10,0)*10,[1]Hugst!$R$4:$W$4,0))))</f>
        <v>0</v>
      </c>
      <c r="AD234">
        <f>IF($C234-AD$1&lt;År1,0,AC233*(1-VLOOKUP($A234,[1]Hugst!$R$5:$W$9,MATCH(ROUNDUP((AD$1)/10,0)*10,[1]Hugst!$R$4:$W$4,0))))</f>
        <v>0</v>
      </c>
      <c r="AE234">
        <f>IF($C234-AE$1&lt;År1,0,AD233*(1-VLOOKUP($A234,[1]Hugst!$R$5:$W$9,MATCH(ROUNDUP((AE$1)/10,0)*10,[1]Hugst!$R$4:$W$4,0))))</f>
        <v>0</v>
      </c>
      <c r="AF234">
        <f>IF($C234-AF$1&lt;År1,0,AE233*(1-VLOOKUP($A234,[1]Hugst!$R$5:$W$9,MATCH(ROUNDUP((AF$1)/10,0)*10,[1]Hugst!$R$4:$W$4,0))))</f>
        <v>0</v>
      </c>
      <c r="AG234">
        <f>IF($C234-AG$1&lt;År1,0,AF233*(1-VLOOKUP($A234,[1]Hugst!$R$5:$W$9,MATCH(ROUNDUP((AG$1)/10,0)*10,[1]Hugst!$R$4:$W$4,0))))</f>
        <v>0</v>
      </c>
      <c r="AH234">
        <f>IF($C234-AH$1&lt;År1,0,AG233*(1-VLOOKUP($A234,[1]Hugst!$R$5:$W$9,MATCH(ROUNDUP((AH$1)/10,0)*10,[1]Hugst!$R$4:$W$4,0))))</f>
        <v>0</v>
      </c>
      <c r="AI234">
        <f>IF($C234-AI$1&lt;År1,0,AH233*(1-VLOOKUP($A234,[1]Hugst!$R$5:$W$9,MATCH(ROUNDUP((AI$1)/10,0)*10,[1]Hugst!$R$4:$W$4,0))))</f>
        <v>0</v>
      </c>
      <c r="AJ234">
        <f>IF($C234-AJ$1&lt;År1,0,AI233*(1-VLOOKUP($A234,[1]Hugst!$R$5:$W$9,MATCH(ROUNDUP((AJ$1)/10,0)*10,[1]Hugst!$R$4:$W$4,0))))</f>
        <v>0</v>
      </c>
    </row>
    <row r="235" spans="1:36" x14ac:dyDescent="0.25">
      <c r="A235" t="s">
        <v>179</v>
      </c>
      <c r="B235" t="s">
        <v>24</v>
      </c>
      <c r="C235">
        <v>2036</v>
      </c>
      <c r="D235" cm="1">
        <f t="array" ref="D235">(IF(B235="Vestdanmark",Skovbrug!$C$22-(Skovbrug!$C$22)*(1-Skovbrug!$C$9)^(C235-Skovbrug!$B$12),Skovbrug!$F$22-(Skovbrug!$F$22)*(1-Skovbrug!$C$9)^(C235-Skovbrug!$B$12)))*VLOOKUP(A235,Skovbrug!$A$13:$D$17,IF('Skovbrug-alder'!C235&lt;=År2,3,4),FALSE)
-IF(C235&gt;2020,SUM(INDEX($C$1:$D$311,MATCH(1,(2020=$C$1:$C$311)*(B235=$B$1:$B$311)*(A235=$A$1:$A$311),0),2):D234),0)</f>
        <v>264.444987355786</v>
      </c>
      <c r="E235">
        <f t="shared" ca="1" si="5"/>
        <v>14.600928647643741</v>
      </c>
      <c r="F235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649.87924933676322</v>
      </c>
      <c r="G235">
        <f ca="1">IF($C235-G$1&lt;År1,0,F234*(1-VLOOKUP($A235,[1]Hugst!$R$5:$W$9,MATCH(ROUNDUP((G$1)/10,0)*10,[1]Hugst!$R$4:$W$4,0))))</f>
        <v>649.14526904128661</v>
      </c>
      <c r="H235">
        <f ca="1">IF($C235-H$1&lt;År1,0,G234*(1-VLOOKUP($A235,[1]Hugst!$R$5:$W$9,MATCH(ROUNDUP((H$1)/10,0)*10,[1]Hugst!$R$4:$W$4,0))))</f>
        <v>648.41035459137856</v>
      </c>
      <c r="I235">
        <f ca="1">IF($C235-I$1&lt;År1,0,H234*(1-VLOOKUP($A235,[1]Hugst!$R$5:$W$9,MATCH(ROUNDUP((I$1)/10,0)*10,[1]Hugst!$R$4:$W$4,0))))</f>
        <v>647.67450735188686</v>
      </c>
      <c r="J235">
        <f ca="1">IF($C235-J$1&lt;År1,0,I234*(1-VLOOKUP($A235,[1]Hugst!$R$5:$W$9,MATCH(ROUNDUP((J$1)/10,0)*10,[1]Hugst!$R$4:$W$4,0))))</f>
        <v>646.93772870783687</v>
      </c>
      <c r="K235">
        <f ca="1">IF($C235-K$1&lt;År1,0,J234*(1-VLOOKUP($A235,[1]Hugst!$R$5:$W$9,MATCH(ROUNDUP((K$1)/10,0)*10,[1]Hugst!$R$4:$W$4,0))))</f>
        <v>646.20002006455798</v>
      </c>
      <c r="L235">
        <f ca="1">IF($C235-L$1&lt;År1,0,K234*(1-VLOOKUP($A235,[1]Hugst!$R$5:$W$9,MATCH(ROUNDUP((L$1)/10,0)*10,[1]Hugst!$R$4:$W$4,0))))</f>
        <v>948.87047375697375</v>
      </c>
      <c r="M235">
        <f ca="1">IF($C235-M$1&lt;År1,0,L234*(1-VLOOKUP($A235,[1]Hugst!$R$5:$W$9,MATCH(ROUNDUP((M$1)/10,0)*10,[1]Hugst!$R$4:$W$4,0))))</f>
        <v>948.13090941323208</v>
      </c>
      <c r="N235">
        <f ca="1">IF($C235-N$1&lt;År1,0,M234*(1-VLOOKUP($A235,[1]Hugst!$R$5:$W$9,MATCH(ROUNDUP((N$1)/10,0)*10,[1]Hugst!$R$4:$W$4,0))))</f>
        <v>949.50723345931829</v>
      </c>
      <c r="O235">
        <f ca="1">IF($C235-O$1&lt;År1,0,N234*(1-VLOOKUP($A235,[1]Hugst!$R$5:$W$9,MATCH(ROUNDUP((O$1)/10,0)*10,[1]Hugst!$R$4:$W$4,0))))</f>
        <v>950.8904737066332</v>
      </c>
      <c r="P235">
        <f ca="1">IF($C235-P$1&lt;År1,0,O234*(1-VLOOKUP($A235,[1]Hugst!$R$5:$W$9,MATCH(ROUNDUP((P$1)/10,0)*10,[1]Hugst!$R$4:$W$4,0))))</f>
        <v>950.19029271871875</v>
      </c>
      <c r="Q235">
        <f ca="1">IF($C235-Q$1&lt;År1,0,P234*(1-VLOOKUP($A235,[1]Hugst!$R$5:$W$9,MATCH(ROUNDUP((Q$1)/10,0)*10,[1]Hugst!$R$4:$W$4,0))))</f>
        <v>949.49555902229304</v>
      </c>
      <c r="R235">
        <f ca="1">IF($C235-R$1&lt;År1,0,Q234*(1-VLOOKUP($A235,[1]Hugst!$R$5:$W$9,MATCH(ROUNDUP((R$1)/10,0)*10,[1]Hugst!$R$4:$W$4,0))))</f>
        <v>948.80627168298474</v>
      </c>
      <c r="S235">
        <f ca="1">IF($C235-S$1&lt;År1,0,R234*(1-VLOOKUP($A235,[1]Hugst!$R$5:$W$9,MATCH(ROUNDUP((S$1)/10,0)*10,[1]Hugst!$R$4:$W$4,0))))</f>
        <v>948.12242979947484</v>
      </c>
      <c r="T235">
        <f ca="1">IF($C235-T$1&lt;År1,0,S234*(1-VLOOKUP($A235,[1]Hugst!$R$5:$W$9,MATCH(ROUNDUP((T$1)/10,0)*10,[1]Hugst!$R$4:$W$4,0))))</f>
        <v>947.44403250364019</v>
      </c>
      <c r="U235">
        <f ca="1">IF($C235-U$1&lt;År1,0,T234*(1-VLOOKUP($A235,[1]Hugst!$R$5:$W$9,MATCH(ROUNDUP((U$1)/10,0)*10,[1]Hugst!$R$4:$W$4,0))))</f>
        <v>946.77107896046368</v>
      </c>
      <c r="V235">
        <f ca="1">IF($C235-V$1&lt;År1,0,U234*(1-VLOOKUP($A235,[1]Hugst!$R$5:$W$9,MATCH(ROUNDUP((V$1)/10,0)*10,[1]Hugst!$R$4:$W$4,0))))</f>
        <v>946.103568368129</v>
      </c>
      <c r="W235">
        <f>IF($C235-W$1&lt;År1,0,V234*(1-VLOOKUP($A235,[1]Hugst!$R$5:$W$9,MATCH(ROUNDUP((W$1)/10,0)*10,[1]Hugst!$R$4:$W$4,0))))</f>
        <v>0</v>
      </c>
      <c r="X235">
        <f>IF($C235-X$1&lt;År1,0,W234*(1-VLOOKUP($A235,[1]Hugst!$R$5:$W$9,MATCH(ROUNDUP((X$1)/10,0)*10,[1]Hugst!$R$4:$W$4,0))))</f>
        <v>0</v>
      </c>
      <c r="Y235">
        <f>IF($C235-Y$1&lt;År1,0,X234*(1-VLOOKUP($A235,[1]Hugst!$R$5:$W$9,MATCH(ROUNDUP((Y$1)/10,0)*10,[1]Hugst!$R$4:$W$4,0))))</f>
        <v>0</v>
      </c>
      <c r="Z235">
        <f>IF($C235-Z$1&lt;År1,0,Y234*(1-VLOOKUP($A235,[1]Hugst!$R$5:$W$9,MATCH(ROUNDUP((Z$1)/10,0)*10,[1]Hugst!$R$4:$W$4,0))))</f>
        <v>0</v>
      </c>
      <c r="AA235">
        <f>IF($C235-AA$1&lt;År1,0,Z234*(1-VLOOKUP($A235,[1]Hugst!$R$5:$W$9,MATCH(ROUNDUP((AA$1)/10,0)*10,[1]Hugst!$R$4:$W$4,0))))</f>
        <v>0</v>
      </c>
      <c r="AB235">
        <f>IF($C235-AB$1&lt;År1,0,AA234*(1-VLOOKUP($A235,[1]Hugst!$R$5:$W$9,MATCH(ROUNDUP((AB$1)/10,0)*10,[1]Hugst!$R$4:$W$4,0))))</f>
        <v>0</v>
      </c>
      <c r="AC235">
        <f>IF($C235-AC$1&lt;År1,0,AB234*(1-VLOOKUP($A235,[1]Hugst!$R$5:$W$9,MATCH(ROUNDUP((AC$1)/10,0)*10,[1]Hugst!$R$4:$W$4,0))))</f>
        <v>0</v>
      </c>
      <c r="AD235">
        <f>IF($C235-AD$1&lt;År1,0,AC234*(1-VLOOKUP($A235,[1]Hugst!$R$5:$W$9,MATCH(ROUNDUP((AD$1)/10,0)*10,[1]Hugst!$R$4:$W$4,0))))</f>
        <v>0</v>
      </c>
      <c r="AE235">
        <f>IF($C235-AE$1&lt;År1,0,AD234*(1-VLOOKUP($A235,[1]Hugst!$R$5:$W$9,MATCH(ROUNDUP((AE$1)/10,0)*10,[1]Hugst!$R$4:$W$4,0))))</f>
        <v>0</v>
      </c>
      <c r="AF235">
        <f>IF($C235-AF$1&lt;År1,0,AE234*(1-VLOOKUP($A235,[1]Hugst!$R$5:$W$9,MATCH(ROUNDUP((AF$1)/10,0)*10,[1]Hugst!$R$4:$W$4,0))))</f>
        <v>0</v>
      </c>
      <c r="AG235">
        <f>IF($C235-AG$1&lt;År1,0,AF234*(1-VLOOKUP($A235,[1]Hugst!$R$5:$W$9,MATCH(ROUNDUP((AG$1)/10,0)*10,[1]Hugst!$R$4:$W$4,0))))</f>
        <v>0</v>
      </c>
      <c r="AH235">
        <f>IF($C235-AH$1&lt;År1,0,AG234*(1-VLOOKUP($A235,[1]Hugst!$R$5:$W$9,MATCH(ROUNDUP((AH$1)/10,0)*10,[1]Hugst!$R$4:$W$4,0))))</f>
        <v>0</v>
      </c>
      <c r="AI235">
        <f>IF($C235-AI$1&lt;År1,0,AH234*(1-VLOOKUP($A235,[1]Hugst!$R$5:$W$9,MATCH(ROUNDUP((AI$1)/10,0)*10,[1]Hugst!$R$4:$W$4,0))))</f>
        <v>0</v>
      </c>
      <c r="AJ235">
        <f>IF($C235-AJ$1&lt;År1,0,AI234*(1-VLOOKUP($A235,[1]Hugst!$R$5:$W$9,MATCH(ROUNDUP((AJ$1)/10,0)*10,[1]Hugst!$R$4:$W$4,0))))</f>
        <v>0</v>
      </c>
    </row>
    <row r="236" spans="1:36" x14ac:dyDescent="0.25">
      <c r="A236" t="s">
        <v>179</v>
      </c>
      <c r="B236" t="s">
        <v>24</v>
      </c>
      <c r="C236">
        <v>2037</v>
      </c>
      <c r="D236" cm="1">
        <f t="array" ref="D236">(IF(B236="Vestdanmark",Skovbrug!$C$22-(Skovbrug!$C$22)*(1-Skovbrug!$C$9)^(C236-Skovbrug!$B$12),Skovbrug!$F$22-(Skovbrug!$F$22)*(1-Skovbrug!$C$9)^(C236-Skovbrug!$B$12)))*VLOOKUP(A236,Skovbrug!$A$13:$D$17,IF('Skovbrug-alder'!C236&lt;=År2,3,4),FALSE)
-IF(C236&gt;2020,SUM(INDEX($C$1:$D$311,MATCH(1,(2020=$C$1:$C$311)*(B236=$B$1:$B$311)*(A236=$A$1:$A$311),0),2):D235),0)</f>
        <v>263.12276241901054</v>
      </c>
      <c r="E236">
        <f t="shared" ca="1" si="5"/>
        <v>16.656198380696878</v>
      </c>
      <c r="F236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650.6122941330409</v>
      </c>
      <c r="G236">
        <f ca="1">IF($C236-G$1&lt;År1,0,F235*(1-VLOOKUP($A236,[1]Hugst!$R$5:$W$9,MATCH(ROUNDUP((G$1)/10,0)*10,[1]Hugst!$R$4:$W$4,0))))</f>
        <v>649.87924933676322</v>
      </c>
      <c r="H236">
        <f ca="1">IF($C236-H$1&lt;År1,0,G235*(1-VLOOKUP($A236,[1]Hugst!$R$5:$W$9,MATCH(ROUNDUP((H$1)/10,0)*10,[1]Hugst!$R$4:$W$4,0))))</f>
        <v>649.14526904128661</v>
      </c>
      <c r="I236">
        <f ca="1">IF($C236-I$1&lt;År1,0,H235*(1-VLOOKUP($A236,[1]Hugst!$R$5:$W$9,MATCH(ROUNDUP((I$1)/10,0)*10,[1]Hugst!$R$4:$W$4,0))))</f>
        <v>648.41035459137856</v>
      </c>
      <c r="J236">
        <f ca="1">IF($C236-J$1&lt;År1,0,I235*(1-VLOOKUP($A236,[1]Hugst!$R$5:$W$9,MATCH(ROUNDUP((J$1)/10,0)*10,[1]Hugst!$R$4:$W$4,0))))</f>
        <v>647.67450735188686</v>
      </c>
      <c r="K236">
        <f ca="1">IF($C236-K$1&lt;År1,0,J235*(1-VLOOKUP($A236,[1]Hugst!$R$5:$W$9,MATCH(ROUNDUP((K$1)/10,0)*10,[1]Hugst!$R$4:$W$4,0))))</f>
        <v>646.93772870783687</v>
      </c>
      <c r="L236">
        <f ca="1">IF($C236-L$1&lt;År1,0,K235*(1-VLOOKUP($A236,[1]Hugst!$R$5:$W$9,MATCH(ROUNDUP((L$1)/10,0)*10,[1]Hugst!$R$4:$W$4,0))))</f>
        <v>646.20002006455798</v>
      </c>
      <c r="M236">
        <f ca="1">IF($C236-M$1&lt;År1,0,L235*(1-VLOOKUP($A236,[1]Hugst!$R$5:$W$9,MATCH(ROUNDUP((M$1)/10,0)*10,[1]Hugst!$R$4:$W$4,0))))</f>
        <v>948.87047375697375</v>
      </c>
      <c r="N236">
        <f ca="1">IF($C236-N$1&lt;År1,0,M235*(1-VLOOKUP($A236,[1]Hugst!$R$5:$W$9,MATCH(ROUNDUP((N$1)/10,0)*10,[1]Hugst!$R$4:$W$4,0))))</f>
        <v>948.13090941323208</v>
      </c>
      <c r="O236">
        <f ca="1">IF($C236-O$1&lt;År1,0,N235*(1-VLOOKUP($A236,[1]Hugst!$R$5:$W$9,MATCH(ROUNDUP((O$1)/10,0)*10,[1]Hugst!$R$4:$W$4,0))))</f>
        <v>949.50723345931829</v>
      </c>
      <c r="P236">
        <f ca="1">IF($C236-P$1&lt;År1,0,O235*(1-VLOOKUP($A236,[1]Hugst!$R$5:$W$9,MATCH(ROUNDUP((P$1)/10,0)*10,[1]Hugst!$R$4:$W$4,0))))</f>
        <v>948.80315315459427</v>
      </c>
      <c r="Q236">
        <f ca="1">IF($C236-Q$1&lt;År1,0,P235*(1-VLOOKUP($A236,[1]Hugst!$R$5:$W$9,MATCH(ROUNDUP((Q$1)/10,0)*10,[1]Hugst!$R$4:$W$4,0))))</f>
        <v>948.1045091493362</v>
      </c>
      <c r="R236">
        <f ca="1">IF($C236-R$1&lt;År1,0,Q235*(1-VLOOKUP($A236,[1]Hugst!$R$5:$W$9,MATCH(ROUNDUP((R$1)/10,0)*10,[1]Hugst!$R$4:$W$4,0))))</f>
        <v>947.4113004780977</v>
      </c>
      <c r="S236">
        <f ca="1">IF($C236-S$1&lt;År1,0,R235*(1-VLOOKUP($A236,[1]Hugst!$R$5:$W$9,MATCH(ROUNDUP((S$1)/10,0)*10,[1]Hugst!$R$4:$W$4,0))))</f>
        <v>946.72352620855872</v>
      </c>
      <c r="T236">
        <f ca="1">IF($C236-T$1&lt;År1,0,S235*(1-VLOOKUP($A236,[1]Hugst!$R$5:$W$9,MATCH(ROUNDUP((T$1)/10,0)*10,[1]Hugst!$R$4:$W$4,0))))</f>
        <v>946.04118544137839</v>
      </c>
      <c r="U236">
        <f ca="1">IF($C236-U$1&lt;År1,0,T235*(1-VLOOKUP($A236,[1]Hugst!$R$5:$W$9,MATCH(ROUNDUP((U$1)/10,0)*10,[1]Hugst!$R$4:$W$4,0))))</f>
        <v>945.3642773103395</v>
      </c>
      <c r="V236">
        <f ca="1">IF($C236-V$1&lt;År1,0,U235*(1-VLOOKUP($A236,[1]Hugst!$R$5:$W$9,MATCH(ROUNDUP((V$1)/10,0)*10,[1]Hugst!$R$4:$W$4,0))))</f>
        <v>944.69280098225784</v>
      </c>
      <c r="W236">
        <f ca="1">IF($C236-W$1&lt;År1,0,V235*(1-VLOOKUP($A236,[1]Hugst!$R$5:$W$9,MATCH(ROUNDUP((W$1)/10,0)*10,[1]Hugst!$R$4:$W$4,0))))</f>
        <v>944.02675565707705</v>
      </c>
      <c r="X236">
        <f>IF($C236-X$1&lt;År1,0,W235*(1-VLOOKUP($A236,[1]Hugst!$R$5:$W$9,MATCH(ROUNDUP((X$1)/10,0)*10,[1]Hugst!$R$4:$W$4,0))))</f>
        <v>0</v>
      </c>
      <c r="Y236">
        <f>IF($C236-Y$1&lt;År1,0,X235*(1-VLOOKUP($A236,[1]Hugst!$R$5:$W$9,MATCH(ROUNDUP((Y$1)/10,0)*10,[1]Hugst!$R$4:$W$4,0))))</f>
        <v>0</v>
      </c>
      <c r="Z236">
        <f>IF($C236-Z$1&lt;År1,0,Y235*(1-VLOOKUP($A236,[1]Hugst!$R$5:$W$9,MATCH(ROUNDUP((Z$1)/10,0)*10,[1]Hugst!$R$4:$W$4,0))))</f>
        <v>0</v>
      </c>
      <c r="AA236">
        <f>IF($C236-AA$1&lt;År1,0,Z235*(1-VLOOKUP($A236,[1]Hugst!$R$5:$W$9,MATCH(ROUNDUP((AA$1)/10,0)*10,[1]Hugst!$R$4:$W$4,0))))</f>
        <v>0</v>
      </c>
      <c r="AB236">
        <f>IF($C236-AB$1&lt;År1,0,AA235*(1-VLOOKUP($A236,[1]Hugst!$R$5:$W$9,MATCH(ROUNDUP((AB$1)/10,0)*10,[1]Hugst!$R$4:$W$4,0))))</f>
        <v>0</v>
      </c>
      <c r="AC236">
        <f>IF($C236-AC$1&lt;År1,0,AB235*(1-VLOOKUP($A236,[1]Hugst!$R$5:$W$9,MATCH(ROUNDUP((AC$1)/10,0)*10,[1]Hugst!$R$4:$W$4,0))))</f>
        <v>0</v>
      </c>
      <c r="AD236">
        <f>IF($C236-AD$1&lt;År1,0,AC235*(1-VLOOKUP($A236,[1]Hugst!$R$5:$W$9,MATCH(ROUNDUP((AD$1)/10,0)*10,[1]Hugst!$R$4:$W$4,0))))</f>
        <v>0</v>
      </c>
      <c r="AE236">
        <f>IF($C236-AE$1&lt;År1,0,AD235*(1-VLOOKUP($A236,[1]Hugst!$R$5:$W$9,MATCH(ROUNDUP((AE$1)/10,0)*10,[1]Hugst!$R$4:$W$4,0))))</f>
        <v>0</v>
      </c>
      <c r="AF236">
        <f>IF($C236-AF$1&lt;År1,0,AE235*(1-VLOOKUP($A236,[1]Hugst!$R$5:$W$9,MATCH(ROUNDUP((AF$1)/10,0)*10,[1]Hugst!$R$4:$W$4,0))))</f>
        <v>0</v>
      </c>
      <c r="AG236">
        <f>IF($C236-AG$1&lt;År1,0,AF235*(1-VLOOKUP($A236,[1]Hugst!$R$5:$W$9,MATCH(ROUNDUP((AG$1)/10,0)*10,[1]Hugst!$R$4:$W$4,0))))</f>
        <v>0</v>
      </c>
      <c r="AH236">
        <f>IF($C236-AH$1&lt;År1,0,AG235*(1-VLOOKUP($A236,[1]Hugst!$R$5:$W$9,MATCH(ROUNDUP((AH$1)/10,0)*10,[1]Hugst!$R$4:$W$4,0))))</f>
        <v>0</v>
      </c>
      <c r="AI236">
        <f>IF($C236-AI$1&lt;År1,0,AH235*(1-VLOOKUP($A236,[1]Hugst!$R$5:$W$9,MATCH(ROUNDUP((AI$1)/10,0)*10,[1]Hugst!$R$4:$W$4,0))))</f>
        <v>0</v>
      </c>
      <c r="AJ236">
        <f>IF($C236-AJ$1&lt;År1,0,AI235*(1-VLOOKUP($A236,[1]Hugst!$R$5:$W$9,MATCH(ROUNDUP((AJ$1)/10,0)*10,[1]Hugst!$R$4:$W$4,0))))</f>
        <v>0</v>
      </c>
    </row>
    <row r="237" spans="1:36" x14ac:dyDescent="0.25">
      <c r="A237" t="s">
        <v>179</v>
      </c>
      <c r="B237" t="s">
        <v>24</v>
      </c>
      <c r="C237">
        <v>2038</v>
      </c>
      <c r="D237" cm="1">
        <f t="array" ref="D237">(IF(B237="Vestdanmark",Skovbrug!$C$22-(Skovbrug!$C$22)*(1-Skovbrug!$C$9)^(C237-Skovbrug!$B$12),Skovbrug!$F$22-(Skovbrug!$F$22)*(1-Skovbrug!$C$9)^(C237-Skovbrug!$B$12)))*VLOOKUP(A237,Skovbrug!$A$13:$D$17,IF('Skovbrug-alder'!C237&lt;=År2,3,4),FALSE)
-IF(C237&gt;2020,SUM(INDEX($C$1:$D$311,MATCH(1,(2020=$C$1:$C$311)*(B237=$B$1:$B$311)*(A237=$A$1:$A$311),0),2):D236),0)</f>
        <v>261.80714860692024</v>
      </c>
      <c r="E237">
        <f t="shared" ca="1" si="5"/>
        <v>18.703920165020463</v>
      </c>
      <c r="F237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651.34440210527418</v>
      </c>
      <c r="G237">
        <f ca="1">IF($C237-G$1&lt;År1,0,F236*(1-VLOOKUP($A237,[1]Hugst!$R$5:$W$9,MATCH(ROUNDUP((G$1)/10,0)*10,[1]Hugst!$R$4:$W$4,0))))</f>
        <v>650.6122941330409</v>
      </c>
      <c r="H237">
        <f ca="1">IF($C237-H$1&lt;År1,0,G236*(1-VLOOKUP($A237,[1]Hugst!$R$5:$W$9,MATCH(ROUNDUP((H$1)/10,0)*10,[1]Hugst!$R$4:$W$4,0))))</f>
        <v>649.87924933676322</v>
      </c>
      <c r="I237">
        <f ca="1">IF($C237-I$1&lt;År1,0,H236*(1-VLOOKUP($A237,[1]Hugst!$R$5:$W$9,MATCH(ROUNDUP((I$1)/10,0)*10,[1]Hugst!$R$4:$W$4,0))))</f>
        <v>649.14526904128661</v>
      </c>
      <c r="J237">
        <f ca="1">IF($C237-J$1&lt;År1,0,I236*(1-VLOOKUP($A237,[1]Hugst!$R$5:$W$9,MATCH(ROUNDUP((J$1)/10,0)*10,[1]Hugst!$R$4:$W$4,0))))</f>
        <v>648.41035459137856</v>
      </c>
      <c r="K237">
        <f ca="1">IF($C237-K$1&lt;År1,0,J236*(1-VLOOKUP($A237,[1]Hugst!$R$5:$W$9,MATCH(ROUNDUP((K$1)/10,0)*10,[1]Hugst!$R$4:$W$4,0))))</f>
        <v>647.67450735188686</v>
      </c>
      <c r="L237">
        <f ca="1">IF($C237-L$1&lt;År1,0,K236*(1-VLOOKUP($A237,[1]Hugst!$R$5:$W$9,MATCH(ROUNDUP((L$1)/10,0)*10,[1]Hugst!$R$4:$W$4,0))))</f>
        <v>646.93772870783687</v>
      </c>
      <c r="M237">
        <f ca="1">IF($C237-M$1&lt;År1,0,L236*(1-VLOOKUP($A237,[1]Hugst!$R$5:$W$9,MATCH(ROUNDUP((M$1)/10,0)*10,[1]Hugst!$R$4:$W$4,0))))</f>
        <v>646.20002006455798</v>
      </c>
      <c r="N237">
        <f ca="1">IF($C237-N$1&lt;År1,0,M236*(1-VLOOKUP($A237,[1]Hugst!$R$5:$W$9,MATCH(ROUNDUP((N$1)/10,0)*10,[1]Hugst!$R$4:$W$4,0))))</f>
        <v>948.87047375697375</v>
      </c>
      <c r="O237">
        <f ca="1">IF($C237-O$1&lt;År1,0,N236*(1-VLOOKUP($A237,[1]Hugst!$R$5:$W$9,MATCH(ROUNDUP((O$1)/10,0)*10,[1]Hugst!$R$4:$W$4,0))))</f>
        <v>948.13090941323208</v>
      </c>
      <c r="P237">
        <f ca="1">IF($C237-P$1&lt;År1,0,O236*(1-VLOOKUP($A237,[1]Hugst!$R$5:$W$9,MATCH(ROUNDUP((P$1)/10,0)*10,[1]Hugst!$R$4:$W$4,0))))</f>
        <v>947.42294928831006</v>
      </c>
      <c r="Q237">
        <f ca="1">IF($C237-Q$1&lt;År1,0,P236*(1-VLOOKUP($A237,[1]Hugst!$R$5:$W$9,MATCH(ROUNDUP((Q$1)/10,0)*10,[1]Hugst!$R$4:$W$4,0))))</f>
        <v>946.7204145257183</v>
      </c>
      <c r="R237">
        <f ca="1">IF($C237-R$1&lt;År1,0,Q236*(1-VLOOKUP($A237,[1]Hugst!$R$5:$W$9,MATCH(ROUNDUP((R$1)/10,0)*10,[1]Hugst!$R$4:$W$4,0))))</f>
        <v>946.02330412925232</v>
      </c>
      <c r="S237">
        <f ca="1">IF($C237-S$1&lt;År1,0,R236*(1-VLOOKUP($A237,[1]Hugst!$R$5:$W$9,MATCH(ROUNDUP((S$1)/10,0)*10,[1]Hugst!$R$4:$W$4,0))))</f>
        <v>945.33161713558479</v>
      </c>
      <c r="T237">
        <f ca="1">IF($C237-T$1&lt;År1,0,S236*(1-VLOOKUP($A237,[1]Hugst!$R$5:$W$9,MATCH(ROUNDUP((T$1)/10,0)*10,[1]Hugst!$R$4:$W$4,0))))</f>
        <v>944.64535261444234</v>
      </c>
      <c r="U237">
        <f ca="1">IF($C237-U$1&lt;År1,0,T236*(1-VLOOKUP($A237,[1]Hugst!$R$5:$W$9,MATCH(ROUNDUP((U$1)/10,0)*10,[1]Hugst!$R$4:$W$4,0))))</f>
        <v>943.96450966845828</v>
      </c>
      <c r="V237">
        <f ca="1">IF($C237-V$1&lt;År1,0,U236*(1-VLOOKUP($A237,[1]Hugst!$R$5:$W$9,MATCH(ROUNDUP((V$1)/10,0)*10,[1]Hugst!$R$4:$W$4,0))))</f>
        <v>943.28908743331681</v>
      </c>
      <c r="W237">
        <f ca="1">IF($C237-W$1&lt;År1,0,V236*(1-VLOOKUP($A237,[1]Hugst!$R$5:$W$9,MATCH(ROUNDUP((W$1)/10,0)*10,[1]Hugst!$R$4:$W$4,0))))</f>
        <v>942.61908507766259</v>
      </c>
      <c r="X237">
        <f ca="1">IF($C237-X$1&lt;År1,0,W236*(1-VLOOKUP($A237,[1]Hugst!$R$5:$W$9,MATCH(ROUNDUP((X$1)/10,0)*10,[1]Hugst!$R$4:$W$4,0))))</f>
        <v>941.95450180319563</v>
      </c>
      <c r="Y237">
        <f>IF($C237-Y$1&lt;År1,0,X236*(1-VLOOKUP($A237,[1]Hugst!$R$5:$W$9,MATCH(ROUNDUP((Y$1)/10,0)*10,[1]Hugst!$R$4:$W$4,0))))</f>
        <v>0</v>
      </c>
      <c r="Z237">
        <f>IF($C237-Z$1&lt;År1,0,Y236*(1-VLOOKUP($A237,[1]Hugst!$R$5:$W$9,MATCH(ROUNDUP((Z$1)/10,0)*10,[1]Hugst!$R$4:$W$4,0))))</f>
        <v>0</v>
      </c>
      <c r="AA237">
        <f>IF($C237-AA$1&lt;År1,0,Z236*(1-VLOOKUP($A237,[1]Hugst!$R$5:$W$9,MATCH(ROUNDUP((AA$1)/10,0)*10,[1]Hugst!$R$4:$W$4,0))))</f>
        <v>0</v>
      </c>
      <c r="AB237">
        <f>IF($C237-AB$1&lt;År1,0,AA236*(1-VLOOKUP($A237,[1]Hugst!$R$5:$W$9,MATCH(ROUNDUP((AB$1)/10,0)*10,[1]Hugst!$R$4:$W$4,0))))</f>
        <v>0</v>
      </c>
      <c r="AC237">
        <f>IF($C237-AC$1&lt;År1,0,AB236*(1-VLOOKUP($A237,[1]Hugst!$R$5:$W$9,MATCH(ROUNDUP((AC$1)/10,0)*10,[1]Hugst!$R$4:$W$4,0))))</f>
        <v>0</v>
      </c>
      <c r="AD237">
        <f>IF($C237-AD$1&lt;År1,0,AC236*(1-VLOOKUP($A237,[1]Hugst!$R$5:$W$9,MATCH(ROUNDUP((AD$1)/10,0)*10,[1]Hugst!$R$4:$W$4,0))))</f>
        <v>0</v>
      </c>
      <c r="AE237">
        <f>IF($C237-AE$1&lt;År1,0,AD236*(1-VLOOKUP($A237,[1]Hugst!$R$5:$W$9,MATCH(ROUNDUP((AE$1)/10,0)*10,[1]Hugst!$R$4:$W$4,0))))</f>
        <v>0</v>
      </c>
      <c r="AF237">
        <f>IF($C237-AF$1&lt;År1,0,AE236*(1-VLOOKUP($A237,[1]Hugst!$R$5:$W$9,MATCH(ROUNDUP((AF$1)/10,0)*10,[1]Hugst!$R$4:$W$4,0))))</f>
        <v>0</v>
      </c>
      <c r="AG237">
        <f>IF($C237-AG$1&lt;År1,0,AF236*(1-VLOOKUP($A237,[1]Hugst!$R$5:$W$9,MATCH(ROUNDUP((AG$1)/10,0)*10,[1]Hugst!$R$4:$W$4,0))))</f>
        <v>0</v>
      </c>
      <c r="AH237">
        <f>IF($C237-AH$1&lt;År1,0,AG236*(1-VLOOKUP($A237,[1]Hugst!$R$5:$W$9,MATCH(ROUNDUP((AH$1)/10,0)*10,[1]Hugst!$R$4:$W$4,0))))</f>
        <v>0</v>
      </c>
      <c r="AI237">
        <f>IF($C237-AI$1&lt;År1,0,AH236*(1-VLOOKUP($A237,[1]Hugst!$R$5:$W$9,MATCH(ROUNDUP((AI$1)/10,0)*10,[1]Hugst!$R$4:$W$4,0))))</f>
        <v>0</v>
      </c>
      <c r="AJ237">
        <f>IF($C237-AJ$1&lt;År1,0,AI236*(1-VLOOKUP($A237,[1]Hugst!$R$5:$W$9,MATCH(ROUNDUP((AJ$1)/10,0)*10,[1]Hugst!$R$4:$W$4,0))))</f>
        <v>0</v>
      </c>
    </row>
    <row r="238" spans="1:36" x14ac:dyDescent="0.25">
      <c r="A238" t="s">
        <v>179</v>
      </c>
      <c r="B238" t="s">
        <v>24</v>
      </c>
      <c r="C238">
        <v>2039</v>
      </c>
      <c r="D238" cm="1">
        <f t="array" ref="D238">(IF(B238="Vestdanmark",Skovbrug!$C$22-(Skovbrug!$C$22)*(1-Skovbrug!$C$9)^(C238-Skovbrug!$B$12),Skovbrug!$F$22-(Skovbrug!$F$22)*(1-Skovbrug!$C$9)^(C238-Skovbrug!$B$12)))*VLOOKUP(A238,Skovbrug!$A$13:$D$17,IF('Skovbrug-alder'!C238&lt;=År2,3,4),FALSE)
-IF(C238&gt;2020,SUM(INDEX($C$1:$D$311,MATCH(1,(2020=$C$1:$C$311)*(B238=$B$1:$B$311)*(A238=$A$1:$A$311),0),2):D237),0)</f>
        <v>260.49811286387649</v>
      </c>
      <c r="E238">
        <f t="shared" ca="1" si="5"/>
        <v>20.744125751167303</v>
      </c>
      <c r="F23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652.07557194837727</v>
      </c>
      <c r="G238">
        <f ca="1">IF($C238-G$1&lt;År1,0,F237*(1-VLOOKUP($A238,[1]Hugst!$R$5:$W$9,MATCH(ROUNDUP((G$1)/10,0)*10,[1]Hugst!$R$4:$W$4,0))))</f>
        <v>651.34440210527418</v>
      </c>
      <c r="H238">
        <f ca="1">IF($C238-H$1&lt;År1,0,G237*(1-VLOOKUP($A238,[1]Hugst!$R$5:$W$9,MATCH(ROUNDUP((H$1)/10,0)*10,[1]Hugst!$R$4:$W$4,0))))</f>
        <v>650.6122941330409</v>
      </c>
      <c r="I238">
        <f ca="1">IF($C238-I$1&lt;År1,0,H237*(1-VLOOKUP($A238,[1]Hugst!$R$5:$W$9,MATCH(ROUNDUP((I$1)/10,0)*10,[1]Hugst!$R$4:$W$4,0))))</f>
        <v>649.87924933676322</v>
      </c>
      <c r="J238">
        <f ca="1">IF($C238-J$1&lt;År1,0,I237*(1-VLOOKUP($A238,[1]Hugst!$R$5:$W$9,MATCH(ROUNDUP((J$1)/10,0)*10,[1]Hugst!$R$4:$W$4,0))))</f>
        <v>649.14526904128661</v>
      </c>
      <c r="K238">
        <f ca="1">IF($C238-K$1&lt;År1,0,J237*(1-VLOOKUP($A238,[1]Hugst!$R$5:$W$9,MATCH(ROUNDUP((K$1)/10,0)*10,[1]Hugst!$R$4:$W$4,0))))</f>
        <v>648.41035459137856</v>
      </c>
      <c r="L238">
        <f ca="1">IF($C238-L$1&lt;År1,0,K237*(1-VLOOKUP($A238,[1]Hugst!$R$5:$W$9,MATCH(ROUNDUP((L$1)/10,0)*10,[1]Hugst!$R$4:$W$4,0))))</f>
        <v>647.67450735188686</v>
      </c>
      <c r="M238">
        <f ca="1">IF($C238-M$1&lt;År1,0,L237*(1-VLOOKUP($A238,[1]Hugst!$R$5:$W$9,MATCH(ROUNDUP((M$1)/10,0)*10,[1]Hugst!$R$4:$W$4,0))))</f>
        <v>646.93772870783687</v>
      </c>
      <c r="N238">
        <f ca="1">IF($C238-N$1&lt;År1,0,M237*(1-VLOOKUP($A238,[1]Hugst!$R$5:$W$9,MATCH(ROUNDUP((N$1)/10,0)*10,[1]Hugst!$R$4:$W$4,0))))</f>
        <v>646.20002006455798</v>
      </c>
      <c r="O238">
        <f ca="1">IF($C238-O$1&lt;År1,0,N237*(1-VLOOKUP($A238,[1]Hugst!$R$5:$W$9,MATCH(ROUNDUP((O$1)/10,0)*10,[1]Hugst!$R$4:$W$4,0))))</f>
        <v>948.87047375697375</v>
      </c>
      <c r="P238">
        <f ca="1">IF($C238-P$1&lt;År1,0,O237*(1-VLOOKUP($A238,[1]Hugst!$R$5:$W$9,MATCH(ROUNDUP((P$1)/10,0)*10,[1]Hugst!$R$4:$W$4,0))))</f>
        <v>946.04964644134941</v>
      </c>
      <c r="Q238">
        <f ca="1">IF($C238-Q$1&lt;År1,0,P237*(1-VLOOKUP($A238,[1]Hugst!$R$5:$W$9,MATCH(ROUNDUP((Q$1)/10,0)*10,[1]Hugst!$R$4:$W$4,0))))</f>
        <v>945.34324037523811</v>
      </c>
      <c r="R238">
        <f ca="1">IF($C238-R$1&lt;År1,0,Q237*(1-VLOOKUP($A238,[1]Hugst!$R$5:$W$9,MATCH(ROUNDUP((R$1)/10,0)*10,[1]Hugst!$R$4:$W$4,0))))</f>
        <v>944.64224776212529</v>
      </c>
      <c r="S238">
        <f ca="1">IF($C238-S$1&lt;År1,0,R237*(1-VLOOKUP($A238,[1]Hugst!$R$5:$W$9,MATCH(ROUNDUP((S$1)/10,0)*10,[1]Hugst!$R$4:$W$4,0))))</f>
        <v>943.94666760799294</v>
      </c>
      <c r="T238">
        <f ca="1">IF($C238-T$1&lt;År1,0,S237*(1-VLOOKUP($A238,[1]Hugst!$R$5:$W$9,MATCH(ROUNDUP((T$1)/10,0)*10,[1]Hugst!$R$4:$W$4,0))))</f>
        <v>943.2564989516286</v>
      </c>
      <c r="U238">
        <f ca="1">IF($C238-U$1&lt;År1,0,T237*(1-VLOOKUP($A238,[1]Hugst!$R$5:$W$9,MATCH(ROUNDUP((U$1)/10,0)*10,[1]Hugst!$R$4:$W$4,0))))</f>
        <v>942.57174086480086</v>
      </c>
      <c r="V238">
        <f ca="1">IF($C238-V$1&lt;År1,0,U237*(1-VLOOKUP($A238,[1]Hugst!$R$5:$W$9,MATCH(ROUNDUP((V$1)/10,0)*10,[1]Hugst!$R$4:$W$4,0))))</f>
        <v>941.89239245211286</v>
      </c>
      <c r="W238">
        <f ca="1">IF($C238-W$1&lt;År1,0,V237*(1-VLOOKUP($A238,[1]Hugst!$R$5:$W$9,MATCH(ROUNDUP((W$1)/10,0)*10,[1]Hugst!$R$4:$W$4,0))))</f>
        <v>941.21845285114614</v>
      </c>
      <c r="X238">
        <f ca="1">IF($C238-X$1&lt;År1,0,W237*(1-VLOOKUP($A238,[1]Hugst!$R$5:$W$9,MATCH(ROUNDUP((X$1)/10,0)*10,[1]Hugst!$R$4:$W$4,0))))</f>
        <v>940.54992123237014</v>
      </c>
      <c r="Y238">
        <f ca="1">IF($C238-Y$1&lt;År1,0,X237*(1-VLOOKUP($A238,[1]Hugst!$R$5:$W$9,MATCH(ROUNDUP((Y$1)/10,0)*10,[1]Hugst!$R$4:$W$4,0))))</f>
        <v>939.88679679923735</v>
      </c>
      <c r="Z238">
        <f>IF($C238-Z$1&lt;År1,0,Y237*(1-VLOOKUP($A238,[1]Hugst!$R$5:$W$9,MATCH(ROUNDUP((Z$1)/10,0)*10,[1]Hugst!$R$4:$W$4,0))))</f>
        <v>0</v>
      </c>
      <c r="AA238">
        <f>IF($C238-AA$1&lt;År1,0,Z237*(1-VLOOKUP($A238,[1]Hugst!$R$5:$W$9,MATCH(ROUNDUP((AA$1)/10,0)*10,[1]Hugst!$R$4:$W$4,0))))</f>
        <v>0</v>
      </c>
      <c r="AB238">
        <f>IF($C238-AB$1&lt;År1,0,AA237*(1-VLOOKUP($A238,[1]Hugst!$R$5:$W$9,MATCH(ROUNDUP((AB$1)/10,0)*10,[1]Hugst!$R$4:$W$4,0))))</f>
        <v>0</v>
      </c>
      <c r="AC238">
        <f>IF($C238-AC$1&lt;År1,0,AB237*(1-VLOOKUP($A238,[1]Hugst!$R$5:$W$9,MATCH(ROUNDUP((AC$1)/10,0)*10,[1]Hugst!$R$4:$W$4,0))))</f>
        <v>0</v>
      </c>
      <c r="AD238">
        <f>IF($C238-AD$1&lt;År1,0,AC237*(1-VLOOKUP($A238,[1]Hugst!$R$5:$W$9,MATCH(ROUNDUP((AD$1)/10,0)*10,[1]Hugst!$R$4:$W$4,0))))</f>
        <v>0</v>
      </c>
      <c r="AE238">
        <f>IF($C238-AE$1&lt;År1,0,AD237*(1-VLOOKUP($A238,[1]Hugst!$R$5:$W$9,MATCH(ROUNDUP((AE$1)/10,0)*10,[1]Hugst!$R$4:$W$4,0))))</f>
        <v>0</v>
      </c>
      <c r="AF238">
        <f>IF($C238-AF$1&lt;År1,0,AE237*(1-VLOOKUP($A238,[1]Hugst!$R$5:$W$9,MATCH(ROUNDUP((AF$1)/10,0)*10,[1]Hugst!$R$4:$W$4,0))))</f>
        <v>0</v>
      </c>
      <c r="AG238">
        <f>IF($C238-AG$1&lt;År1,0,AF237*(1-VLOOKUP($A238,[1]Hugst!$R$5:$W$9,MATCH(ROUNDUP((AG$1)/10,0)*10,[1]Hugst!$R$4:$W$4,0))))</f>
        <v>0</v>
      </c>
      <c r="AH238">
        <f>IF($C238-AH$1&lt;År1,0,AG237*(1-VLOOKUP($A238,[1]Hugst!$R$5:$W$9,MATCH(ROUNDUP((AH$1)/10,0)*10,[1]Hugst!$R$4:$W$4,0))))</f>
        <v>0</v>
      </c>
      <c r="AI238">
        <f>IF($C238-AI$1&lt;År1,0,AH237*(1-VLOOKUP($A238,[1]Hugst!$R$5:$W$9,MATCH(ROUNDUP((AI$1)/10,0)*10,[1]Hugst!$R$4:$W$4,0))))</f>
        <v>0</v>
      </c>
      <c r="AJ238">
        <f>IF($C238-AJ$1&lt;År1,0,AI237*(1-VLOOKUP($A238,[1]Hugst!$R$5:$W$9,MATCH(ROUNDUP((AJ$1)/10,0)*10,[1]Hugst!$R$4:$W$4,0))))</f>
        <v>0</v>
      </c>
    </row>
    <row r="239" spans="1:36" x14ac:dyDescent="0.25">
      <c r="A239" t="s">
        <v>179</v>
      </c>
      <c r="B239" t="s">
        <v>24</v>
      </c>
      <c r="C239">
        <v>2040</v>
      </c>
      <c r="D239" cm="1">
        <f t="array" ref="D239">(IF(B239="Vestdanmark",Skovbrug!$C$22-(Skovbrug!$C$22)*(1-Skovbrug!$C$9)^(C239-Skovbrug!$B$12),Skovbrug!$F$22-(Skovbrug!$F$22)*(1-Skovbrug!$C$9)^(C239-Skovbrug!$B$12)))*VLOOKUP(A239,Skovbrug!$A$13:$D$17,IF('Skovbrug-alder'!C239&lt;=År2,3,4),FALSE)
-IF(C239&gt;2020,SUM(INDEX($C$1:$D$311,MATCH(1,(2020=$C$1:$C$311)*(B239=$B$1:$B$311)*(A239=$A$1:$A$311),0),2):D238),0)</f>
        <v>259.19562229955955</v>
      </c>
      <c r="E239">
        <f t="shared" ca="1" si="5"/>
        <v>21.864513542604982</v>
      </c>
      <c r="F239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651.89346917549801</v>
      </c>
      <c r="G239">
        <f ca="1">IF($C239-G$1&lt;År1,0,F238*(1-VLOOKUP($A239,[1]Hugst!$R$5:$W$9,MATCH(ROUNDUP((G$1)/10,0)*10,[1]Hugst!$R$4:$W$4,0))))</f>
        <v>652.07557194837727</v>
      </c>
      <c r="H239">
        <f ca="1">IF($C239-H$1&lt;År1,0,G238*(1-VLOOKUP($A239,[1]Hugst!$R$5:$W$9,MATCH(ROUNDUP((H$1)/10,0)*10,[1]Hugst!$R$4:$W$4,0))))</f>
        <v>651.34440210527418</v>
      </c>
      <c r="I239">
        <f ca="1">IF($C239-I$1&lt;År1,0,H238*(1-VLOOKUP($A239,[1]Hugst!$R$5:$W$9,MATCH(ROUNDUP((I$1)/10,0)*10,[1]Hugst!$R$4:$W$4,0))))</f>
        <v>650.6122941330409</v>
      </c>
      <c r="J239">
        <f ca="1">IF($C239-J$1&lt;År1,0,I238*(1-VLOOKUP($A239,[1]Hugst!$R$5:$W$9,MATCH(ROUNDUP((J$1)/10,0)*10,[1]Hugst!$R$4:$W$4,0))))</f>
        <v>649.87924933676322</v>
      </c>
      <c r="K239">
        <f ca="1">IF($C239-K$1&lt;År1,0,J238*(1-VLOOKUP($A239,[1]Hugst!$R$5:$W$9,MATCH(ROUNDUP((K$1)/10,0)*10,[1]Hugst!$R$4:$W$4,0))))</f>
        <v>649.14526904128661</v>
      </c>
      <c r="L239">
        <f ca="1">IF($C239-L$1&lt;År1,0,K238*(1-VLOOKUP($A239,[1]Hugst!$R$5:$W$9,MATCH(ROUNDUP((L$1)/10,0)*10,[1]Hugst!$R$4:$W$4,0))))</f>
        <v>648.41035459137856</v>
      </c>
      <c r="M239">
        <f ca="1">IF($C239-M$1&lt;År1,0,L238*(1-VLOOKUP($A239,[1]Hugst!$R$5:$W$9,MATCH(ROUNDUP((M$1)/10,0)*10,[1]Hugst!$R$4:$W$4,0))))</f>
        <v>647.67450735188686</v>
      </c>
      <c r="N239">
        <f ca="1">IF($C239-N$1&lt;År1,0,M238*(1-VLOOKUP($A239,[1]Hugst!$R$5:$W$9,MATCH(ROUNDUP((N$1)/10,0)*10,[1]Hugst!$R$4:$W$4,0))))</f>
        <v>646.93772870783687</v>
      </c>
      <c r="O239">
        <f ca="1">IF($C239-O$1&lt;År1,0,N238*(1-VLOOKUP($A239,[1]Hugst!$R$5:$W$9,MATCH(ROUNDUP((O$1)/10,0)*10,[1]Hugst!$R$4:$W$4,0))))</f>
        <v>646.20002006455798</v>
      </c>
      <c r="P239">
        <f ca="1">IF($C239-P$1&lt;År1,0,O238*(1-VLOOKUP($A239,[1]Hugst!$R$5:$W$9,MATCH(ROUNDUP((P$1)/10,0)*10,[1]Hugst!$R$4:$W$4,0))))</f>
        <v>946.78758735116571</v>
      </c>
      <c r="Q239">
        <f ca="1">IF($C239-Q$1&lt;År1,0,P238*(1-VLOOKUP($A239,[1]Hugst!$R$5:$W$9,MATCH(ROUNDUP((Q$1)/10,0)*10,[1]Hugst!$R$4:$W$4,0))))</f>
        <v>943.97295209550259</v>
      </c>
      <c r="R239">
        <f ca="1">IF($C239-R$1&lt;År1,0,Q238*(1-VLOOKUP($A239,[1]Hugst!$R$5:$W$9,MATCH(ROUNDUP((R$1)/10,0)*10,[1]Hugst!$R$4:$W$4,0))))</f>
        <v>943.26809667685347</v>
      </c>
      <c r="S239">
        <f ca="1">IF($C239-S$1&lt;År1,0,R238*(1-VLOOKUP($A239,[1]Hugst!$R$5:$W$9,MATCH(ROUNDUP((S$1)/10,0)*10,[1]Hugst!$R$4:$W$4,0))))</f>
        <v>942.56864282801325</v>
      </c>
      <c r="T239">
        <f ca="1">IF($C239-T$1&lt;År1,0,S238*(1-VLOOKUP($A239,[1]Hugst!$R$5:$W$9,MATCH(ROUNDUP((T$1)/10,0)*10,[1]Hugst!$R$4:$W$4,0))))</f>
        <v>941.87458955714612</v>
      </c>
      <c r="U239">
        <f ca="1">IF($C239-U$1&lt;År1,0,T238*(1-VLOOKUP($A239,[1]Hugst!$R$5:$W$9,MATCH(ROUNDUP((U$1)/10,0)*10,[1]Hugst!$R$4:$W$4,0))))</f>
        <v>941.18593590514945</v>
      </c>
      <c r="V239">
        <f ca="1">IF($C239-V$1&lt;År1,0,U238*(1-VLOOKUP($A239,[1]Hugst!$R$5:$W$9,MATCH(ROUNDUP((V$1)/10,0)*10,[1]Hugst!$R$4:$W$4,0))))</f>
        <v>940.5026809458293</v>
      </c>
      <c r="W239">
        <f ca="1">IF($C239-W$1&lt;År1,0,V238*(1-VLOOKUP($A239,[1]Hugst!$R$5:$W$9,MATCH(ROUNDUP((W$1)/10,0)*10,[1]Hugst!$R$4:$W$4,0))))</f>
        <v>939.82482378575457</v>
      </c>
      <c r="X239">
        <f ca="1">IF($C239-X$1&lt;År1,0,W238*(1-VLOOKUP($A239,[1]Hugst!$R$5:$W$9,MATCH(ROUNDUP((X$1)/10,0)*10,[1]Hugst!$R$4:$W$4,0))))</f>
        <v>939.15236356439971</v>
      </c>
      <c r="Y239">
        <f ca="1">IF($C239-Y$1&lt;År1,0,X238*(1-VLOOKUP($A239,[1]Hugst!$R$5:$W$9,MATCH(ROUNDUP((Y$1)/10,0)*10,[1]Hugst!$R$4:$W$4,0))))</f>
        <v>938.48529945405517</v>
      </c>
      <c r="Z239">
        <f ca="1">IF($C239-Z$1&lt;År1,0,Y238*(1-VLOOKUP($A239,[1]Hugst!$R$5:$W$9,MATCH(ROUNDUP((Z$1)/10,0)*10,[1]Hugst!$R$4:$W$4,0))))</f>
        <v>938.74059338850657</v>
      </c>
      <c r="AA239">
        <f>IF($C239-AA$1&lt;År1,0,Z238*(1-VLOOKUP($A239,[1]Hugst!$R$5:$W$9,MATCH(ROUNDUP((AA$1)/10,0)*10,[1]Hugst!$R$4:$W$4,0))))</f>
        <v>0</v>
      </c>
      <c r="AB239">
        <f>IF($C239-AB$1&lt;År1,0,AA238*(1-VLOOKUP($A239,[1]Hugst!$R$5:$W$9,MATCH(ROUNDUP((AB$1)/10,0)*10,[1]Hugst!$R$4:$W$4,0))))</f>
        <v>0</v>
      </c>
      <c r="AC239">
        <f>IF($C239-AC$1&lt;År1,0,AB238*(1-VLOOKUP($A239,[1]Hugst!$R$5:$W$9,MATCH(ROUNDUP((AC$1)/10,0)*10,[1]Hugst!$R$4:$W$4,0))))</f>
        <v>0</v>
      </c>
      <c r="AD239">
        <f>IF($C239-AD$1&lt;År1,0,AC238*(1-VLOOKUP($A239,[1]Hugst!$R$5:$W$9,MATCH(ROUNDUP((AD$1)/10,0)*10,[1]Hugst!$R$4:$W$4,0))))</f>
        <v>0</v>
      </c>
      <c r="AE239">
        <f>IF($C239-AE$1&lt;År1,0,AD238*(1-VLOOKUP($A239,[1]Hugst!$R$5:$W$9,MATCH(ROUNDUP((AE$1)/10,0)*10,[1]Hugst!$R$4:$W$4,0))))</f>
        <v>0</v>
      </c>
      <c r="AF239">
        <f>IF($C239-AF$1&lt;År1,0,AE238*(1-VLOOKUP($A239,[1]Hugst!$R$5:$W$9,MATCH(ROUNDUP((AF$1)/10,0)*10,[1]Hugst!$R$4:$W$4,0))))</f>
        <v>0</v>
      </c>
      <c r="AG239">
        <f>IF($C239-AG$1&lt;År1,0,AF238*(1-VLOOKUP($A239,[1]Hugst!$R$5:$W$9,MATCH(ROUNDUP((AG$1)/10,0)*10,[1]Hugst!$R$4:$W$4,0))))</f>
        <v>0</v>
      </c>
      <c r="AH239">
        <f>IF($C239-AH$1&lt;År1,0,AG238*(1-VLOOKUP($A239,[1]Hugst!$R$5:$W$9,MATCH(ROUNDUP((AH$1)/10,0)*10,[1]Hugst!$R$4:$W$4,0))))</f>
        <v>0</v>
      </c>
      <c r="AI239">
        <f>IF($C239-AI$1&lt;År1,0,AH238*(1-VLOOKUP($A239,[1]Hugst!$R$5:$W$9,MATCH(ROUNDUP((AI$1)/10,0)*10,[1]Hugst!$R$4:$W$4,0))))</f>
        <v>0</v>
      </c>
      <c r="AJ239">
        <f>IF($C239-AJ$1&lt;År1,0,AI238*(1-VLOOKUP($A239,[1]Hugst!$R$5:$W$9,MATCH(ROUNDUP((AJ$1)/10,0)*10,[1]Hugst!$R$4:$W$4,0))))</f>
        <v>0</v>
      </c>
    </row>
    <row r="240" spans="1:36" x14ac:dyDescent="0.25">
      <c r="A240" t="s">
        <v>179</v>
      </c>
      <c r="B240" t="s">
        <v>24</v>
      </c>
      <c r="C240">
        <v>2041</v>
      </c>
      <c r="D240" cm="1">
        <f t="array" ref="D240">(IF(B240="Vestdanmark",Skovbrug!$C$22-(Skovbrug!$C$22)*(1-Skovbrug!$C$9)^(C240-Skovbrug!$B$12),Skovbrug!$F$22-(Skovbrug!$F$22)*(1-Skovbrug!$C$9)^(C240-Skovbrug!$B$12)))*VLOOKUP(A240,Skovbrug!$A$13:$D$17,IF('Skovbrug-alder'!C240&lt;=År2,3,4),FALSE)
-IF(C240&gt;2020,SUM(INDEX($C$1:$D$311,MATCH(1,(2020=$C$1:$C$311)*(B240=$B$1:$B$311)*(A240=$A$1:$A$311),0),2):D239),0)</f>
        <v>257.89964418806539</v>
      </c>
      <c r="E240">
        <f t="shared" ca="1" si="5"/>
        <v>22.320528951015149</v>
      </c>
      <c r="F240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651.05350647241403</v>
      </c>
      <c r="G240">
        <f ca="1">IF($C240-G$1&lt;År1,0,F239*(1-VLOOKUP($A240,[1]Hugst!$R$5:$W$9,MATCH(ROUNDUP((G$1)/10,0)*10,[1]Hugst!$R$4:$W$4,0))))</f>
        <v>651.89346917549801</v>
      </c>
      <c r="H240">
        <f ca="1">IF($C240-H$1&lt;År1,0,G239*(1-VLOOKUP($A240,[1]Hugst!$R$5:$W$9,MATCH(ROUNDUP((H$1)/10,0)*10,[1]Hugst!$R$4:$W$4,0))))</f>
        <v>652.07557194837727</v>
      </c>
      <c r="I240">
        <f ca="1">IF($C240-I$1&lt;År1,0,H239*(1-VLOOKUP($A240,[1]Hugst!$R$5:$W$9,MATCH(ROUNDUP((I$1)/10,0)*10,[1]Hugst!$R$4:$W$4,0))))</f>
        <v>651.34440210527418</v>
      </c>
      <c r="J240">
        <f ca="1">IF($C240-J$1&lt;År1,0,I239*(1-VLOOKUP($A240,[1]Hugst!$R$5:$W$9,MATCH(ROUNDUP((J$1)/10,0)*10,[1]Hugst!$R$4:$W$4,0))))</f>
        <v>650.6122941330409</v>
      </c>
      <c r="K240">
        <f ca="1">IF($C240-K$1&lt;År1,0,J239*(1-VLOOKUP($A240,[1]Hugst!$R$5:$W$9,MATCH(ROUNDUP((K$1)/10,0)*10,[1]Hugst!$R$4:$W$4,0))))</f>
        <v>649.87924933676322</v>
      </c>
      <c r="L240">
        <f ca="1">IF($C240-L$1&lt;År1,0,K239*(1-VLOOKUP($A240,[1]Hugst!$R$5:$W$9,MATCH(ROUNDUP((L$1)/10,0)*10,[1]Hugst!$R$4:$W$4,0))))</f>
        <v>649.14526904128661</v>
      </c>
      <c r="M240">
        <f ca="1">IF($C240-M$1&lt;År1,0,L239*(1-VLOOKUP($A240,[1]Hugst!$R$5:$W$9,MATCH(ROUNDUP((M$1)/10,0)*10,[1]Hugst!$R$4:$W$4,0))))</f>
        <v>648.41035459137856</v>
      </c>
      <c r="N240">
        <f ca="1">IF($C240-N$1&lt;År1,0,M239*(1-VLOOKUP($A240,[1]Hugst!$R$5:$W$9,MATCH(ROUNDUP((N$1)/10,0)*10,[1]Hugst!$R$4:$W$4,0))))</f>
        <v>647.67450735188686</v>
      </c>
      <c r="O240">
        <f ca="1">IF($C240-O$1&lt;År1,0,N239*(1-VLOOKUP($A240,[1]Hugst!$R$5:$W$9,MATCH(ROUNDUP((O$1)/10,0)*10,[1]Hugst!$R$4:$W$4,0))))</f>
        <v>646.93772870783687</v>
      </c>
      <c r="P240">
        <f ca="1">IF($C240-P$1&lt;År1,0,O239*(1-VLOOKUP($A240,[1]Hugst!$R$5:$W$9,MATCH(ROUNDUP((P$1)/10,0)*10,[1]Hugst!$R$4:$W$4,0))))</f>
        <v>644.78153221563582</v>
      </c>
      <c r="Q240">
        <f ca="1">IF($C240-Q$1&lt;År1,0,P239*(1-VLOOKUP($A240,[1]Hugst!$R$5:$W$9,MATCH(ROUNDUP((Q$1)/10,0)*10,[1]Hugst!$R$4:$W$4,0))))</f>
        <v>944.70927313502898</v>
      </c>
      <c r="R240">
        <f ca="1">IF($C240-R$1&lt;År1,0,Q239*(1-VLOOKUP($A240,[1]Hugst!$R$5:$W$9,MATCH(ROUNDUP((R$1)/10,0)*10,[1]Hugst!$R$4:$W$4,0))))</f>
        <v>941.90081634700027</v>
      </c>
      <c r="S240">
        <f ca="1">IF($C240-S$1&lt;År1,0,R239*(1-VLOOKUP($A240,[1]Hugst!$R$5:$W$9,MATCH(ROUNDUP((S$1)/10,0)*10,[1]Hugst!$R$4:$W$4,0))))</f>
        <v>941.19750817195302</v>
      </c>
      <c r="T240">
        <f ca="1">IF($C240-T$1&lt;År1,0,S239*(1-VLOOKUP($A240,[1]Hugst!$R$5:$W$9,MATCH(ROUNDUP((T$1)/10,0)*10,[1]Hugst!$R$4:$W$4,0))))</f>
        <v>940.49958970961029</v>
      </c>
      <c r="U240">
        <f ca="1">IF($C240-U$1&lt;År1,0,T239*(1-VLOOKUP($A240,[1]Hugst!$R$5:$W$9,MATCH(ROUNDUP((U$1)/10,0)*10,[1]Hugst!$R$4:$W$4,0))))</f>
        <v>939.80705997031339</v>
      </c>
      <c r="V240">
        <f ca="1">IF($C240-V$1&lt;År1,0,U239*(1-VLOOKUP($A240,[1]Hugst!$R$5:$W$9,MATCH(ROUNDUP((V$1)/10,0)*10,[1]Hugst!$R$4:$W$4,0))))</f>
        <v>939.11991799706493</v>
      </c>
      <c r="W240">
        <f ca="1">IF($C240-W$1&lt;År1,0,V239*(1-VLOOKUP($A240,[1]Hugst!$R$5:$W$9,MATCH(ROUNDUP((W$1)/10,0)*10,[1]Hugst!$R$4:$W$4,0))))</f>
        <v>938.43816286570427</v>
      </c>
      <c r="X240">
        <f ca="1">IF($C240-X$1&lt;År1,0,W239*(1-VLOOKUP($A240,[1]Hugst!$R$5:$W$9,MATCH(ROUNDUP((X$1)/10,0)*10,[1]Hugst!$R$4:$W$4,0))))</f>
        <v>937.76179368476141</v>
      </c>
      <c r="Y240">
        <f ca="1">IF($C240-Y$1&lt;År1,0,X239*(1-VLOOKUP($A240,[1]Hugst!$R$5:$W$9,MATCH(ROUNDUP((Y$1)/10,0)*10,[1]Hugst!$R$4:$W$4,0))))</f>
        <v>937.09080959559981</v>
      </c>
      <c r="Z240">
        <f ca="1">IF($C240-Z$1&lt;År1,0,Y239*(1-VLOOKUP($A240,[1]Hugst!$R$5:$W$9,MATCH(ROUNDUP((Z$1)/10,0)*10,[1]Hugst!$R$4:$W$4,0))))</f>
        <v>937.34080518642827</v>
      </c>
      <c r="AA240">
        <f ca="1">IF($C240-AA$1&lt;År1,0,Z239*(1-VLOOKUP($A240,[1]Hugst!$R$5:$W$9,MATCH(ROUNDUP((AA$1)/10,0)*10,[1]Hugst!$R$4:$W$4,0))))</f>
        <v>937.59578778681328</v>
      </c>
      <c r="AB240">
        <f>IF($C240-AB$1&lt;År1,0,AA239*(1-VLOOKUP($A240,[1]Hugst!$R$5:$W$9,MATCH(ROUNDUP((AB$1)/10,0)*10,[1]Hugst!$R$4:$W$4,0))))</f>
        <v>0</v>
      </c>
      <c r="AC240">
        <f>IF($C240-AC$1&lt;År1,0,AB239*(1-VLOOKUP($A240,[1]Hugst!$R$5:$W$9,MATCH(ROUNDUP((AC$1)/10,0)*10,[1]Hugst!$R$4:$W$4,0))))</f>
        <v>0</v>
      </c>
      <c r="AD240">
        <f>IF($C240-AD$1&lt;År1,0,AC239*(1-VLOOKUP($A240,[1]Hugst!$R$5:$W$9,MATCH(ROUNDUP((AD$1)/10,0)*10,[1]Hugst!$R$4:$W$4,0))))</f>
        <v>0</v>
      </c>
      <c r="AE240">
        <f>IF($C240-AE$1&lt;År1,0,AD239*(1-VLOOKUP($A240,[1]Hugst!$R$5:$W$9,MATCH(ROUNDUP((AE$1)/10,0)*10,[1]Hugst!$R$4:$W$4,0))))</f>
        <v>0</v>
      </c>
      <c r="AF240">
        <f>IF($C240-AF$1&lt;År1,0,AE239*(1-VLOOKUP($A240,[1]Hugst!$R$5:$W$9,MATCH(ROUNDUP((AF$1)/10,0)*10,[1]Hugst!$R$4:$W$4,0))))</f>
        <v>0</v>
      </c>
      <c r="AG240">
        <f>IF($C240-AG$1&lt;År1,0,AF239*(1-VLOOKUP($A240,[1]Hugst!$R$5:$W$9,MATCH(ROUNDUP((AG$1)/10,0)*10,[1]Hugst!$R$4:$W$4,0))))</f>
        <v>0</v>
      </c>
      <c r="AH240">
        <f>IF($C240-AH$1&lt;År1,0,AG239*(1-VLOOKUP($A240,[1]Hugst!$R$5:$W$9,MATCH(ROUNDUP((AH$1)/10,0)*10,[1]Hugst!$R$4:$W$4,0))))</f>
        <v>0</v>
      </c>
      <c r="AI240">
        <f>IF($C240-AI$1&lt;År1,0,AH239*(1-VLOOKUP($A240,[1]Hugst!$R$5:$W$9,MATCH(ROUNDUP((AI$1)/10,0)*10,[1]Hugst!$R$4:$W$4,0))))</f>
        <v>0</v>
      </c>
      <c r="AJ240">
        <f>IF($C240-AJ$1&lt;År1,0,AI239*(1-VLOOKUP($A240,[1]Hugst!$R$5:$W$9,MATCH(ROUNDUP((AJ$1)/10,0)*10,[1]Hugst!$R$4:$W$4,0))))</f>
        <v>0</v>
      </c>
    </row>
    <row r="241" spans="1:36" x14ac:dyDescent="0.25">
      <c r="A241" t="s">
        <v>179</v>
      </c>
      <c r="B241" t="s">
        <v>24</v>
      </c>
      <c r="C241">
        <v>2042</v>
      </c>
      <c r="D241" cm="1">
        <f t="array" ref="D241">(IF(B241="Vestdanmark",Skovbrug!$C$22-(Skovbrug!$C$22)*(1-Skovbrug!$C$9)^(C241-Skovbrug!$B$12),Skovbrug!$F$22-(Skovbrug!$F$22)*(1-Skovbrug!$C$9)^(C241-Skovbrug!$B$12)))*VLOOKUP(A241,Skovbrug!$A$13:$D$17,IF('Skovbrug-alder'!C241&lt;=År2,3,4),FALSE)
-IF(C241&gt;2020,SUM(INDEX($C$1:$D$311,MATCH(1,(2020=$C$1:$C$311)*(B241=$B$1:$B$311)*(A241=$A$1:$A$311),0),2):D240),0)</f>
        <v>256.61014596712266</v>
      </c>
      <c r="E241">
        <f t="shared" ca="1" si="5"/>
        <v>22.779638404412253</v>
      </c>
      <c r="F241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650.2231177048684</v>
      </c>
      <c r="G241">
        <f ca="1">IF($C241-G$1&lt;År1,0,F240*(1-VLOOKUP($A241,[1]Hugst!$R$5:$W$9,MATCH(ROUNDUP((G$1)/10,0)*10,[1]Hugst!$R$4:$W$4,0))))</f>
        <v>651.05350647241403</v>
      </c>
      <c r="H241">
        <f ca="1">IF($C241-H$1&lt;År1,0,G240*(1-VLOOKUP($A241,[1]Hugst!$R$5:$W$9,MATCH(ROUNDUP((H$1)/10,0)*10,[1]Hugst!$R$4:$W$4,0))))</f>
        <v>651.89346917549801</v>
      </c>
      <c r="I241">
        <f ca="1">IF($C241-I$1&lt;År1,0,H240*(1-VLOOKUP($A241,[1]Hugst!$R$5:$W$9,MATCH(ROUNDUP((I$1)/10,0)*10,[1]Hugst!$R$4:$W$4,0))))</f>
        <v>652.07557194837727</v>
      </c>
      <c r="J241">
        <f ca="1">IF($C241-J$1&lt;År1,0,I240*(1-VLOOKUP($A241,[1]Hugst!$R$5:$W$9,MATCH(ROUNDUP((J$1)/10,0)*10,[1]Hugst!$R$4:$W$4,0))))</f>
        <v>651.34440210527418</v>
      </c>
      <c r="K241">
        <f ca="1">IF($C241-K$1&lt;År1,0,J240*(1-VLOOKUP($A241,[1]Hugst!$R$5:$W$9,MATCH(ROUNDUP((K$1)/10,0)*10,[1]Hugst!$R$4:$W$4,0))))</f>
        <v>650.6122941330409</v>
      </c>
      <c r="L241">
        <f ca="1">IF($C241-L$1&lt;År1,0,K240*(1-VLOOKUP($A241,[1]Hugst!$R$5:$W$9,MATCH(ROUNDUP((L$1)/10,0)*10,[1]Hugst!$R$4:$W$4,0))))</f>
        <v>649.87924933676322</v>
      </c>
      <c r="M241">
        <f ca="1">IF($C241-M$1&lt;År1,0,L240*(1-VLOOKUP($A241,[1]Hugst!$R$5:$W$9,MATCH(ROUNDUP((M$1)/10,0)*10,[1]Hugst!$R$4:$W$4,0))))</f>
        <v>649.14526904128661</v>
      </c>
      <c r="N241">
        <f ca="1">IF($C241-N$1&lt;År1,0,M240*(1-VLOOKUP($A241,[1]Hugst!$R$5:$W$9,MATCH(ROUNDUP((N$1)/10,0)*10,[1]Hugst!$R$4:$W$4,0))))</f>
        <v>648.41035459137856</v>
      </c>
      <c r="O241">
        <f ca="1">IF($C241-O$1&lt;År1,0,N240*(1-VLOOKUP($A241,[1]Hugst!$R$5:$W$9,MATCH(ROUNDUP((O$1)/10,0)*10,[1]Hugst!$R$4:$W$4,0))))</f>
        <v>647.67450735188686</v>
      </c>
      <c r="P241">
        <f ca="1">IF($C241-P$1&lt;År1,0,O240*(1-VLOOKUP($A241,[1]Hugst!$R$5:$W$9,MATCH(ROUNDUP((P$1)/10,0)*10,[1]Hugst!$R$4:$W$4,0))))</f>
        <v>645.51762149847821</v>
      </c>
      <c r="Q241">
        <f ca="1">IF($C241-Q$1&lt;År1,0,P240*(1-VLOOKUP($A241,[1]Hugst!$R$5:$W$9,MATCH(ROUNDUP((Q$1)/10,0)*10,[1]Hugst!$R$4:$W$4,0))))</f>
        <v>643.36615812052833</v>
      </c>
      <c r="R241">
        <f ca="1">IF($C241-R$1&lt;År1,0,Q240*(1-VLOOKUP($A241,[1]Hugst!$R$5:$W$9,MATCH(ROUNDUP((R$1)/10,0)*10,[1]Hugst!$R$4:$W$4,0))))</f>
        <v>942.63552107204964</v>
      </c>
      <c r="S241">
        <f ca="1">IF($C241-S$1&lt;År1,0,R240*(1-VLOOKUP($A241,[1]Hugst!$R$5:$W$9,MATCH(ROUNDUP((S$1)/10,0)*10,[1]Hugst!$R$4:$W$4,0))))</f>
        <v>939.83322918916542</v>
      </c>
      <c r="T241">
        <f ca="1">IF($C241-T$1&lt;År1,0,S240*(1-VLOOKUP($A241,[1]Hugst!$R$5:$W$9,MATCH(ROUNDUP((T$1)/10,0)*10,[1]Hugst!$R$4:$W$4,0))))</f>
        <v>939.13146486133166</v>
      </c>
      <c r="U241">
        <f ca="1">IF($C241-U$1&lt;År1,0,T240*(1-VLOOKUP($A241,[1]Hugst!$R$5:$W$9,MATCH(ROUNDUP((U$1)/10,0)*10,[1]Hugst!$R$4:$W$4,0))))</f>
        <v>938.43507841512576</v>
      </c>
      <c r="V241">
        <f ca="1">IF($C241-V$1&lt;År1,0,U240*(1-VLOOKUP($A241,[1]Hugst!$R$5:$W$9,MATCH(ROUNDUP((V$1)/10,0)*10,[1]Hugst!$R$4:$W$4,0))))</f>
        <v>937.74406886306144</v>
      </c>
      <c r="W241">
        <f ca="1">IF($C241-W$1&lt;År1,0,V240*(1-VLOOKUP($A241,[1]Hugst!$R$5:$W$9,MATCH(ROUNDUP((W$1)/10,0)*10,[1]Hugst!$R$4:$W$4,0))))</f>
        <v>937.05843525024216</v>
      </c>
      <c r="X241">
        <f ca="1">IF($C241-X$1&lt;År1,0,W240*(1-VLOOKUP($A241,[1]Hugst!$R$5:$W$9,MATCH(ROUNDUP((X$1)/10,0)*10,[1]Hugst!$R$4:$W$4,0))))</f>
        <v>936.37817665453565</v>
      </c>
      <c r="Y241">
        <f ca="1">IF($C241-Y$1&lt;År1,0,X240*(1-VLOOKUP($A241,[1]Hugst!$R$5:$W$9,MATCH(ROUNDUP((Y$1)/10,0)*10,[1]Hugst!$R$4:$W$4,0))))</f>
        <v>935.70329218642905</v>
      </c>
      <c r="Z241">
        <f ca="1">IF($C241-Z$1&lt;År1,0,Y240*(1-VLOOKUP($A241,[1]Hugst!$R$5:$W$9,MATCH(ROUNDUP((Z$1)/10,0)*10,[1]Hugst!$R$4:$W$4,0))))</f>
        <v>935.94801592536123</v>
      </c>
      <c r="AA241">
        <f ca="1">IF($C241-AA$1&lt;År1,0,Z240*(1-VLOOKUP($A241,[1]Hugst!$R$5:$W$9,MATCH(ROUNDUP((AA$1)/10,0)*10,[1]Hugst!$R$4:$W$4,0))))</f>
        <v>936.19770664351802</v>
      </c>
      <c r="AB241">
        <f ca="1">IF($C241-AB$1&lt;År1,0,AA240*(1-VLOOKUP($A241,[1]Hugst!$R$5:$W$9,MATCH(ROUNDUP((AB$1)/10,0)*10,[1]Hugst!$R$4:$W$4,0))))</f>
        <v>936.45237828951224</v>
      </c>
      <c r="AC241">
        <f>IF($C241-AC$1&lt;År1,0,AB240*(1-VLOOKUP($A241,[1]Hugst!$R$5:$W$9,MATCH(ROUNDUP((AC$1)/10,0)*10,[1]Hugst!$R$4:$W$4,0))))</f>
        <v>0</v>
      </c>
      <c r="AD241">
        <f>IF($C241-AD$1&lt;År1,0,AC240*(1-VLOOKUP($A241,[1]Hugst!$R$5:$W$9,MATCH(ROUNDUP((AD$1)/10,0)*10,[1]Hugst!$R$4:$W$4,0))))</f>
        <v>0</v>
      </c>
      <c r="AE241">
        <f>IF($C241-AE$1&lt;År1,0,AD240*(1-VLOOKUP($A241,[1]Hugst!$R$5:$W$9,MATCH(ROUNDUP((AE$1)/10,0)*10,[1]Hugst!$R$4:$W$4,0))))</f>
        <v>0</v>
      </c>
      <c r="AF241">
        <f>IF($C241-AF$1&lt;År1,0,AE240*(1-VLOOKUP($A241,[1]Hugst!$R$5:$W$9,MATCH(ROUNDUP((AF$1)/10,0)*10,[1]Hugst!$R$4:$W$4,0))))</f>
        <v>0</v>
      </c>
      <c r="AG241">
        <f>IF($C241-AG$1&lt;År1,0,AF240*(1-VLOOKUP($A241,[1]Hugst!$R$5:$W$9,MATCH(ROUNDUP((AG$1)/10,0)*10,[1]Hugst!$R$4:$W$4,0))))</f>
        <v>0</v>
      </c>
      <c r="AH241">
        <f>IF($C241-AH$1&lt;År1,0,AG240*(1-VLOOKUP($A241,[1]Hugst!$R$5:$W$9,MATCH(ROUNDUP((AH$1)/10,0)*10,[1]Hugst!$R$4:$W$4,0))))</f>
        <v>0</v>
      </c>
      <c r="AI241">
        <f>IF($C241-AI$1&lt;År1,0,AH240*(1-VLOOKUP($A241,[1]Hugst!$R$5:$W$9,MATCH(ROUNDUP((AI$1)/10,0)*10,[1]Hugst!$R$4:$W$4,0))))</f>
        <v>0</v>
      </c>
      <c r="AJ241">
        <f>IF($C241-AJ$1&lt;År1,0,AI240*(1-VLOOKUP($A241,[1]Hugst!$R$5:$W$9,MATCH(ROUNDUP((AJ$1)/10,0)*10,[1]Hugst!$R$4:$W$4,0))))</f>
        <v>0</v>
      </c>
    </row>
    <row r="242" spans="1:36" x14ac:dyDescent="0.25">
      <c r="A242" t="s">
        <v>179</v>
      </c>
      <c r="B242" t="s">
        <v>24</v>
      </c>
      <c r="C242">
        <v>2043</v>
      </c>
      <c r="D242" cm="1">
        <f t="array" ref="D242">(IF(B242="Vestdanmark",Skovbrug!$C$22-(Skovbrug!$C$22)*(1-Skovbrug!$C$9)^(C242-Skovbrug!$B$12),Skovbrug!$F$22-(Skovbrug!$F$22)*(1-Skovbrug!$C$9)^(C242-Skovbrug!$B$12)))*VLOOKUP(A242,Skovbrug!$A$13:$D$17,IF('Skovbrug-alder'!C242&lt;=År2,3,4),FALSE)
-IF(C242&gt;2020,SUM(INDEX($C$1:$D$311,MATCH(1,(2020=$C$1:$C$311)*(B242=$B$1:$B$311)*(A242=$A$1:$A$311),0),2):D241),0)</f>
        <v>255.32709523728954</v>
      </c>
      <c r="E242">
        <f t="shared" ca="1" si="5"/>
        <v>23.241823247986758</v>
      </c>
      <c r="F242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649.40225181860978</v>
      </c>
      <c r="G242">
        <f ca="1">IF($C242-G$1&lt;År1,0,F241*(1-VLOOKUP($A242,[1]Hugst!$R$5:$W$9,MATCH(ROUNDUP((G$1)/10,0)*10,[1]Hugst!$R$4:$W$4,0))))</f>
        <v>650.2231177048684</v>
      </c>
      <c r="H242">
        <f ca="1">IF($C242-H$1&lt;År1,0,G241*(1-VLOOKUP($A242,[1]Hugst!$R$5:$W$9,MATCH(ROUNDUP((H$1)/10,0)*10,[1]Hugst!$R$4:$W$4,0))))</f>
        <v>651.05350647241403</v>
      </c>
      <c r="I242">
        <f ca="1">IF($C242-I$1&lt;År1,0,H241*(1-VLOOKUP($A242,[1]Hugst!$R$5:$W$9,MATCH(ROUNDUP((I$1)/10,0)*10,[1]Hugst!$R$4:$W$4,0))))</f>
        <v>651.89346917549801</v>
      </c>
      <c r="J242">
        <f ca="1">IF($C242-J$1&lt;År1,0,I241*(1-VLOOKUP($A242,[1]Hugst!$R$5:$W$9,MATCH(ROUNDUP((J$1)/10,0)*10,[1]Hugst!$R$4:$W$4,0))))</f>
        <v>652.07557194837727</v>
      </c>
      <c r="K242">
        <f ca="1">IF($C242-K$1&lt;År1,0,J241*(1-VLOOKUP($A242,[1]Hugst!$R$5:$W$9,MATCH(ROUNDUP((K$1)/10,0)*10,[1]Hugst!$R$4:$W$4,0))))</f>
        <v>651.34440210527418</v>
      </c>
      <c r="L242">
        <f ca="1">IF($C242-L$1&lt;År1,0,K241*(1-VLOOKUP($A242,[1]Hugst!$R$5:$W$9,MATCH(ROUNDUP((L$1)/10,0)*10,[1]Hugst!$R$4:$W$4,0))))</f>
        <v>650.6122941330409</v>
      </c>
      <c r="M242">
        <f ca="1">IF($C242-M$1&lt;År1,0,L241*(1-VLOOKUP($A242,[1]Hugst!$R$5:$W$9,MATCH(ROUNDUP((M$1)/10,0)*10,[1]Hugst!$R$4:$W$4,0))))</f>
        <v>649.87924933676322</v>
      </c>
      <c r="N242">
        <f ca="1">IF($C242-N$1&lt;År1,0,M241*(1-VLOOKUP($A242,[1]Hugst!$R$5:$W$9,MATCH(ROUNDUP((N$1)/10,0)*10,[1]Hugst!$R$4:$W$4,0))))</f>
        <v>649.14526904128661</v>
      </c>
      <c r="O242">
        <f ca="1">IF($C242-O$1&lt;År1,0,N241*(1-VLOOKUP($A242,[1]Hugst!$R$5:$W$9,MATCH(ROUNDUP((O$1)/10,0)*10,[1]Hugst!$R$4:$W$4,0))))</f>
        <v>648.41035459137856</v>
      </c>
      <c r="P242">
        <f ca="1">IF($C242-P$1&lt;År1,0,O241*(1-VLOOKUP($A242,[1]Hugst!$R$5:$W$9,MATCH(ROUNDUP((P$1)/10,0)*10,[1]Hugst!$R$4:$W$4,0))))</f>
        <v>646.2527828235535</v>
      </c>
      <c r="Q242">
        <f ca="1">IF($C242-Q$1&lt;År1,0,P241*(1-VLOOKUP($A242,[1]Hugst!$R$5:$W$9,MATCH(ROUNDUP((Q$1)/10,0)*10,[1]Hugst!$R$4:$W$4,0))))</f>
        <v>644.10063159762785</v>
      </c>
      <c r="R242">
        <f ca="1">IF($C242-R$1&lt;År1,0,Q241*(1-VLOOKUP($A242,[1]Hugst!$R$5:$W$9,MATCH(ROUNDUP((R$1)/10,0)*10,[1]Hugst!$R$4:$W$4,0))))</f>
        <v>641.95389094416623</v>
      </c>
      <c r="S242">
        <f ca="1">IF($C242-S$1&lt;År1,0,R241*(1-VLOOKUP($A242,[1]Hugst!$R$5:$W$9,MATCH(ROUNDUP((S$1)/10,0)*10,[1]Hugst!$R$4:$W$4,0))))</f>
        <v>940.56632114774516</v>
      </c>
      <c r="T242">
        <f ca="1">IF($C242-T$1&lt;År1,0,S241*(1-VLOOKUP($A242,[1]Hugst!$R$5:$W$9,MATCH(ROUNDUP((T$1)/10,0)*10,[1]Hugst!$R$4:$W$4,0))))</f>
        <v>937.77018063728678</v>
      </c>
      <c r="U242">
        <f ca="1">IF($C242-U$1&lt;År1,0,T241*(1-VLOOKUP($A242,[1]Hugst!$R$5:$W$9,MATCH(ROUNDUP((U$1)/10,0)*10,[1]Hugst!$R$4:$W$4,0))))</f>
        <v>937.06995676773363</v>
      </c>
      <c r="V242">
        <f ca="1">IF($C242-V$1&lt;År1,0,U241*(1-VLOOKUP($A242,[1]Hugst!$R$5:$W$9,MATCH(ROUNDUP((V$1)/10,0)*10,[1]Hugst!$R$4:$W$4,0))))</f>
        <v>936.37509897470227</v>
      </c>
      <c r="W242">
        <f ca="1">IF($C242-W$1&lt;År1,0,V241*(1-VLOOKUP($A242,[1]Hugst!$R$5:$W$9,MATCH(ROUNDUP((W$1)/10,0)*10,[1]Hugst!$R$4:$W$4,0))))</f>
        <v>935.68560627287422</v>
      </c>
      <c r="X242">
        <f ca="1">IF($C242-X$1&lt;År1,0,W241*(1-VLOOKUP($A242,[1]Hugst!$R$5:$W$9,MATCH(ROUNDUP((X$1)/10,0)*10,[1]Hugst!$R$4:$W$4,0))))</f>
        <v>935.00147770944898</v>
      </c>
      <c r="Y242">
        <f ca="1">IF($C242-Y$1&lt;År1,0,X241*(1-VLOOKUP($A242,[1]Hugst!$R$5:$W$9,MATCH(ROUNDUP((Y$1)/10,0)*10,[1]Hugst!$R$4:$W$4,0))))</f>
        <v>934.32271236431836</v>
      </c>
      <c r="Z242">
        <f ca="1">IF($C242-Z$1&lt;År1,0,Y241*(1-VLOOKUP($A242,[1]Hugst!$R$5:$W$9,MATCH(ROUNDUP((Z$1)/10,0)*10,[1]Hugst!$R$4:$W$4,0))))</f>
        <v>934.56219061059198</v>
      </c>
      <c r="AA242">
        <f ca="1">IF($C242-AA$1&lt;År1,0,Z241*(1-VLOOKUP($A242,[1]Hugst!$R$5:$W$9,MATCH(ROUNDUP((AA$1)/10,0)*10,[1]Hugst!$R$4:$W$4,0))))</f>
        <v>934.80661590594002</v>
      </c>
      <c r="AB242">
        <f ca="1">IF($C242-AB$1&lt;År1,0,AA241*(1-VLOOKUP($A242,[1]Hugst!$R$5:$W$9,MATCH(ROUNDUP((AB$1)/10,0)*10,[1]Hugst!$R$4:$W$4,0))))</f>
        <v>935.05600212322099</v>
      </c>
      <c r="AC242">
        <f ca="1">IF($C242-AC$1&lt;År1,0,AB241*(1-VLOOKUP($A242,[1]Hugst!$R$5:$W$9,MATCH(ROUNDUP((AC$1)/10,0)*10,[1]Hugst!$R$4:$W$4,0))))</f>
        <v>935.31036319403722</v>
      </c>
      <c r="AD242">
        <f>IF($C242-AD$1&lt;År1,0,AC241*(1-VLOOKUP($A242,[1]Hugst!$R$5:$W$9,MATCH(ROUNDUP((AD$1)/10,0)*10,[1]Hugst!$R$4:$W$4,0))))</f>
        <v>0</v>
      </c>
      <c r="AE242">
        <f>IF($C242-AE$1&lt;År1,0,AD241*(1-VLOOKUP($A242,[1]Hugst!$R$5:$W$9,MATCH(ROUNDUP((AE$1)/10,0)*10,[1]Hugst!$R$4:$W$4,0))))</f>
        <v>0</v>
      </c>
      <c r="AF242">
        <f>IF($C242-AF$1&lt;År1,0,AE241*(1-VLOOKUP($A242,[1]Hugst!$R$5:$W$9,MATCH(ROUNDUP((AF$1)/10,0)*10,[1]Hugst!$R$4:$W$4,0))))</f>
        <v>0</v>
      </c>
      <c r="AG242">
        <f>IF($C242-AG$1&lt;År1,0,AF241*(1-VLOOKUP($A242,[1]Hugst!$R$5:$W$9,MATCH(ROUNDUP((AG$1)/10,0)*10,[1]Hugst!$R$4:$W$4,0))))</f>
        <v>0</v>
      </c>
      <c r="AH242">
        <f>IF($C242-AH$1&lt;År1,0,AG241*(1-VLOOKUP($A242,[1]Hugst!$R$5:$W$9,MATCH(ROUNDUP((AH$1)/10,0)*10,[1]Hugst!$R$4:$W$4,0))))</f>
        <v>0</v>
      </c>
      <c r="AI242">
        <f>IF($C242-AI$1&lt;År1,0,AH241*(1-VLOOKUP($A242,[1]Hugst!$R$5:$W$9,MATCH(ROUNDUP((AI$1)/10,0)*10,[1]Hugst!$R$4:$W$4,0))))</f>
        <v>0</v>
      </c>
      <c r="AJ242">
        <f>IF($C242-AJ$1&lt;År1,0,AI241*(1-VLOOKUP($A242,[1]Hugst!$R$5:$W$9,MATCH(ROUNDUP((AJ$1)/10,0)*10,[1]Hugst!$R$4:$W$4,0))))</f>
        <v>0</v>
      </c>
    </row>
    <row r="243" spans="1:36" x14ac:dyDescent="0.25">
      <c r="A243" t="s">
        <v>179</v>
      </c>
      <c r="B243" t="s">
        <v>24</v>
      </c>
      <c r="C243">
        <v>2044</v>
      </c>
      <c r="D243" cm="1">
        <f t="array" ref="D243">(IF(B243="Vestdanmark",Skovbrug!$C$22-(Skovbrug!$C$22)*(1-Skovbrug!$C$9)^(C243-Skovbrug!$B$12),Skovbrug!$F$22-(Skovbrug!$F$22)*(1-Skovbrug!$C$9)^(C243-Skovbrug!$B$12)))*VLOOKUP(A243,Skovbrug!$A$13:$D$17,IF('Skovbrug-alder'!C243&lt;=År2,3,4),FALSE)
-IF(C243&gt;2020,SUM(INDEX($C$1:$D$311,MATCH(1,(2020=$C$1:$C$311)*(B243=$B$1:$B$311)*(A243=$A$1:$A$311),0),2):D242),0)</f>
        <v>254.05045976109704</v>
      </c>
      <c r="E243">
        <f t="shared" ca="1" si="5"/>
        <v>23.707064910769986</v>
      </c>
      <c r="F243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648.59085800520052</v>
      </c>
      <c r="G243">
        <f ca="1">IF($C243-G$1&lt;År1,0,F242*(1-VLOOKUP($A243,[1]Hugst!$R$5:$W$9,MATCH(ROUNDUP((G$1)/10,0)*10,[1]Hugst!$R$4:$W$4,0))))</f>
        <v>649.40225181860978</v>
      </c>
      <c r="H243">
        <f ca="1">IF($C243-H$1&lt;År1,0,G242*(1-VLOOKUP($A243,[1]Hugst!$R$5:$W$9,MATCH(ROUNDUP((H$1)/10,0)*10,[1]Hugst!$R$4:$W$4,0))))</f>
        <v>650.2231177048684</v>
      </c>
      <c r="I243">
        <f ca="1">IF($C243-I$1&lt;År1,0,H242*(1-VLOOKUP($A243,[1]Hugst!$R$5:$W$9,MATCH(ROUNDUP((I$1)/10,0)*10,[1]Hugst!$R$4:$W$4,0))))</f>
        <v>651.05350647241403</v>
      </c>
      <c r="J243">
        <f ca="1">IF($C243-J$1&lt;År1,0,I242*(1-VLOOKUP($A243,[1]Hugst!$R$5:$W$9,MATCH(ROUNDUP((J$1)/10,0)*10,[1]Hugst!$R$4:$W$4,0))))</f>
        <v>651.89346917549801</v>
      </c>
      <c r="K243">
        <f ca="1">IF($C243-K$1&lt;År1,0,J242*(1-VLOOKUP($A243,[1]Hugst!$R$5:$W$9,MATCH(ROUNDUP((K$1)/10,0)*10,[1]Hugst!$R$4:$W$4,0))))</f>
        <v>652.07557194837727</v>
      </c>
      <c r="L243">
        <f ca="1">IF($C243-L$1&lt;År1,0,K242*(1-VLOOKUP($A243,[1]Hugst!$R$5:$W$9,MATCH(ROUNDUP((L$1)/10,0)*10,[1]Hugst!$R$4:$W$4,0))))</f>
        <v>651.34440210527418</v>
      </c>
      <c r="M243">
        <f ca="1">IF($C243-M$1&lt;År1,0,L242*(1-VLOOKUP($A243,[1]Hugst!$R$5:$W$9,MATCH(ROUNDUP((M$1)/10,0)*10,[1]Hugst!$R$4:$W$4,0))))</f>
        <v>650.6122941330409</v>
      </c>
      <c r="N243">
        <f ca="1">IF($C243-N$1&lt;År1,0,M242*(1-VLOOKUP($A243,[1]Hugst!$R$5:$W$9,MATCH(ROUNDUP((N$1)/10,0)*10,[1]Hugst!$R$4:$W$4,0))))</f>
        <v>649.87924933676322</v>
      </c>
      <c r="O243">
        <f ca="1">IF($C243-O$1&lt;År1,0,N242*(1-VLOOKUP($A243,[1]Hugst!$R$5:$W$9,MATCH(ROUNDUP((O$1)/10,0)*10,[1]Hugst!$R$4:$W$4,0))))</f>
        <v>649.14526904128661</v>
      </c>
      <c r="P243">
        <f ca="1">IF($C243-P$1&lt;År1,0,O242*(1-VLOOKUP($A243,[1]Hugst!$R$5:$W$9,MATCH(ROUNDUP((P$1)/10,0)*10,[1]Hugst!$R$4:$W$4,0))))</f>
        <v>646.98701478861699</v>
      </c>
      <c r="Q243">
        <f ca="1">IF($C243-Q$1&lt;År1,0,P242*(1-VLOOKUP($A243,[1]Hugst!$R$5:$W$9,MATCH(ROUNDUP((Q$1)/10,0)*10,[1]Hugst!$R$4:$W$4,0))))</f>
        <v>644.8341791539408</v>
      </c>
      <c r="R243">
        <f ca="1">IF($C243-R$1&lt;År1,0,Q242*(1-VLOOKUP($A243,[1]Hugst!$R$5:$W$9,MATCH(ROUNDUP((R$1)/10,0)*10,[1]Hugst!$R$4:$W$4,0))))</f>
        <v>642.68675216241354</v>
      </c>
      <c r="S243">
        <f ca="1">IF($C243-S$1&lt;År1,0,R242*(1-VLOOKUP($A243,[1]Hugst!$R$5:$W$9,MATCH(ROUNDUP((S$1)/10,0)*10,[1]Hugst!$R$4:$W$4,0))))</f>
        <v>640.54472386648388</v>
      </c>
      <c r="T243">
        <f ca="1">IF($C243-T$1&lt;År1,0,S242*(1-VLOOKUP($A243,[1]Hugst!$R$5:$W$9,MATCH(ROUNDUP((T$1)/10,0)*10,[1]Hugst!$R$4:$W$4,0))))</f>
        <v>938.50166336961593</v>
      </c>
      <c r="U243">
        <f ca="1">IF($C243-U$1&lt;År1,0,T242*(1-VLOOKUP($A243,[1]Hugst!$R$5:$W$9,MATCH(ROUNDUP((U$1)/10,0)*10,[1]Hugst!$R$4:$W$4,0))))</f>
        <v>935.71166072857079</v>
      </c>
      <c r="V243">
        <f ca="1">IF($C243-V$1&lt;År1,0,U242*(1-VLOOKUP($A243,[1]Hugst!$R$5:$W$9,MATCH(ROUNDUP((V$1)/10,0)*10,[1]Hugst!$R$4:$W$4,0))))</f>
        <v>935.01297393580444</v>
      </c>
      <c r="W243">
        <f ca="1">IF($C243-W$1&lt;År1,0,V242*(1-VLOOKUP($A243,[1]Hugst!$R$5:$W$9,MATCH(ROUNDUP((W$1)/10,0)*10,[1]Hugst!$R$4:$W$4,0))))</f>
        <v>934.3196414403676</v>
      </c>
      <c r="X243">
        <f ca="1">IF($C243-X$1&lt;År1,0,W242*(1-VLOOKUP($A243,[1]Hugst!$R$5:$W$9,MATCH(ROUNDUP((X$1)/10,0)*10,[1]Hugst!$R$4:$W$4,0))))</f>
        <v>933.63166225910447</v>
      </c>
      <c r="Y243">
        <f ca="1">IF($C243-Y$1&lt;År1,0,X242*(1-VLOOKUP($A243,[1]Hugst!$R$5:$W$9,MATCH(ROUNDUP((Y$1)/10,0)*10,[1]Hugst!$R$4:$W$4,0))))</f>
        <v>932.94903544130625</v>
      </c>
      <c r="Z243">
        <f ca="1">IF($C243-Z$1&lt;År1,0,Y242*(1-VLOOKUP($A243,[1]Hugst!$R$5:$W$9,MATCH(ROUNDUP((Z$1)/10,0)*10,[1]Hugst!$R$4:$W$4,0))))</f>
        <v>933.18329442241065</v>
      </c>
      <c r="AA243">
        <f ca="1">IF($C243-AA$1&lt;År1,0,Z242*(1-VLOOKUP($A243,[1]Hugst!$R$5:$W$9,MATCH(ROUNDUP((AA$1)/10,0)*10,[1]Hugst!$R$4:$W$4,0))))</f>
        <v>933.42248062204249</v>
      </c>
      <c r="AB243">
        <f ca="1">IF($C243-AB$1&lt;År1,0,AA242*(1-VLOOKUP($A243,[1]Hugst!$R$5:$W$9,MATCH(ROUNDUP((AB$1)/10,0)*10,[1]Hugst!$R$4:$W$4,0))))</f>
        <v>933.66660783776206</v>
      </c>
      <c r="AC243">
        <f ca="1">IF($C243-AC$1&lt;År1,0,AB242*(1-VLOOKUP($A243,[1]Hugst!$R$5:$W$9,MATCH(ROUNDUP((AC$1)/10,0)*10,[1]Hugst!$R$4:$W$4,0))))</f>
        <v>933.9156899255097</v>
      </c>
      <c r="AD243">
        <f ca="1">IF($C243-AD$1&lt;År1,0,AC242*(1-VLOOKUP($A243,[1]Hugst!$R$5:$W$9,MATCH(ROUNDUP((AD$1)/10,0)*10,[1]Hugst!$R$4:$W$4,0))))</f>
        <v>934.16974079989814</v>
      </c>
      <c r="AE243">
        <f>IF($C243-AE$1&lt;År1,0,AD242*(1-VLOOKUP($A243,[1]Hugst!$R$5:$W$9,MATCH(ROUNDUP((AE$1)/10,0)*10,[1]Hugst!$R$4:$W$4,0))))</f>
        <v>0</v>
      </c>
      <c r="AF243">
        <f>IF($C243-AF$1&lt;År1,0,AE242*(1-VLOOKUP($A243,[1]Hugst!$R$5:$W$9,MATCH(ROUNDUP((AF$1)/10,0)*10,[1]Hugst!$R$4:$W$4,0))))</f>
        <v>0</v>
      </c>
      <c r="AG243">
        <f>IF($C243-AG$1&lt;År1,0,AF242*(1-VLOOKUP($A243,[1]Hugst!$R$5:$W$9,MATCH(ROUNDUP((AG$1)/10,0)*10,[1]Hugst!$R$4:$W$4,0))))</f>
        <v>0</v>
      </c>
      <c r="AH243">
        <f>IF($C243-AH$1&lt;År1,0,AG242*(1-VLOOKUP($A243,[1]Hugst!$R$5:$W$9,MATCH(ROUNDUP((AH$1)/10,0)*10,[1]Hugst!$R$4:$W$4,0))))</f>
        <v>0</v>
      </c>
      <c r="AI243">
        <f>IF($C243-AI$1&lt;År1,0,AH242*(1-VLOOKUP($A243,[1]Hugst!$R$5:$W$9,MATCH(ROUNDUP((AI$1)/10,0)*10,[1]Hugst!$R$4:$W$4,0))))</f>
        <v>0</v>
      </c>
      <c r="AJ243">
        <f>IF($C243-AJ$1&lt;År1,0,AI242*(1-VLOOKUP($A243,[1]Hugst!$R$5:$W$9,MATCH(ROUNDUP((AJ$1)/10,0)*10,[1]Hugst!$R$4:$W$4,0))))</f>
        <v>0</v>
      </c>
    </row>
    <row r="244" spans="1:36" x14ac:dyDescent="0.25">
      <c r="A244" t="s">
        <v>179</v>
      </c>
      <c r="B244" t="s">
        <v>24</v>
      </c>
      <c r="C244">
        <v>2045</v>
      </c>
      <c r="D244" cm="1">
        <f t="array" ref="D244">(IF(B244="Vestdanmark",Skovbrug!$C$22-(Skovbrug!$C$22)*(1-Skovbrug!$C$9)^(C244-Skovbrug!$B$12),Skovbrug!$F$22-(Skovbrug!$F$22)*(1-Skovbrug!$C$9)^(C244-Skovbrug!$B$12)))*VLOOKUP(A244,Skovbrug!$A$13:$D$17,IF('Skovbrug-alder'!C244&lt;=År2,3,4),FALSE)
-IF(C244&gt;2020,SUM(INDEX($C$1:$D$311,MATCH(1,(2020=$C$1:$C$311)*(B244=$B$1:$B$311)*(A244=$A$1:$A$311),0),2):D243),0)</f>
        <v>252.78020746229504</v>
      </c>
      <c r="E244">
        <f t="shared" ca="1" si="5"/>
        <v>24.175344905353995</v>
      </c>
      <c r="F244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647.78888570098252</v>
      </c>
      <c r="G244">
        <f ca="1">IF($C244-G$1&lt;År1,0,F243*(1-VLOOKUP($A244,[1]Hugst!$R$5:$W$9,MATCH(ROUNDUP((G$1)/10,0)*10,[1]Hugst!$R$4:$W$4,0))))</f>
        <v>648.59085800520052</v>
      </c>
      <c r="H244">
        <f ca="1">IF($C244-H$1&lt;År1,0,G243*(1-VLOOKUP($A244,[1]Hugst!$R$5:$W$9,MATCH(ROUNDUP((H$1)/10,0)*10,[1]Hugst!$R$4:$W$4,0))))</f>
        <v>649.40225181860978</v>
      </c>
      <c r="I244">
        <f ca="1">IF($C244-I$1&lt;År1,0,H243*(1-VLOOKUP($A244,[1]Hugst!$R$5:$W$9,MATCH(ROUNDUP((I$1)/10,0)*10,[1]Hugst!$R$4:$W$4,0))))</f>
        <v>650.2231177048684</v>
      </c>
      <c r="J244">
        <f ca="1">IF($C244-J$1&lt;År1,0,I243*(1-VLOOKUP($A244,[1]Hugst!$R$5:$W$9,MATCH(ROUNDUP((J$1)/10,0)*10,[1]Hugst!$R$4:$W$4,0))))</f>
        <v>651.05350647241403</v>
      </c>
      <c r="K244">
        <f ca="1">IF($C244-K$1&lt;År1,0,J243*(1-VLOOKUP($A244,[1]Hugst!$R$5:$W$9,MATCH(ROUNDUP((K$1)/10,0)*10,[1]Hugst!$R$4:$W$4,0))))</f>
        <v>651.89346917549801</v>
      </c>
      <c r="L244">
        <f ca="1">IF($C244-L$1&lt;År1,0,K243*(1-VLOOKUP($A244,[1]Hugst!$R$5:$W$9,MATCH(ROUNDUP((L$1)/10,0)*10,[1]Hugst!$R$4:$W$4,0))))</f>
        <v>652.07557194837727</v>
      </c>
      <c r="M244">
        <f ca="1">IF($C244-M$1&lt;År1,0,L243*(1-VLOOKUP($A244,[1]Hugst!$R$5:$W$9,MATCH(ROUNDUP((M$1)/10,0)*10,[1]Hugst!$R$4:$W$4,0))))</f>
        <v>651.34440210527418</v>
      </c>
      <c r="N244">
        <f ca="1">IF($C244-N$1&lt;År1,0,M243*(1-VLOOKUP($A244,[1]Hugst!$R$5:$W$9,MATCH(ROUNDUP((N$1)/10,0)*10,[1]Hugst!$R$4:$W$4,0))))</f>
        <v>650.6122941330409</v>
      </c>
      <c r="O244">
        <f ca="1">IF($C244-O$1&lt;År1,0,N243*(1-VLOOKUP($A244,[1]Hugst!$R$5:$W$9,MATCH(ROUNDUP((O$1)/10,0)*10,[1]Hugst!$R$4:$W$4,0))))</f>
        <v>649.87924933676322</v>
      </c>
      <c r="P244">
        <f ca="1">IF($C244-P$1&lt;År1,0,O243*(1-VLOOKUP($A244,[1]Hugst!$R$5:$W$9,MATCH(ROUNDUP((P$1)/10,0)*10,[1]Hugst!$R$4:$W$4,0))))</f>
        <v>647.72031601168374</v>
      </c>
      <c r="Q244">
        <f ca="1">IF($C244-Q$1&lt;År1,0,P243*(1-VLOOKUP($A244,[1]Hugst!$R$5:$W$9,MATCH(ROUNDUP((Q$1)/10,0)*10,[1]Hugst!$R$4:$W$4,0))))</f>
        <v>645.5667993903005</v>
      </c>
      <c r="R244">
        <f ca="1">IF($C244-R$1&lt;År1,0,Q243*(1-VLOOKUP($A244,[1]Hugst!$R$5:$W$9,MATCH(ROUNDUP((R$1)/10,0)*10,[1]Hugst!$R$4:$W$4,0))))</f>
        <v>643.41868949238335</v>
      </c>
      <c r="S244">
        <f ca="1">IF($C244-S$1&lt;År1,0,R243*(1-VLOOKUP($A244,[1]Hugst!$R$5:$W$9,MATCH(ROUNDUP((S$1)/10,0)*10,[1]Hugst!$R$4:$W$4,0))))</f>
        <v>641.27597636498388</v>
      </c>
      <c r="T244">
        <f ca="1">IF($C244-T$1&lt;År1,0,S243*(1-VLOOKUP($A244,[1]Hugst!$R$5:$W$9,MATCH(ROUNDUP((T$1)/10,0)*10,[1]Hugst!$R$4:$W$4,0))))</f>
        <v>639.13865008238668</v>
      </c>
      <c r="U244">
        <f ca="1">IF($C244-U$1&lt;År1,0,T243*(1-VLOOKUP($A244,[1]Hugst!$R$5:$W$9,MATCH(ROUNDUP((U$1)/10,0)*10,[1]Hugst!$R$4:$W$4,0))))</f>
        <v>936.4415377670972</v>
      </c>
      <c r="V244">
        <f ca="1">IF($C244-V$1&lt;År1,0,U243*(1-VLOOKUP($A244,[1]Hugst!$R$5:$W$9,MATCH(ROUNDUP((V$1)/10,0)*10,[1]Hugst!$R$4:$W$4,0))))</f>
        <v>933.65765952209347</v>
      </c>
      <c r="W244">
        <f ca="1">IF($C244-W$1&lt;År1,0,V243*(1-VLOOKUP($A244,[1]Hugst!$R$5:$W$9,MATCH(ROUNDUP((W$1)/10,0)*10,[1]Hugst!$R$4:$W$4,0))))</f>
        <v>932.96050643204296</v>
      </c>
      <c r="X244">
        <f ca="1">IF($C244-X$1&lt;År1,0,W243*(1-VLOOKUP($A244,[1]Hugst!$R$5:$W$9,MATCH(ROUNDUP((X$1)/10,0)*10,[1]Hugst!$R$4:$W$4,0))))</f>
        <v>932.26869588598629</v>
      </c>
      <c r="Y244">
        <f ca="1">IF($C244-Y$1&lt;År1,0,X243*(1-VLOOKUP($A244,[1]Hugst!$R$5:$W$9,MATCH(ROUNDUP((Y$1)/10,0)*10,[1]Hugst!$R$4:$W$4,0))))</f>
        <v>931.58222690292598</v>
      </c>
      <c r="Z244">
        <f ca="1">IF($C244-Z$1&lt;År1,0,Y243*(1-VLOOKUP($A244,[1]Hugst!$R$5:$W$9,MATCH(ROUNDUP((Z$1)/10,0)*10,[1]Hugst!$R$4:$W$4,0))))</f>
        <v>931.81129271515829</v>
      </c>
      <c r="AA244">
        <f ca="1">IF($C244-AA$1&lt;År1,0,Z243*(1-VLOOKUP($A244,[1]Hugst!$R$5:$W$9,MATCH(ROUNDUP((AA$1)/10,0)*10,[1]Hugst!$R$4:$W$4,0))))</f>
        <v>932.04526601457849</v>
      </c>
      <c r="AB244">
        <f ca="1">IF($C244-AB$1&lt;År1,0,AA243*(1-VLOOKUP($A244,[1]Hugst!$R$5:$W$9,MATCH(ROUNDUP((AB$1)/10,0)*10,[1]Hugst!$R$4:$W$4,0))))</f>
        <v>932.2841605237229</v>
      </c>
      <c r="AC244">
        <f ca="1">IF($C244-AC$1&lt;År1,0,AB243*(1-VLOOKUP($A244,[1]Hugst!$R$5:$W$9,MATCH(ROUNDUP((AC$1)/10,0)*10,[1]Hugst!$R$4:$W$4,0))))</f>
        <v>932.52799002332574</v>
      </c>
      <c r="AD244">
        <f ca="1">IF($C244-AD$1&lt;År1,0,AC243*(1-VLOOKUP($A244,[1]Hugst!$R$5:$W$9,MATCH(ROUNDUP((AD$1)/10,0)*10,[1]Hugst!$R$4:$W$4,0))))</f>
        <v>932.77676835242983</v>
      </c>
      <c r="AE244">
        <f ca="1">IF($C244-AE$1&lt;År1,0,AD243*(1-VLOOKUP($A244,[1]Hugst!$R$5:$W$9,MATCH(ROUNDUP((AE$1)/10,0)*10,[1]Hugst!$R$4:$W$4,0))))</f>
        <v>933.03050940867877</v>
      </c>
      <c r="AF244">
        <f>IF($C244-AF$1&lt;År1,0,AE243*(1-VLOOKUP($A244,[1]Hugst!$R$5:$W$9,MATCH(ROUNDUP((AF$1)/10,0)*10,[1]Hugst!$R$4:$W$4,0))))</f>
        <v>0</v>
      </c>
      <c r="AG244">
        <f>IF($C244-AG$1&lt;År1,0,AF243*(1-VLOOKUP($A244,[1]Hugst!$R$5:$W$9,MATCH(ROUNDUP((AG$1)/10,0)*10,[1]Hugst!$R$4:$W$4,0))))</f>
        <v>0</v>
      </c>
      <c r="AH244">
        <f>IF($C244-AH$1&lt;År1,0,AG243*(1-VLOOKUP($A244,[1]Hugst!$R$5:$W$9,MATCH(ROUNDUP((AH$1)/10,0)*10,[1]Hugst!$R$4:$W$4,0))))</f>
        <v>0</v>
      </c>
      <c r="AI244">
        <f>IF($C244-AI$1&lt;År1,0,AH243*(1-VLOOKUP($A244,[1]Hugst!$R$5:$W$9,MATCH(ROUNDUP((AI$1)/10,0)*10,[1]Hugst!$R$4:$W$4,0))))</f>
        <v>0</v>
      </c>
      <c r="AJ244">
        <f>IF($C244-AJ$1&lt;År1,0,AI243*(1-VLOOKUP($A244,[1]Hugst!$R$5:$W$9,MATCH(ROUNDUP((AJ$1)/10,0)*10,[1]Hugst!$R$4:$W$4,0))))</f>
        <v>0</v>
      </c>
    </row>
    <row r="245" spans="1:36" x14ac:dyDescent="0.25">
      <c r="A245" t="s">
        <v>179</v>
      </c>
      <c r="B245" t="s">
        <v>24</v>
      </c>
      <c r="C245">
        <v>2046</v>
      </c>
      <c r="D245" cm="1">
        <f t="array" ref="D245">(IF(B245="Vestdanmark",Skovbrug!$C$22-(Skovbrug!$C$22)*(1-Skovbrug!$C$9)^(C245-Skovbrug!$B$12),Skovbrug!$F$22-(Skovbrug!$F$22)*(1-Skovbrug!$C$9)^(C245-Skovbrug!$B$12)))*VLOOKUP(A245,Skovbrug!$A$13:$D$17,IF('Skovbrug-alder'!C245&lt;=År2,3,4),FALSE)
-IF(C245&gt;2020,SUM(INDEX($C$1:$D$311,MATCH(1,(2020=$C$1:$C$311)*(B245=$B$1:$B$311)*(A245=$A$1:$A$311),0),2):D244),0)</f>
        <v>251.51630642498912</v>
      </c>
      <c r="E245">
        <f t="shared" ca="1" si="5"/>
        <v>24.646644827385899</v>
      </c>
      <c r="F245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646.99628458570851</v>
      </c>
      <c r="G245">
        <f ca="1">IF($C245-G$1&lt;År1,0,F244*(1-VLOOKUP($A245,[1]Hugst!$R$5:$W$9,MATCH(ROUNDUP((G$1)/10,0)*10,[1]Hugst!$R$4:$W$4,0))))</f>
        <v>647.78888570098252</v>
      </c>
      <c r="H245">
        <f ca="1">IF($C245-H$1&lt;År1,0,G244*(1-VLOOKUP($A245,[1]Hugst!$R$5:$W$9,MATCH(ROUNDUP((H$1)/10,0)*10,[1]Hugst!$R$4:$W$4,0))))</f>
        <v>648.59085800520052</v>
      </c>
      <c r="I245">
        <f ca="1">IF($C245-I$1&lt;År1,0,H244*(1-VLOOKUP($A245,[1]Hugst!$R$5:$W$9,MATCH(ROUNDUP((I$1)/10,0)*10,[1]Hugst!$R$4:$W$4,0))))</f>
        <v>649.40225181860978</v>
      </c>
      <c r="J245">
        <f ca="1">IF($C245-J$1&lt;År1,0,I244*(1-VLOOKUP($A245,[1]Hugst!$R$5:$W$9,MATCH(ROUNDUP((J$1)/10,0)*10,[1]Hugst!$R$4:$W$4,0))))</f>
        <v>650.2231177048684</v>
      </c>
      <c r="K245">
        <f ca="1">IF($C245-K$1&lt;År1,0,J244*(1-VLOOKUP($A245,[1]Hugst!$R$5:$W$9,MATCH(ROUNDUP((K$1)/10,0)*10,[1]Hugst!$R$4:$W$4,0))))</f>
        <v>651.05350647241403</v>
      </c>
      <c r="L245">
        <f ca="1">IF($C245-L$1&lt;År1,0,K244*(1-VLOOKUP($A245,[1]Hugst!$R$5:$W$9,MATCH(ROUNDUP((L$1)/10,0)*10,[1]Hugst!$R$4:$W$4,0))))</f>
        <v>651.89346917549801</v>
      </c>
      <c r="M245">
        <f ca="1">IF($C245-M$1&lt;År1,0,L244*(1-VLOOKUP($A245,[1]Hugst!$R$5:$W$9,MATCH(ROUNDUP((M$1)/10,0)*10,[1]Hugst!$R$4:$W$4,0))))</f>
        <v>652.07557194837727</v>
      </c>
      <c r="N245">
        <f ca="1">IF($C245-N$1&lt;År1,0,M244*(1-VLOOKUP($A245,[1]Hugst!$R$5:$W$9,MATCH(ROUNDUP((N$1)/10,0)*10,[1]Hugst!$R$4:$W$4,0))))</f>
        <v>651.34440210527418</v>
      </c>
      <c r="O245">
        <f ca="1">IF($C245-O$1&lt;År1,0,N244*(1-VLOOKUP($A245,[1]Hugst!$R$5:$W$9,MATCH(ROUNDUP((O$1)/10,0)*10,[1]Hugst!$R$4:$W$4,0))))</f>
        <v>650.6122941330409</v>
      </c>
      <c r="P245">
        <f ca="1">IF($C245-P$1&lt;År1,0,O244*(1-VLOOKUP($A245,[1]Hugst!$R$5:$W$9,MATCH(ROUNDUP((P$1)/10,0)*10,[1]Hugst!$R$4:$W$4,0))))</f>
        <v>648.45268513090207</v>
      </c>
      <c r="Q245">
        <f ca="1">IF($C245-Q$1&lt;År1,0,P244*(1-VLOOKUP($A245,[1]Hugst!$R$5:$W$9,MATCH(ROUNDUP((Q$1)/10,0)*10,[1]Hugst!$R$4:$W$4,0))))</f>
        <v>646.29849092775567</v>
      </c>
      <c r="R245">
        <f ca="1">IF($C245-R$1&lt;År1,0,Q244*(1-VLOOKUP($A245,[1]Hugst!$R$5:$W$9,MATCH(ROUNDUP((R$1)/10,0)*10,[1]Hugst!$R$4:$W$4,0))))</f>
        <v>644.14970153798038</v>
      </c>
      <c r="S245">
        <f ca="1">IF($C245-S$1&lt;År1,0,R244*(1-VLOOKUP($A245,[1]Hugst!$R$5:$W$9,MATCH(ROUNDUP((S$1)/10,0)*10,[1]Hugst!$R$4:$W$4,0))))</f>
        <v>642.00630700325371</v>
      </c>
      <c r="T245">
        <f ca="1">IF($C245-T$1&lt;År1,0,S244*(1-VLOOKUP($A245,[1]Hugst!$R$5:$W$9,MATCH(ROUNDUP((T$1)/10,0)*10,[1]Hugst!$R$4:$W$4,0))))</f>
        <v>639.86829739247537</v>
      </c>
      <c r="U245">
        <f ca="1">IF($C245-U$1&lt;År1,0,T244*(1-VLOOKUP($A245,[1]Hugst!$R$5:$W$9,MATCH(ROUNDUP((U$1)/10,0)*10,[1]Hugst!$R$4:$W$4,0))))</f>
        <v>637.73566280171804</v>
      </c>
      <c r="V245">
        <f ca="1">IF($C245-V$1&lt;År1,0,U244*(1-VLOOKUP($A245,[1]Hugst!$R$5:$W$9,MATCH(ROUNDUP((V$1)/10,0)*10,[1]Hugst!$R$4:$W$4,0))))</f>
        <v>934.38593439151089</v>
      </c>
      <c r="W245">
        <f ca="1">IF($C245-W$1&lt;År1,0,V244*(1-VLOOKUP($A245,[1]Hugst!$R$5:$W$9,MATCH(ROUNDUP((W$1)/10,0)*10,[1]Hugst!$R$4:$W$4,0))))</f>
        <v>931.60816709875223</v>
      </c>
      <c r="X245">
        <f ca="1">IF($C245-X$1&lt;År1,0,W244*(1-VLOOKUP($A245,[1]Hugst!$R$5:$W$9,MATCH(ROUNDUP((X$1)/10,0)*10,[1]Hugst!$R$4:$W$4,0))))</f>
        <v>930.91254434475309</v>
      </c>
      <c r="Y245">
        <f ca="1">IF($C245-Y$1&lt;År1,0,X244*(1-VLOOKUP($A245,[1]Hugst!$R$5:$W$9,MATCH(ROUNDUP((Y$1)/10,0)*10,[1]Hugst!$R$4:$W$4,0))))</f>
        <v>930.22225240721218</v>
      </c>
      <c r="Z245">
        <f ca="1">IF($C245-Z$1&lt;År1,0,Y244*(1-VLOOKUP($A245,[1]Hugst!$R$5:$W$9,MATCH(ROUNDUP((Z$1)/10,0)*10,[1]Hugst!$R$4:$W$4,0))))</f>
        <v>930.446151016459</v>
      </c>
      <c r="AA245">
        <f ca="1">IF($C245-AA$1&lt;År1,0,Z244*(1-VLOOKUP($A245,[1]Hugst!$R$5:$W$9,MATCH(ROUNDUP((AA$1)/10,0)*10,[1]Hugst!$R$4:$W$4,0))))</f>
        <v>930.67493748013976</v>
      </c>
      <c r="AB245">
        <f ca="1">IF($C245-AB$1&lt;År1,0,AA244*(1-VLOOKUP($A245,[1]Hugst!$R$5:$W$9,MATCH(ROUNDUP((AB$1)/10,0)*10,[1]Hugst!$R$4:$W$4,0))))</f>
        <v>930.90862544626805</v>
      </c>
      <c r="AC245">
        <f ca="1">IF($C245-AC$1&lt;År1,0,AB244*(1-VLOOKUP($A245,[1]Hugst!$R$5:$W$9,MATCH(ROUNDUP((AC$1)/10,0)*10,[1]Hugst!$R$4:$W$4,0))))</f>
        <v>931.14722862064514</v>
      </c>
      <c r="AD245">
        <f ca="1">IF($C245-AD$1&lt;År1,0,AC244*(1-VLOOKUP($A245,[1]Hugst!$R$5:$W$9,MATCH(ROUNDUP((AD$1)/10,0)*10,[1]Hugst!$R$4:$W$4,0))))</f>
        <v>931.39076076719971</v>
      </c>
      <c r="AE245">
        <f ca="1">IF($C245-AE$1&lt;År1,0,AD244*(1-VLOOKUP($A245,[1]Hugst!$R$5:$W$9,MATCH(ROUNDUP((AE$1)/10,0)*10,[1]Hugst!$R$4:$W$4,0))))</f>
        <v>931.63923570809754</v>
      </c>
      <c r="AF245">
        <f ca="1">IF($C245-AF$1&lt;År1,0,AE244*(1-VLOOKUP($A245,[1]Hugst!$R$5:$W$9,MATCH(ROUNDUP((AF$1)/10,0)*10,[1]Hugst!$R$4:$W$4,0))))</f>
        <v>931.89266732403405</v>
      </c>
      <c r="AG245">
        <f>IF($C245-AG$1&lt;År1,0,AF244*(1-VLOOKUP($A245,[1]Hugst!$R$5:$W$9,MATCH(ROUNDUP((AG$1)/10,0)*10,[1]Hugst!$R$4:$W$4,0))))</f>
        <v>0</v>
      </c>
      <c r="AH245">
        <f>IF($C245-AH$1&lt;År1,0,AG244*(1-VLOOKUP($A245,[1]Hugst!$R$5:$W$9,MATCH(ROUNDUP((AH$1)/10,0)*10,[1]Hugst!$R$4:$W$4,0))))</f>
        <v>0</v>
      </c>
      <c r="AI245">
        <f>IF($C245-AI$1&lt;År1,0,AH244*(1-VLOOKUP($A245,[1]Hugst!$R$5:$W$9,MATCH(ROUNDUP((AI$1)/10,0)*10,[1]Hugst!$R$4:$W$4,0))))</f>
        <v>0</v>
      </c>
      <c r="AJ245">
        <f>IF($C245-AJ$1&lt;År1,0,AI244*(1-VLOOKUP($A245,[1]Hugst!$R$5:$W$9,MATCH(ROUNDUP((AJ$1)/10,0)*10,[1]Hugst!$R$4:$W$4,0))))</f>
        <v>0</v>
      </c>
    </row>
    <row r="246" spans="1:36" x14ac:dyDescent="0.25">
      <c r="A246" t="s">
        <v>179</v>
      </c>
      <c r="B246" t="s">
        <v>24</v>
      </c>
      <c r="C246">
        <v>2047</v>
      </c>
      <c r="D246" cm="1">
        <f t="array" ref="D246">(IF(B246="Vestdanmark",Skovbrug!$C$22-(Skovbrug!$C$22)*(1-Skovbrug!$C$9)^(C246-Skovbrug!$B$12),Skovbrug!$F$22-(Skovbrug!$F$22)*(1-Skovbrug!$C$9)^(C246-Skovbrug!$B$12)))*VLOOKUP(A246,Skovbrug!$A$13:$D$17,IF('Skovbrug-alder'!C246&lt;=År2,3,4),FALSE)
-IF(C246&gt;2020,SUM(INDEX($C$1:$D$311,MATCH(1,(2020=$C$1:$C$311)*(B246=$B$1:$B$311)*(A246=$A$1:$A$311),0),2):D245),0)</f>
        <v>250.25872489284848</v>
      </c>
      <c r="E246">
        <f t="shared" ca="1" si="5"/>
        <v>25.120946355298656</v>
      </c>
      <c r="F246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646.21300458148062</v>
      </c>
      <c r="G246">
        <f ca="1">IF($C246-G$1&lt;År1,0,F245*(1-VLOOKUP($A246,[1]Hugst!$R$5:$W$9,MATCH(ROUNDUP((G$1)/10,0)*10,[1]Hugst!$R$4:$W$4,0))))</f>
        <v>646.99628458570851</v>
      </c>
      <c r="H246">
        <f ca="1">IF($C246-H$1&lt;År1,0,G245*(1-VLOOKUP($A246,[1]Hugst!$R$5:$W$9,MATCH(ROUNDUP((H$1)/10,0)*10,[1]Hugst!$R$4:$W$4,0))))</f>
        <v>647.78888570098252</v>
      </c>
      <c r="I246">
        <f ca="1">IF($C246-I$1&lt;År1,0,H245*(1-VLOOKUP($A246,[1]Hugst!$R$5:$W$9,MATCH(ROUNDUP((I$1)/10,0)*10,[1]Hugst!$R$4:$W$4,0))))</f>
        <v>648.59085800520052</v>
      </c>
      <c r="J246">
        <f ca="1">IF($C246-J$1&lt;År1,0,I245*(1-VLOOKUP($A246,[1]Hugst!$R$5:$W$9,MATCH(ROUNDUP((J$1)/10,0)*10,[1]Hugst!$R$4:$W$4,0))))</f>
        <v>649.40225181860978</v>
      </c>
      <c r="K246">
        <f ca="1">IF($C246-K$1&lt;År1,0,J245*(1-VLOOKUP($A246,[1]Hugst!$R$5:$W$9,MATCH(ROUNDUP((K$1)/10,0)*10,[1]Hugst!$R$4:$W$4,0))))</f>
        <v>650.2231177048684</v>
      </c>
      <c r="L246">
        <f ca="1">IF($C246-L$1&lt;År1,0,K245*(1-VLOOKUP($A246,[1]Hugst!$R$5:$W$9,MATCH(ROUNDUP((L$1)/10,0)*10,[1]Hugst!$R$4:$W$4,0))))</f>
        <v>651.05350647241403</v>
      </c>
      <c r="M246">
        <f ca="1">IF($C246-M$1&lt;År1,0,L245*(1-VLOOKUP($A246,[1]Hugst!$R$5:$W$9,MATCH(ROUNDUP((M$1)/10,0)*10,[1]Hugst!$R$4:$W$4,0))))</f>
        <v>651.89346917549801</v>
      </c>
      <c r="N246">
        <f ca="1">IF($C246-N$1&lt;År1,0,M245*(1-VLOOKUP($A246,[1]Hugst!$R$5:$W$9,MATCH(ROUNDUP((N$1)/10,0)*10,[1]Hugst!$R$4:$W$4,0))))</f>
        <v>652.07557194837727</v>
      </c>
      <c r="O246">
        <f ca="1">IF($C246-O$1&lt;År1,0,N245*(1-VLOOKUP($A246,[1]Hugst!$R$5:$W$9,MATCH(ROUNDUP((O$1)/10,0)*10,[1]Hugst!$R$4:$W$4,0))))</f>
        <v>651.34440210527418</v>
      </c>
      <c r="P246">
        <f ca="1">IF($C246-P$1&lt;År1,0,O245*(1-VLOOKUP($A246,[1]Hugst!$R$5:$W$9,MATCH(ROUNDUP((P$1)/10,0)*10,[1]Hugst!$R$4:$W$4,0))))</f>
        <v>649.18412080445614</v>
      </c>
      <c r="Q246">
        <f ca="1">IF($C246-Q$1&lt;År1,0,P245*(1-VLOOKUP($A246,[1]Hugst!$R$5:$W$9,MATCH(ROUNDUP((Q$1)/10,0)*10,[1]Hugst!$R$4:$W$4,0))))</f>
        <v>647.02925240744401</v>
      </c>
      <c r="R246">
        <f ca="1">IF($C246-R$1&lt;År1,0,Q245*(1-VLOOKUP($A246,[1]Hugst!$R$5:$W$9,MATCH(ROUNDUP((R$1)/10,0)*10,[1]Hugst!$R$4:$W$4,0))))</f>
        <v>644.87978692328011</v>
      </c>
      <c r="S246">
        <f ca="1">IF($C246-S$1&lt;År1,0,R245*(1-VLOOKUP($A246,[1]Hugst!$R$5:$W$9,MATCH(ROUNDUP((S$1)/10,0)*10,[1]Hugst!$R$4:$W$4,0))))</f>
        <v>642.73571438826286</v>
      </c>
      <c r="T246">
        <f ca="1">IF($C246-T$1&lt;År1,0,S245*(1-VLOOKUP($A246,[1]Hugst!$R$5:$W$9,MATCH(ROUNDUP((T$1)/10,0)*10,[1]Hugst!$R$4:$W$4,0))))</f>
        <v>640.59702486592948</v>
      </c>
      <c r="U246">
        <f ca="1">IF($C246-U$1&lt;År1,0,T245*(1-VLOOKUP($A246,[1]Hugst!$R$5:$W$9,MATCH(ROUNDUP((U$1)/10,0)*10,[1]Hugst!$R$4:$W$4,0))))</f>
        <v>638.46370844697969</v>
      </c>
      <c r="V246">
        <f ca="1">IF($C246-V$1&lt;År1,0,U245*(1-VLOOKUP($A246,[1]Hugst!$R$5:$W$9,MATCH(ROUNDUP((V$1)/10,0)*10,[1]Hugst!$R$4:$W$4,0))))</f>
        <v>636.33575524922651</v>
      </c>
      <c r="W246">
        <f ca="1">IF($C246-W$1&lt;År1,0,V245*(1-VLOOKUP($A246,[1]Hugst!$R$5:$W$9,MATCH(ROUNDUP((W$1)/10,0)*10,[1]Hugst!$R$4:$W$4,0))))</f>
        <v>932.33484331601733</v>
      </c>
      <c r="X246">
        <f ca="1">IF($C246-X$1&lt;År1,0,W245*(1-VLOOKUP($A246,[1]Hugst!$R$5:$W$9,MATCH(ROUNDUP((X$1)/10,0)*10,[1]Hugst!$R$4:$W$4,0))))</f>
        <v>929.56317356121838</v>
      </c>
      <c r="Y246">
        <f ca="1">IF($C246-Y$1&lt;År1,0,X245*(1-VLOOKUP($A246,[1]Hugst!$R$5:$W$9,MATCH(ROUNDUP((Y$1)/10,0)*10,[1]Hugst!$R$4:$W$4,0))))</f>
        <v>928.86907778399632</v>
      </c>
      <c r="Z246">
        <f ca="1">IF($C246-Z$1&lt;År1,0,Y245*(1-VLOOKUP($A246,[1]Hugst!$R$5:$W$9,MATCH(ROUNDUP((Z$1)/10,0)*10,[1]Hugst!$R$4:$W$4,0))))</f>
        <v>929.08783502622782</v>
      </c>
      <c r="AA246">
        <f ca="1">IF($C246-AA$1&lt;År1,0,Z245*(1-VLOOKUP($A246,[1]Hugst!$R$5:$W$9,MATCH(ROUNDUP((AA$1)/10,0)*10,[1]Hugst!$R$4:$W$4,0))))</f>
        <v>929.3114605883901</v>
      </c>
      <c r="AB246">
        <f ca="1">IF($C246-AB$1&lt;År1,0,AA245*(1-VLOOKUP($A246,[1]Hugst!$R$5:$W$9,MATCH(ROUNDUP((AB$1)/10,0)*10,[1]Hugst!$R$4:$W$4,0))))</f>
        <v>929.53996804418841</v>
      </c>
      <c r="AC246">
        <f ca="1">IF($C246-AC$1&lt;År1,0,AB245*(1-VLOOKUP($A246,[1]Hugst!$R$5:$W$9,MATCH(ROUNDUP((AC$1)/10,0)*10,[1]Hugst!$R$4:$W$4,0))))</f>
        <v>929.77337102499212</v>
      </c>
      <c r="AD246">
        <f ca="1">IF($C246-AD$1&lt;År1,0,AC245*(1-VLOOKUP($A246,[1]Hugst!$R$5:$W$9,MATCH(ROUNDUP((AD$1)/10,0)*10,[1]Hugst!$R$4:$W$4,0))))</f>
        <v>930.01168321988825</v>
      </c>
      <c r="AE246">
        <f ca="1">IF($C246-AE$1&lt;År1,0,AD245*(1-VLOOKUP($A246,[1]Hugst!$R$5:$W$9,MATCH(ROUNDUP((AE$1)/10,0)*10,[1]Hugst!$R$4:$W$4,0))))</f>
        <v>930.25491837602021</v>
      </c>
      <c r="AF246">
        <f ca="1">IF($C246-AF$1&lt;År1,0,AE245*(1-VLOOKUP($A246,[1]Hugst!$R$5:$W$9,MATCH(ROUNDUP((AF$1)/10,0)*10,[1]Hugst!$R$4:$W$4,0))))</f>
        <v>930.50309029869743</v>
      </c>
      <c r="AG246">
        <f ca="1">IF($C246-AG$1&lt;År1,0,AF245*(1-VLOOKUP($A246,[1]Hugst!$R$5:$W$9,MATCH(ROUNDUP((AG$1)/10,0)*10,[1]Hugst!$R$4:$W$4,0))))</f>
        <v>930.75621285168768</v>
      </c>
      <c r="AH246">
        <f>IF($C246-AH$1&lt;År1,0,AG245*(1-VLOOKUP($A246,[1]Hugst!$R$5:$W$9,MATCH(ROUNDUP((AH$1)/10,0)*10,[1]Hugst!$R$4:$W$4,0))))</f>
        <v>0</v>
      </c>
      <c r="AI246">
        <f>IF($C246-AI$1&lt;År1,0,AH245*(1-VLOOKUP($A246,[1]Hugst!$R$5:$W$9,MATCH(ROUNDUP((AI$1)/10,0)*10,[1]Hugst!$R$4:$W$4,0))))</f>
        <v>0</v>
      </c>
      <c r="AJ246">
        <f>IF($C246-AJ$1&lt;År1,0,AI245*(1-VLOOKUP($A246,[1]Hugst!$R$5:$W$9,MATCH(ROUNDUP((AJ$1)/10,0)*10,[1]Hugst!$R$4:$W$4,0))))</f>
        <v>0</v>
      </c>
    </row>
    <row r="247" spans="1:36" x14ac:dyDescent="0.25">
      <c r="A247" t="s">
        <v>179</v>
      </c>
      <c r="B247" t="s">
        <v>24</v>
      </c>
      <c r="C247">
        <v>2048</v>
      </c>
      <c r="D247" cm="1">
        <f t="array" ref="D247">(IF(B247="Vestdanmark",Skovbrug!$C$22-(Skovbrug!$C$22)*(1-Skovbrug!$C$9)^(C247-Skovbrug!$B$12),Skovbrug!$F$22-(Skovbrug!$F$22)*(1-Skovbrug!$C$9)^(C247-Skovbrug!$B$12)))*VLOOKUP(A247,Skovbrug!$A$13:$D$17,IF('Skovbrug-alder'!C247&lt;=År2,3,4),FALSE)
-IF(C247&gt;2020,SUM(INDEX($C$1:$D$311,MATCH(1,(2020=$C$1:$C$311)*(B247=$B$1:$B$311)*(A247=$A$1:$A$311),0),2):D246),0)</f>
        <v>249.00743126839006</v>
      </c>
      <c r="E247">
        <f t="shared" ca="1" si="5"/>
        <v>25.598231249929086</v>
      </c>
      <c r="F247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645.43899585165263</v>
      </c>
      <c r="G247">
        <f ca="1">IF($C247-G$1&lt;År1,0,F246*(1-VLOOKUP($A247,[1]Hugst!$R$5:$W$9,MATCH(ROUNDUP((G$1)/10,0)*10,[1]Hugst!$R$4:$W$4,0))))</f>
        <v>646.21300458148062</v>
      </c>
      <c r="H247">
        <f ca="1">IF($C247-H$1&lt;År1,0,G246*(1-VLOOKUP($A247,[1]Hugst!$R$5:$W$9,MATCH(ROUNDUP((H$1)/10,0)*10,[1]Hugst!$R$4:$W$4,0))))</f>
        <v>646.99628458570851</v>
      </c>
      <c r="I247">
        <f ca="1">IF($C247-I$1&lt;År1,0,H246*(1-VLOOKUP($A247,[1]Hugst!$R$5:$W$9,MATCH(ROUNDUP((I$1)/10,0)*10,[1]Hugst!$R$4:$W$4,0))))</f>
        <v>647.78888570098252</v>
      </c>
      <c r="J247">
        <f ca="1">IF($C247-J$1&lt;År1,0,I246*(1-VLOOKUP($A247,[1]Hugst!$R$5:$W$9,MATCH(ROUNDUP((J$1)/10,0)*10,[1]Hugst!$R$4:$W$4,0))))</f>
        <v>648.59085800520052</v>
      </c>
      <c r="K247">
        <f ca="1">IF($C247-K$1&lt;År1,0,J246*(1-VLOOKUP($A247,[1]Hugst!$R$5:$W$9,MATCH(ROUNDUP((K$1)/10,0)*10,[1]Hugst!$R$4:$W$4,0))))</f>
        <v>649.40225181860978</v>
      </c>
      <c r="L247">
        <f ca="1">IF($C247-L$1&lt;År1,0,K246*(1-VLOOKUP($A247,[1]Hugst!$R$5:$W$9,MATCH(ROUNDUP((L$1)/10,0)*10,[1]Hugst!$R$4:$W$4,0))))</f>
        <v>650.2231177048684</v>
      </c>
      <c r="M247">
        <f ca="1">IF($C247-M$1&lt;År1,0,L246*(1-VLOOKUP($A247,[1]Hugst!$R$5:$W$9,MATCH(ROUNDUP((M$1)/10,0)*10,[1]Hugst!$R$4:$W$4,0))))</f>
        <v>651.05350647241403</v>
      </c>
      <c r="N247">
        <f ca="1">IF($C247-N$1&lt;År1,0,M246*(1-VLOOKUP($A247,[1]Hugst!$R$5:$W$9,MATCH(ROUNDUP((N$1)/10,0)*10,[1]Hugst!$R$4:$W$4,0))))</f>
        <v>651.89346917549801</v>
      </c>
      <c r="O247">
        <f ca="1">IF($C247-O$1&lt;År1,0,N246*(1-VLOOKUP($A247,[1]Hugst!$R$5:$W$9,MATCH(ROUNDUP((O$1)/10,0)*10,[1]Hugst!$R$4:$W$4,0))))</f>
        <v>652.07557194837727</v>
      </c>
      <c r="P247">
        <f ca="1">IF($C247-P$1&lt;År1,0,O246*(1-VLOOKUP($A247,[1]Hugst!$R$5:$W$9,MATCH(ROUNDUP((P$1)/10,0)*10,[1]Hugst!$R$4:$W$4,0))))</f>
        <v>649.91462171040894</v>
      </c>
      <c r="Q247">
        <f ca="1">IF($C247-Q$1&lt;År1,0,P246*(1-VLOOKUP($A247,[1]Hugst!$R$5:$W$9,MATCH(ROUNDUP((Q$1)/10,0)*10,[1]Hugst!$R$4:$W$4,0))))</f>
        <v>647.75908249049519</v>
      </c>
      <c r="R247">
        <f ca="1">IF($C247-R$1&lt;År1,0,Q246*(1-VLOOKUP($A247,[1]Hugst!$R$5:$W$9,MATCH(ROUNDUP((R$1)/10,0)*10,[1]Hugst!$R$4:$W$4,0))))</f>
        <v>645.60894429240329</v>
      </c>
      <c r="S247">
        <f ca="1">IF($C247-S$1&lt;År1,0,R246*(1-VLOOKUP($A247,[1]Hugst!$R$5:$W$9,MATCH(ROUNDUP((S$1)/10,0)*10,[1]Hugst!$R$4:$W$4,0))))</f>
        <v>643.46419714710703</v>
      </c>
      <c r="T247">
        <f ca="1">IF($C247-T$1&lt;År1,0,S246*(1-VLOOKUP($A247,[1]Hugst!$R$5:$W$9,MATCH(ROUNDUP((T$1)/10,0)*10,[1]Hugst!$R$4:$W$4,0))))</f>
        <v>641.32483111277645</v>
      </c>
      <c r="U247">
        <f ca="1">IF($C247-U$1&lt;År1,0,T246*(1-VLOOKUP($A247,[1]Hugst!$R$5:$W$9,MATCH(ROUNDUP((U$1)/10,0)*10,[1]Hugst!$R$4:$W$4,0))))</f>
        <v>639.19083627476039</v>
      </c>
      <c r="V247">
        <f ca="1">IF($C247-V$1&lt;År1,0,U246*(1-VLOOKUP($A247,[1]Hugst!$R$5:$W$9,MATCH(ROUNDUP((V$1)/10,0)*10,[1]Hugst!$R$4:$W$4,0))))</f>
        <v>637.06220274551072</v>
      </c>
      <c r="W247">
        <f ca="1">IF($C247-W$1&lt;År1,0,V246*(1-VLOOKUP($A247,[1]Hugst!$R$5:$W$9,MATCH(ROUNDUP((W$1)/10,0)*10,[1]Hugst!$R$4:$W$4,0))))</f>
        <v>634.93892066453304</v>
      </c>
      <c r="X247">
        <f ca="1">IF($C247-X$1&lt;År1,0,W246*(1-VLOOKUP($A247,[1]Hugst!$R$5:$W$9,MATCH(ROUNDUP((X$1)/10,0)*10,[1]Hugst!$R$4:$W$4,0))))</f>
        <v>930.28825463556757</v>
      </c>
      <c r="Y247">
        <f ca="1">IF($C247-Y$1&lt;År1,0,X246*(1-VLOOKUP($A247,[1]Hugst!$R$5:$W$9,MATCH(ROUNDUP((Y$1)/10,0)*10,[1]Hugst!$R$4:$W$4,0))))</f>
        <v>927.52266903388886</v>
      </c>
      <c r="Z247">
        <f ca="1">IF($C247-Z$1&lt;År1,0,Y246*(1-VLOOKUP($A247,[1]Hugst!$R$5:$W$9,MATCH(ROUNDUP((Z$1)/10,0)*10,[1]Hugst!$R$4:$W$4,0))))</f>
        <v>927.736310615967</v>
      </c>
      <c r="AA247">
        <f ca="1">IF($C247-AA$1&lt;År1,0,Z246*(1-VLOOKUP($A247,[1]Hugst!$R$5:$W$9,MATCH(ROUNDUP((AA$1)/10,0)*10,[1]Hugst!$R$4:$W$4,0))))</f>
        <v>927.95480108107392</v>
      </c>
      <c r="AB247">
        <f ca="1">IF($C247-AB$1&lt;År1,0,AA246*(1-VLOOKUP($A247,[1]Hugst!$R$5:$W$9,MATCH(ROUNDUP((AB$1)/10,0)*10,[1]Hugst!$R$4:$W$4,0))))</f>
        <v>928.17815392913599</v>
      </c>
      <c r="AC247">
        <f ca="1">IF($C247-AC$1&lt;År1,0,AB246*(1-VLOOKUP($A247,[1]Hugst!$R$5:$W$9,MATCH(ROUNDUP((AC$1)/10,0)*10,[1]Hugst!$R$4:$W$4,0))))</f>
        <v>928.40638271730529</v>
      </c>
      <c r="AD247">
        <f ca="1">IF($C247-AD$1&lt;År1,0,AC246*(1-VLOOKUP($A247,[1]Hugst!$R$5:$W$9,MATCH(ROUNDUP((AD$1)/10,0)*10,[1]Hugst!$R$4:$W$4,0))))</f>
        <v>928.63950106032746</v>
      </c>
      <c r="AE247">
        <f ca="1">IF($C247-AE$1&lt;År1,0,AD246*(1-VLOOKUP($A247,[1]Hugst!$R$5:$W$9,MATCH(ROUNDUP((AE$1)/10,0)*10,[1]Hugst!$R$4:$W$4,0))))</f>
        <v>928.87752263059576</v>
      </c>
      <c r="AF247">
        <f ca="1">IF($C247-AF$1&lt;År1,0,AE246*(1-VLOOKUP($A247,[1]Hugst!$R$5:$W$9,MATCH(ROUNDUP((AF$1)/10,0)*10,[1]Hugst!$R$4:$W$4,0))))</f>
        <v>929.12046115848852</v>
      </c>
      <c r="AG247">
        <f ca="1">IF($C247-AG$1&lt;År1,0,AF246*(1-VLOOKUP($A247,[1]Hugst!$R$5:$W$9,MATCH(ROUNDUP((AG$1)/10,0)*10,[1]Hugst!$R$4:$W$4,0))))</f>
        <v>929.36833043247952</v>
      </c>
      <c r="AH247">
        <f ca="1">IF($C247-AH$1&lt;År1,0,AG246*(1-VLOOKUP($A247,[1]Hugst!$R$5:$W$9,MATCH(ROUNDUP((AH$1)/10,0)*10,[1]Hugst!$R$4:$W$4,0))))</f>
        <v>929.62114429942949</v>
      </c>
      <c r="AI247">
        <f>IF($C247-AI$1&lt;År1,0,AH246*(1-VLOOKUP($A247,[1]Hugst!$R$5:$W$9,MATCH(ROUNDUP((AI$1)/10,0)*10,[1]Hugst!$R$4:$W$4,0))))</f>
        <v>0</v>
      </c>
      <c r="AJ247">
        <f>IF($C247-AJ$1&lt;År1,0,AI246*(1-VLOOKUP($A247,[1]Hugst!$R$5:$W$9,MATCH(ROUNDUP((AJ$1)/10,0)*10,[1]Hugst!$R$4:$W$4,0))))</f>
        <v>0</v>
      </c>
    </row>
    <row r="248" spans="1:36" x14ac:dyDescent="0.25">
      <c r="A248" t="s">
        <v>179</v>
      </c>
      <c r="B248" t="s">
        <v>24</v>
      </c>
      <c r="C248">
        <v>2049</v>
      </c>
      <c r="D248" cm="1">
        <f t="array" ref="D248">(IF(B248="Vestdanmark",Skovbrug!$C$22-(Skovbrug!$C$22)*(1-Skovbrug!$C$9)^(C248-Skovbrug!$B$12),Skovbrug!$F$22-(Skovbrug!$F$22)*(1-Skovbrug!$C$9)^(C248-Skovbrug!$B$12)))*VLOOKUP(A248,Skovbrug!$A$13:$D$17,IF('Skovbrug-alder'!C248&lt;=År2,3,4),FALSE)
-IF(C248&gt;2020,SUM(INDEX($C$1:$D$311,MATCH(1,(2020=$C$1:$C$311)*(B248=$B$1:$B$311)*(A248=$A$1:$A$311),0),2):D247),0)</f>
        <v>247.76239411205734</v>
      </c>
      <c r="E248">
        <f t="shared" ca="1" si="5"/>
        <v>26.078481354139512</v>
      </c>
      <c r="F24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644.67420879953033</v>
      </c>
      <c r="G248">
        <f ca="1">IF($C248-G$1&lt;År1,0,F247*(1-VLOOKUP($A248,[1]Hugst!$R$5:$W$9,MATCH(ROUNDUP((G$1)/10,0)*10,[1]Hugst!$R$4:$W$4,0))))</f>
        <v>645.43899585165263</v>
      </c>
      <c r="H248">
        <f ca="1">IF($C248-H$1&lt;År1,0,G247*(1-VLOOKUP($A248,[1]Hugst!$R$5:$W$9,MATCH(ROUNDUP((H$1)/10,0)*10,[1]Hugst!$R$4:$W$4,0))))</f>
        <v>646.21300458148062</v>
      </c>
      <c r="I248">
        <f ca="1">IF($C248-I$1&lt;År1,0,H247*(1-VLOOKUP($A248,[1]Hugst!$R$5:$W$9,MATCH(ROUNDUP((I$1)/10,0)*10,[1]Hugst!$R$4:$W$4,0))))</f>
        <v>646.99628458570851</v>
      </c>
      <c r="J248">
        <f ca="1">IF($C248-J$1&lt;År1,0,I247*(1-VLOOKUP($A248,[1]Hugst!$R$5:$W$9,MATCH(ROUNDUP((J$1)/10,0)*10,[1]Hugst!$R$4:$W$4,0))))</f>
        <v>647.78888570098252</v>
      </c>
      <c r="K248">
        <f ca="1">IF($C248-K$1&lt;År1,0,J247*(1-VLOOKUP($A248,[1]Hugst!$R$5:$W$9,MATCH(ROUNDUP((K$1)/10,0)*10,[1]Hugst!$R$4:$W$4,0))))</f>
        <v>648.59085800520052</v>
      </c>
      <c r="L248">
        <f ca="1">IF($C248-L$1&lt;År1,0,K247*(1-VLOOKUP($A248,[1]Hugst!$R$5:$W$9,MATCH(ROUNDUP((L$1)/10,0)*10,[1]Hugst!$R$4:$W$4,0))))</f>
        <v>649.40225181860978</v>
      </c>
      <c r="M248">
        <f ca="1">IF($C248-M$1&lt;År1,0,L247*(1-VLOOKUP($A248,[1]Hugst!$R$5:$W$9,MATCH(ROUNDUP((M$1)/10,0)*10,[1]Hugst!$R$4:$W$4,0))))</f>
        <v>650.2231177048684</v>
      </c>
      <c r="N248">
        <f ca="1">IF($C248-N$1&lt;År1,0,M247*(1-VLOOKUP($A248,[1]Hugst!$R$5:$W$9,MATCH(ROUNDUP((N$1)/10,0)*10,[1]Hugst!$R$4:$W$4,0))))</f>
        <v>651.05350647241403</v>
      </c>
      <c r="O248">
        <f ca="1">IF($C248-O$1&lt;År1,0,N247*(1-VLOOKUP($A248,[1]Hugst!$R$5:$W$9,MATCH(ROUNDUP((O$1)/10,0)*10,[1]Hugst!$R$4:$W$4,0))))</f>
        <v>651.89346917549801</v>
      </c>
      <c r="P248">
        <f ca="1">IF($C248-P$1&lt;År1,0,O247*(1-VLOOKUP($A248,[1]Hugst!$R$5:$W$9,MATCH(ROUNDUP((P$1)/10,0)*10,[1]Hugst!$R$4:$W$4,0))))</f>
        <v>650.64418654653934</v>
      </c>
      <c r="Q248">
        <f ca="1">IF($C248-Q$1&lt;År1,0,P247*(1-VLOOKUP($A248,[1]Hugst!$R$5:$W$9,MATCH(ROUNDUP((Q$1)/10,0)*10,[1]Hugst!$R$4:$W$4,0))))</f>
        <v>648.48797985787394</v>
      </c>
      <c r="R248">
        <f ca="1">IF($C248-R$1&lt;År1,0,Q247*(1-VLOOKUP($A248,[1]Hugst!$R$5:$W$9,MATCH(ROUNDUP((R$1)/10,0)*10,[1]Hugst!$R$4:$W$4,0))))</f>
        <v>646.33717230941852</v>
      </c>
      <c r="S248">
        <f ca="1">IF($C248-S$1&lt;År1,0,R247*(1-VLOOKUP($A248,[1]Hugst!$R$5:$W$9,MATCH(ROUNDUP((S$1)/10,0)*10,[1]Hugst!$R$4:$W$4,0))))</f>
        <v>644.19175392688339</v>
      </c>
      <c r="T248">
        <f ca="1">IF($C248-T$1&lt;År1,0,S247*(1-VLOOKUP($A248,[1]Hugst!$R$5:$W$9,MATCH(ROUNDUP((T$1)/10,0)*10,[1]Hugst!$R$4:$W$4,0))))</f>
        <v>642.05171476312557</v>
      </c>
      <c r="U248">
        <f ca="1">IF($C248-U$1&lt;År1,0,T247*(1-VLOOKUP($A248,[1]Hugst!$R$5:$W$9,MATCH(ROUNDUP((U$1)/10,0)*10,[1]Hugst!$R$4:$W$4,0))))</f>
        <v>639.91704489813867</v>
      </c>
      <c r="V248">
        <f ca="1">IF($C248-V$1&lt;År1,0,U247*(1-VLOOKUP($A248,[1]Hugst!$R$5:$W$9,MATCH(ROUNDUP((V$1)/10,0)*10,[1]Hugst!$R$4:$W$4,0))))</f>
        <v>637.78773443903526</v>
      </c>
      <c r="W248">
        <f ca="1">IF($C248-W$1&lt;År1,0,V247*(1-VLOOKUP($A248,[1]Hugst!$R$5:$W$9,MATCH(ROUNDUP((W$1)/10,0)*10,[1]Hugst!$R$4:$W$4,0))))</f>
        <v>635.66377351997176</v>
      </c>
      <c r="X248">
        <f ca="1">IF($C248-X$1&lt;År1,0,W247*(1-VLOOKUP($A248,[1]Hugst!$R$5:$W$9,MATCH(ROUNDUP((X$1)/10,0)*10,[1]Hugst!$R$4:$W$4,0))))</f>
        <v>633.5451523020987</v>
      </c>
      <c r="Y248">
        <f ca="1">IF($C248-Y$1&lt;År1,0,X247*(1-VLOOKUP($A248,[1]Hugst!$R$5:$W$9,MATCH(ROUNDUP((Y$1)/10,0)*10,[1]Hugst!$R$4:$W$4,0))))</f>
        <v>928.24615846685538</v>
      </c>
      <c r="Z248">
        <f ca="1">IF($C248-Z$1&lt;År1,0,Y247*(1-VLOOKUP($A248,[1]Hugst!$R$5:$W$9,MATCH(ROUNDUP((Z$1)/10,0)*10,[1]Hugst!$R$4:$W$4,0))))</f>
        <v>926.39154382774996</v>
      </c>
      <c r="AA248">
        <f ca="1">IF($C248-AA$1&lt;År1,0,Z247*(1-VLOOKUP($A248,[1]Hugst!$R$5:$W$9,MATCH(ROUNDUP((AA$1)/10,0)*10,[1]Hugst!$R$4:$W$4,0))))</f>
        <v>926.60492487131341</v>
      </c>
      <c r="AB248">
        <f ca="1">IF($C248-AB$1&lt;År1,0,AA247*(1-VLOOKUP($A248,[1]Hugst!$R$5:$W$9,MATCH(ROUNDUP((AB$1)/10,0)*10,[1]Hugst!$R$4:$W$4,0))))</f>
        <v>926.82314888463361</v>
      </c>
      <c r="AC248">
        <f ca="1">IF($C248-AC$1&lt;År1,0,AB247*(1-VLOOKUP($A248,[1]Hugst!$R$5:$W$9,MATCH(ROUNDUP((AC$1)/10,0)*10,[1]Hugst!$R$4:$W$4,0))))</f>
        <v>927.04622935117368</v>
      </c>
      <c r="AD248">
        <f ca="1">IF($C248-AD$1&lt;År1,0,AC247*(1-VLOOKUP($A248,[1]Hugst!$R$5:$W$9,MATCH(ROUNDUP((AD$1)/10,0)*10,[1]Hugst!$R$4:$W$4,0))))</f>
        <v>927.27417981155247</v>
      </c>
      <c r="AE248">
        <f ca="1">IF($C248-AE$1&lt;År1,0,AD247*(1-VLOOKUP($A248,[1]Hugst!$R$5:$W$9,MATCH(ROUNDUP((AE$1)/10,0)*10,[1]Hugst!$R$4:$W$4,0))))</f>
        <v>927.50701386391245</v>
      </c>
      <c r="AF248">
        <f ca="1">IF($C248-AF$1&lt;År1,0,AE247*(1-VLOOKUP($A248,[1]Hugst!$R$5:$W$9,MATCH(ROUNDUP((AF$1)/10,0)*10,[1]Hugst!$R$4:$W$4,0))))</f>
        <v>927.74474516397311</v>
      </c>
      <c r="AG248">
        <f ca="1">IF($C248-AG$1&lt;År1,0,AF247*(1-VLOOKUP($A248,[1]Hugst!$R$5:$W$9,MATCH(ROUNDUP((AG$1)/10,0)*10,[1]Hugst!$R$4:$W$4,0))))</f>
        <v>927.98738742536841</v>
      </c>
      <c r="AH248">
        <f ca="1">IF($C248-AH$1&lt;År1,0,AG247*(1-VLOOKUP($A248,[1]Hugst!$R$5:$W$9,MATCH(ROUNDUP((AH$1)/10,0)*10,[1]Hugst!$R$4:$W$4,0))))</f>
        <v>928.23495441975695</v>
      </c>
      <c r="AI248">
        <f ca="1">IF($C248-AI$1&lt;År1,0,AH247*(1-VLOOKUP($A248,[1]Hugst!$R$5:$W$9,MATCH(ROUNDUP((AI$1)/10,0)*10,[1]Hugst!$R$4:$W$4,0))))</f>
        <v>928.48745997711308</v>
      </c>
      <c r="AJ248">
        <f>IF($C248-AJ$1&lt;År1,0,AI247*(1-VLOOKUP($A248,[1]Hugst!$R$5:$W$9,MATCH(ROUNDUP((AJ$1)/10,0)*10,[1]Hugst!$R$4:$W$4,0))))</f>
        <v>0</v>
      </c>
    </row>
    <row r="249" spans="1:36" x14ac:dyDescent="0.25">
      <c r="A249" t="s">
        <v>179</v>
      </c>
      <c r="B249" t="s">
        <v>24</v>
      </c>
      <c r="C249">
        <v>2050</v>
      </c>
      <c r="D249" cm="1">
        <f t="array" ref="D249">(IF(B249="Vestdanmark",Skovbrug!$C$22-(Skovbrug!$C$22)*(1-Skovbrug!$C$9)^(C249-Skovbrug!$B$12),Skovbrug!$F$22-(Skovbrug!$F$22)*(1-Skovbrug!$C$9)^(C249-Skovbrug!$B$12)))*VLOOKUP(A249,Skovbrug!$A$13:$D$17,IF('Skovbrug-alder'!C249&lt;=År2,3,4),FALSE)
-IF(C249&gt;2020,SUM(INDEX($C$1:$D$311,MATCH(1,(2020=$C$1:$C$311)*(B249=$B$1:$B$311)*(A249=$A$1:$A$311),0),2):D248),0)</f>
        <v>246.52358214149262</v>
      </c>
      <c r="E249">
        <f ca="1">IF(C249=2020,SUM(G249:AJ249),SUM(F248:AJ248)-SUM(G249:AJ249))</f>
        <v>26.048127263664355</v>
      </c>
      <c r="F249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643.40504273849047</v>
      </c>
      <c r="G249">
        <f ca="1">IF($C249-G$1&lt;År1,0,F248*(1-VLOOKUP($A249,[1]Hugst!$R$5:$W$9,MATCH(ROUNDUP((G$1)/10,0)*10,[1]Hugst!$R$4:$W$4,0))))</f>
        <v>644.67420879953033</v>
      </c>
      <c r="H249">
        <f ca="1">IF($C249-H$1&lt;År1,0,G248*(1-VLOOKUP($A249,[1]Hugst!$R$5:$W$9,MATCH(ROUNDUP((H$1)/10,0)*10,[1]Hugst!$R$4:$W$4,0))))</f>
        <v>645.43899585165263</v>
      </c>
      <c r="I249">
        <f ca="1">IF($C249-I$1&lt;År1,0,H248*(1-VLOOKUP($A249,[1]Hugst!$R$5:$W$9,MATCH(ROUNDUP((I$1)/10,0)*10,[1]Hugst!$R$4:$W$4,0))))</f>
        <v>646.21300458148062</v>
      </c>
      <c r="J249">
        <f ca="1">IF($C249-J$1&lt;År1,0,I248*(1-VLOOKUP($A249,[1]Hugst!$R$5:$W$9,MATCH(ROUNDUP((J$1)/10,0)*10,[1]Hugst!$R$4:$W$4,0))))</f>
        <v>646.99628458570851</v>
      </c>
      <c r="K249">
        <f ca="1">IF($C249-K$1&lt;År1,0,J248*(1-VLOOKUP($A249,[1]Hugst!$R$5:$W$9,MATCH(ROUNDUP((K$1)/10,0)*10,[1]Hugst!$R$4:$W$4,0))))</f>
        <v>647.78888570098252</v>
      </c>
      <c r="L249">
        <f ca="1">IF($C249-L$1&lt;År1,0,K248*(1-VLOOKUP($A249,[1]Hugst!$R$5:$W$9,MATCH(ROUNDUP((L$1)/10,0)*10,[1]Hugst!$R$4:$W$4,0))))</f>
        <v>648.59085800520052</v>
      </c>
      <c r="M249">
        <f ca="1">IF($C249-M$1&lt;År1,0,L248*(1-VLOOKUP($A249,[1]Hugst!$R$5:$W$9,MATCH(ROUNDUP((M$1)/10,0)*10,[1]Hugst!$R$4:$W$4,0))))</f>
        <v>649.40225181860978</v>
      </c>
      <c r="N249">
        <f ca="1">IF($C249-N$1&lt;År1,0,M248*(1-VLOOKUP($A249,[1]Hugst!$R$5:$W$9,MATCH(ROUNDUP((N$1)/10,0)*10,[1]Hugst!$R$4:$W$4,0))))</f>
        <v>650.2231177048684</v>
      </c>
      <c r="O249">
        <f ca="1">IF($C249-O$1&lt;År1,0,N248*(1-VLOOKUP($A249,[1]Hugst!$R$5:$W$9,MATCH(ROUNDUP((O$1)/10,0)*10,[1]Hugst!$R$4:$W$4,0))))</f>
        <v>651.05350647241403</v>
      </c>
      <c r="P249">
        <f ca="1">IF($C249-P$1&lt;År1,0,O248*(1-VLOOKUP($A249,[1]Hugst!$R$5:$W$9,MATCH(ROUNDUP((P$1)/10,0)*10,[1]Hugst!$R$4:$W$4,0))))</f>
        <v>650.46248351145425</v>
      </c>
      <c r="Q249">
        <f ca="1">IF($C249-Q$1&lt;År1,0,P248*(1-VLOOKUP($A249,[1]Hugst!$R$5:$W$9,MATCH(ROUNDUP((Q$1)/10,0)*10,[1]Hugst!$R$4:$W$4,0))))</f>
        <v>649.21594321021769</v>
      </c>
      <c r="R249">
        <f ca="1">IF($C249-R$1&lt;År1,0,Q248*(1-VLOOKUP($A249,[1]Hugst!$R$5:$W$9,MATCH(ROUNDUP((R$1)/10,0)*10,[1]Hugst!$R$4:$W$4,0))))</f>
        <v>647.06446965818589</v>
      </c>
      <c r="S249">
        <f ca="1">IF($C249-S$1&lt;År1,0,R248*(1-VLOOKUP($A249,[1]Hugst!$R$5:$W$9,MATCH(ROUNDUP((S$1)/10,0)*10,[1]Hugst!$R$4:$W$4,0))))</f>
        <v>644.91838339459298</v>
      </c>
      <c r="T249">
        <f ca="1">IF($C249-T$1&lt;År1,0,S248*(1-VLOOKUP($A249,[1]Hugst!$R$5:$W$9,MATCH(ROUNDUP((T$1)/10,0)*10,[1]Hugst!$R$4:$W$4,0))))</f>
        <v>642.77767446704388</v>
      </c>
      <c r="U249">
        <f ca="1">IF($C249-U$1&lt;År1,0,T248*(1-VLOOKUP($A249,[1]Hugst!$R$5:$W$9,MATCH(ROUNDUP((U$1)/10,0)*10,[1]Hugst!$R$4:$W$4,0))))</f>
        <v>640.64233295023087</v>
      </c>
      <c r="V249">
        <f ca="1">IF($C249-V$1&lt;År1,0,U248*(1-VLOOKUP($A249,[1]Hugst!$R$5:$W$9,MATCH(ROUNDUP((V$1)/10,0)*10,[1]Hugst!$R$4:$W$4,0))))</f>
        <v>638.51234894592324</v>
      </c>
      <c r="W249">
        <f ca="1">IF($C249-W$1&lt;År1,0,V248*(1-VLOOKUP($A249,[1]Hugst!$R$5:$W$9,MATCH(ROUNDUP((W$1)/10,0)*10,[1]Hugst!$R$4:$W$4,0))))</f>
        <v>636.38771258294958</v>
      </c>
      <c r="X249">
        <f ca="1">IF($C249-X$1&lt;År1,0,W248*(1-VLOOKUP($A249,[1]Hugst!$R$5:$W$9,MATCH(ROUNDUP((X$1)/10,0)*10,[1]Hugst!$R$4:$W$4,0))))</f>
        <v>634.26841401712306</v>
      </c>
      <c r="Y249">
        <f ca="1">IF($C249-Y$1&lt;År1,0,X248*(1-VLOOKUP($A249,[1]Hugst!$R$5:$W$9,MATCH(ROUNDUP((Y$1)/10,0)*10,[1]Hugst!$R$4:$W$4,0))))</f>
        <v>632.15444343119168</v>
      </c>
      <c r="Z249">
        <f ca="1">IF($C249-Z$1&lt;År1,0,Y248*(1-VLOOKUP($A249,[1]Hugst!$R$5:$W$9,MATCH(ROUNDUP((Z$1)/10,0)*10,[1]Hugst!$R$4:$W$4,0))))</f>
        <v>927.1141509565299</v>
      </c>
      <c r="AA249">
        <f ca="1">IF($C249-AA$1&lt;År1,0,Z248*(1-VLOOKUP($A249,[1]Hugst!$R$5:$W$9,MATCH(ROUNDUP((AA$1)/10,0)*10,[1]Hugst!$R$4:$W$4,0))))</f>
        <v>925.26179804259414</v>
      </c>
      <c r="AB249">
        <f ca="1">IF($C249-AB$1&lt;År1,0,AA248*(1-VLOOKUP($A249,[1]Hugst!$R$5:$W$9,MATCH(ROUNDUP((AB$1)/10,0)*10,[1]Hugst!$R$4:$W$4,0))))</f>
        <v>925.47491886537284</v>
      </c>
      <c r="AC249">
        <f ca="1">IF($C249-AC$1&lt;År1,0,AB248*(1-VLOOKUP($A249,[1]Hugst!$R$5:$W$9,MATCH(ROUNDUP((AC$1)/10,0)*10,[1]Hugst!$R$4:$W$4,0))))</f>
        <v>925.69287675184751</v>
      </c>
      <c r="AD249">
        <f ca="1">IF($C249-AD$1&lt;År1,0,AC248*(1-VLOOKUP($A249,[1]Hugst!$R$5:$W$9,MATCH(ROUNDUP((AD$1)/10,0)*10,[1]Hugst!$R$4:$W$4,0))))</f>
        <v>925.91568516903806</v>
      </c>
      <c r="AE249">
        <f ca="1">IF($C249-AE$1&lt;År1,0,AD248*(1-VLOOKUP($A249,[1]Hugst!$R$5:$W$9,MATCH(ROUNDUP((AE$1)/10,0)*10,[1]Hugst!$R$4:$W$4,0))))</f>
        <v>926.14335764105056</v>
      </c>
      <c r="AF249">
        <f ca="1">IF($C249-AF$1&lt;År1,0,AE248*(1-VLOOKUP($A249,[1]Hugst!$R$5:$W$9,MATCH(ROUNDUP((AF$1)/10,0)*10,[1]Hugst!$R$4:$W$4,0))))</f>
        <v>926.37590774944431</v>
      </c>
      <c r="AG249">
        <f ca="1">IF($C249-AG$1&lt;År1,0,AF248*(1-VLOOKUP($A249,[1]Hugst!$R$5:$W$9,MATCH(ROUNDUP((AG$1)/10,0)*10,[1]Hugst!$R$4:$W$4,0))))</f>
        <v>926.61334913328528</v>
      </c>
      <c r="AH249">
        <f ca="1">IF($C249-AH$1&lt;År1,0,AG248*(1-VLOOKUP($A249,[1]Hugst!$R$5:$W$9,MATCH(ROUNDUP((AH$1)/10,0)*10,[1]Hugst!$R$4:$W$4,0))))</f>
        <v>926.85569548948376</v>
      </c>
      <c r="AI249">
        <f ca="1">IF($C249-AI$1&lt;År1,0,AH248*(1-VLOOKUP($A249,[1]Hugst!$R$5:$W$9,MATCH(ROUNDUP((AI$1)/10,0)*10,[1]Hugst!$R$4:$W$4,0))))</f>
        <v>927.10296057290361</v>
      </c>
      <c r="AJ249">
        <f ca="1">IF($C249-AJ$1&lt;År1,0,AI248*(1-VLOOKUP($A249,[1]Hugst!$R$5:$W$9,MATCH(ROUNDUP((AJ$1)/10,0)*10,[1]Hugst!$R$4:$W$4,0))))</f>
        <v>927.86469399786017</v>
      </c>
    </row>
    <row r="250" spans="1:36" x14ac:dyDescent="0.25">
      <c r="A250" t="s">
        <v>180</v>
      </c>
      <c r="B250" t="s">
        <v>23</v>
      </c>
      <c r="C250">
        <v>2020</v>
      </c>
      <c r="D250" cm="1">
        <f t="array" ref="D250">(IF(B250="Vestdanmark",Skovbrug!$C$22-(Skovbrug!$C$22)*(1-Skovbrug!$C$9)^(C250-Skovbrug!$B$12),Skovbrug!$F$22-(Skovbrug!$F$22)*(1-Skovbrug!$C$9)^(C250-Skovbrug!$B$12)))*VLOOKUP(A250,Skovbrug!$A$13:$D$17,IF('Skovbrug-alder'!C250&lt;=År2,3,4),FALSE)
-IF(C250&gt;2020,SUM(INDEX($C$1:$D$311,MATCH(1,(2020=$C$1:$C$311)*(B250=$B$1:$B$311)*(A250=$A$1:$A$311),0),2):D249),0)</f>
        <v>0</v>
      </c>
      <c r="E250">
        <f>IF(C250=2020,SUM(G250:AJ250),SUM(F249:AJ249)-SUM(G250:AJ250))</f>
        <v>0</v>
      </c>
      <c r="F250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>
        <f>IF($C250-G$1&lt;År1,0,F249*(1-VLOOKUP($A250,[1]Hugst!$R$5:$W$9,MATCH(ROUNDUP((G$1)/10,0)*10,[1]Hugst!$R$4:$W$4,0))))</f>
        <v>0</v>
      </c>
      <c r="H250">
        <f>IF($C250-H$1&lt;År1,0,G249*(1-VLOOKUP($A250,[1]Hugst!$R$5:$W$9,MATCH(ROUNDUP((H$1)/10,0)*10,[1]Hugst!$R$4:$W$4,0))))</f>
        <v>0</v>
      </c>
      <c r="I250">
        <f>IF($C250-I$1&lt;År1,0,H249*(1-VLOOKUP($A250,[1]Hugst!$R$5:$W$9,MATCH(ROUNDUP((I$1)/10,0)*10,[1]Hugst!$R$4:$W$4,0))))</f>
        <v>0</v>
      </c>
      <c r="J250">
        <f>IF($C250-J$1&lt;År1,0,I249*(1-VLOOKUP($A250,[1]Hugst!$R$5:$W$9,MATCH(ROUNDUP((J$1)/10,0)*10,[1]Hugst!$R$4:$W$4,0))))</f>
        <v>0</v>
      </c>
      <c r="K250">
        <f>IF($C250-K$1&lt;År1,0,J249*(1-VLOOKUP($A250,[1]Hugst!$R$5:$W$9,MATCH(ROUNDUP((K$1)/10,0)*10,[1]Hugst!$R$4:$W$4,0))))</f>
        <v>0</v>
      </c>
      <c r="L250">
        <f>IF($C250-L$1&lt;År1,0,K249*(1-VLOOKUP($A250,[1]Hugst!$R$5:$W$9,MATCH(ROUNDUP((L$1)/10,0)*10,[1]Hugst!$R$4:$W$4,0))))</f>
        <v>0</v>
      </c>
      <c r="M250">
        <f>IF($C250-M$1&lt;År1,0,L249*(1-VLOOKUP($A250,[1]Hugst!$R$5:$W$9,MATCH(ROUNDUP((M$1)/10,0)*10,[1]Hugst!$R$4:$W$4,0))))</f>
        <v>0</v>
      </c>
      <c r="N250">
        <f>IF($C250-N$1&lt;År1,0,M249*(1-VLOOKUP($A250,[1]Hugst!$R$5:$W$9,MATCH(ROUNDUP((N$1)/10,0)*10,[1]Hugst!$R$4:$W$4,0))))</f>
        <v>0</v>
      </c>
      <c r="O250">
        <f>IF($C250-O$1&lt;År1,0,N249*(1-VLOOKUP($A250,[1]Hugst!$R$5:$W$9,MATCH(ROUNDUP((O$1)/10,0)*10,[1]Hugst!$R$4:$W$4,0))))</f>
        <v>0</v>
      </c>
      <c r="P250">
        <f>IF($C250-P$1&lt;År1,0,O249*(1-VLOOKUP($A250,[1]Hugst!$R$5:$W$9,MATCH(ROUNDUP((P$1)/10,0)*10,[1]Hugst!$R$4:$W$4,0))))</f>
        <v>0</v>
      </c>
      <c r="Q250">
        <f>IF($C250-Q$1&lt;År1,0,P249*(1-VLOOKUP($A250,[1]Hugst!$R$5:$W$9,MATCH(ROUNDUP((Q$1)/10,0)*10,[1]Hugst!$R$4:$W$4,0))))</f>
        <v>0</v>
      </c>
      <c r="R250">
        <f>IF($C250-R$1&lt;År1,0,Q249*(1-VLOOKUP($A250,[1]Hugst!$R$5:$W$9,MATCH(ROUNDUP((R$1)/10,0)*10,[1]Hugst!$R$4:$W$4,0))))</f>
        <v>0</v>
      </c>
      <c r="S250">
        <f>IF($C250-S$1&lt;År1,0,R249*(1-VLOOKUP($A250,[1]Hugst!$R$5:$W$9,MATCH(ROUNDUP((S$1)/10,0)*10,[1]Hugst!$R$4:$W$4,0))))</f>
        <v>0</v>
      </c>
      <c r="T250">
        <f>IF($C250-T$1&lt;År1,0,S249*(1-VLOOKUP($A250,[1]Hugst!$R$5:$W$9,MATCH(ROUNDUP((T$1)/10,0)*10,[1]Hugst!$R$4:$W$4,0))))</f>
        <v>0</v>
      </c>
      <c r="U250">
        <f>IF($C250-U$1&lt;År1,0,T249*(1-VLOOKUP($A250,[1]Hugst!$R$5:$W$9,MATCH(ROUNDUP((U$1)/10,0)*10,[1]Hugst!$R$4:$W$4,0))))</f>
        <v>0</v>
      </c>
      <c r="V250">
        <f>IF($C250-V$1&lt;År1,0,U249*(1-VLOOKUP($A250,[1]Hugst!$R$5:$W$9,MATCH(ROUNDUP((V$1)/10,0)*10,[1]Hugst!$R$4:$W$4,0))))</f>
        <v>0</v>
      </c>
      <c r="W250">
        <f>IF($C250-W$1&lt;År1,0,V249*(1-VLOOKUP($A250,[1]Hugst!$R$5:$W$9,MATCH(ROUNDUP((W$1)/10,0)*10,[1]Hugst!$R$4:$W$4,0))))</f>
        <v>0</v>
      </c>
      <c r="X250">
        <f>IF($C250-X$1&lt;År1,0,W249*(1-VLOOKUP($A250,[1]Hugst!$R$5:$W$9,MATCH(ROUNDUP((X$1)/10,0)*10,[1]Hugst!$R$4:$W$4,0))))</f>
        <v>0</v>
      </c>
      <c r="Y250">
        <f>IF($C250-Y$1&lt;År1,0,X249*(1-VLOOKUP($A250,[1]Hugst!$R$5:$W$9,MATCH(ROUNDUP((Y$1)/10,0)*10,[1]Hugst!$R$4:$W$4,0))))</f>
        <v>0</v>
      </c>
      <c r="Z250">
        <f>IF($C250-Z$1&lt;År1,0,Y249*(1-VLOOKUP($A250,[1]Hugst!$R$5:$W$9,MATCH(ROUNDUP((Z$1)/10,0)*10,[1]Hugst!$R$4:$W$4,0))))</f>
        <v>0</v>
      </c>
      <c r="AA250">
        <f>IF($C250-AA$1&lt;År1,0,Z249*(1-VLOOKUP($A250,[1]Hugst!$R$5:$W$9,MATCH(ROUNDUP((AA$1)/10,0)*10,[1]Hugst!$R$4:$W$4,0))))</f>
        <v>0</v>
      </c>
      <c r="AB250">
        <f>IF($C250-AB$1&lt;År1,0,AA249*(1-VLOOKUP($A250,[1]Hugst!$R$5:$W$9,MATCH(ROUNDUP((AB$1)/10,0)*10,[1]Hugst!$R$4:$W$4,0))))</f>
        <v>0</v>
      </c>
      <c r="AC250">
        <f>IF($C250-AC$1&lt;År1,0,AB249*(1-VLOOKUP($A250,[1]Hugst!$R$5:$W$9,MATCH(ROUNDUP((AC$1)/10,0)*10,[1]Hugst!$R$4:$W$4,0))))</f>
        <v>0</v>
      </c>
      <c r="AD250">
        <f>IF($C250-AD$1&lt;År1,0,AC249*(1-VLOOKUP($A250,[1]Hugst!$R$5:$W$9,MATCH(ROUNDUP((AD$1)/10,0)*10,[1]Hugst!$R$4:$W$4,0))))</f>
        <v>0</v>
      </c>
      <c r="AE250">
        <f>IF($C250-AE$1&lt;År1,0,AD249*(1-VLOOKUP($A250,[1]Hugst!$R$5:$W$9,MATCH(ROUNDUP((AE$1)/10,0)*10,[1]Hugst!$R$4:$W$4,0))))</f>
        <v>0</v>
      </c>
      <c r="AF250">
        <f>IF($C250-AF$1&lt;År1,0,AE249*(1-VLOOKUP($A250,[1]Hugst!$R$5:$W$9,MATCH(ROUNDUP((AF$1)/10,0)*10,[1]Hugst!$R$4:$W$4,0))))</f>
        <v>0</v>
      </c>
      <c r="AG250">
        <f>IF($C250-AG$1&lt;År1,0,AF249*(1-VLOOKUP($A250,[1]Hugst!$R$5:$W$9,MATCH(ROUNDUP((AG$1)/10,0)*10,[1]Hugst!$R$4:$W$4,0))))</f>
        <v>0</v>
      </c>
      <c r="AH250">
        <f>IF($C250-AH$1&lt;År1,0,AG249*(1-VLOOKUP($A250,[1]Hugst!$R$5:$W$9,MATCH(ROUNDUP((AH$1)/10,0)*10,[1]Hugst!$R$4:$W$4,0))))</f>
        <v>0</v>
      </c>
      <c r="AI250">
        <f>IF($C250-AI$1&lt;År1,0,AH249*(1-VLOOKUP($A250,[1]Hugst!$R$5:$W$9,MATCH(ROUNDUP((AI$1)/10,0)*10,[1]Hugst!$R$4:$W$4,0))))</f>
        <v>0</v>
      </c>
      <c r="AJ250">
        <f>IF($C250-AJ$1&lt;År1,0,AI249*(1-VLOOKUP($A250,[1]Hugst!$R$5:$W$9,MATCH(ROUNDUP((AJ$1)/10,0)*10,[1]Hugst!$R$4:$W$4,0))))</f>
        <v>0</v>
      </c>
    </row>
    <row r="251" spans="1:36" x14ac:dyDescent="0.25">
      <c r="A251" t="s">
        <v>180</v>
      </c>
      <c r="B251" t="s">
        <v>23</v>
      </c>
      <c r="C251">
        <v>2021</v>
      </c>
      <c r="D251" cm="1">
        <f t="array" ref="D251">(IF(B251="Vestdanmark",Skovbrug!$C$22-(Skovbrug!$C$22)*(1-Skovbrug!$C$9)^(C251-Skovbrug!$B$12),Skovbrug!$F$22-(Skovbrug!$F$22)*(1-Skovbrug!$C$9)^(C251-Skovbrug!$B$12)))*VLOOKUP(A251,Skovbrug!$A$13:$D$17,IF('Skovbrug-alder'!C251&lt;=År2,3,4),FALSE)
-IF(C251&gt;2020,SUM(INDEX($C$1:$D$311,MATCH(1,(2020=$C$1:$C$311)*(B251=$B$1:$B$311)*(A251=$A$1:$A$311),0),2):D250),0)</f>
        <v>0</v>
      </c>
      <c r="E251">
        <f t="shared" ref="E251:E280" ca="1" si="6">IF(C251=2020,SUM(G251:AJ251),SUM(F250:AJ250)-SUM(G251:AJ251))</f>
        <v>0</v>
      </c>
      <c r="F251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>
        <f ca="1">IF($C251-G$1&lt;År1,0,F250*(1-VLOOKUP($A251,[1]Hugst!$R$5:$W$9,MATCH(ROUNDUP((G$1)/10,0)*10,[1]Hugst!$R$4:$W$4,0))))</f>
        <v>0</v>
      </c>
      <c r="H251">
        <f>IF($C251-H$1&lt;År1,0,G250*(1-VLOOKUP($A251,[1]Hugst!$R$5:$W$9,MATCH(ROUNDUP((H$1)/10,0)*10,[1]Hugst!$R$4:$W$4,0))))</f>
        <v>0</v>
      </c>
      <c r="I251">
        <f>IF($C251-I$1&lt;År1,0,H250*(1-VLOOKUP($A251,[1]Hugst!$R$5:$W$9,MATCH(ROUNDUP((I$1)/10,0)*10,[1]Hugst!$R$4:$W$4,0))))</f>
        <v>0</v>
      </c>
      <c r="J251">
        <f>IF($C251-J$1&lt;År1,0,I250*(1-VLOOKUP($A251,[1]Hugst!$R$5:$W$9,MATCH(ROUNDUP((J$1)/10,0)*10,[1]Hugst!$R$4:$W$4,0))))</f>
        <v>0</v>
      </c>
      <c r="K251">
        <f>IF($C251-K$1&lt;År1,0,J250*(1-VLOOKUP($A251,[1]Hugst!$R$5:$W$9,MATCH(ROUNDUP((K$1)/10,0)*10,[1]Hugst!$R$4:$W$4,0))))</f>
        <v>0</v>
      </c>
      <c r="L251">
        <f>IF($C251-L$1&lt;År1,0,K250*(1-VLOOKUP($A251,[1]Hugst!$R$5:$W$9,MATCH(ROUNDUP((L$1)/10,0)*10,[1]Hugst!$R$4:$W$4,0))))</f>
        <v>0</v>
      </c>
      <c r="M251">
        <f>IF($C251-M$1&lt;År1,0,L250*(1-VLOOKUP($A251,[1]Hugst!$R$5:$W$9,MATCH(ROUNDUP((M$1)/10,0)*10,[1]Hugst!$R$4:$W$4,0))))</f>
        <v>0</v>
      </c>
      <c r="N251">
        <f>IF($C251-N$1&lt;År1,0,M250*(1-VLOOKUP($A251,[1]Hugst!$R$5:$W$9,MATCH(ROUNDUP((N$1)/10,0)*10,[1]Hugst!$R$4:$W$4,0))))</f>
        <v>0</v>
      </c>
      <c r="O251">
        <f>IF($C251-O$1&lt;År1,0,N250*(1-VLOOKUP($A251,[1]Hugst!$R$5:$W$9,MATCH(ROUNDUP((O$1)/10,0)*10,[1]Hugst!$R$4:$W$4,0))))</f>
        <v>0</v>
      </c>
      <c r="P251">
        <f>IF($C251-P$1&lt;År1,0,O250*(1-VLOOKUP($A251,[1]Hugst!$R$5:$W$9,MATCH(ROUNDUP((P$1)/10,0)*10,[1]Hugst!$R$4:$W$4,0))))</f>
        <v>0</v>
      </c>
      <c r="Q251">
        <f>IF($C251-Q$1&lt;År1,0,P250*(1-VLOOKUP($A251,[1]Hugst!$R$5:$W$9,MATCH(ROUNDUP((Q$1)/10,0)*10,[1]Hugst!$R$4:$W$4,0))))</f>
        <v>0</v>
      </c>
      <c r="R251">
        <f>IF($C251-R$1&lt;År1,0,Q250*(1-VLOOKUP($A251,[1]Hugst!$R$5:$W$9,MATCH(ROUNDUP((R$1)/10,0)*10,[1]Hugst!$R$4:$W$4,0))))</f>
        <v>0</v>
      </c>
      <c r="S251">
        <f>IF($C251-S$1&lt;År1,0,R250*(1-VLOOKUP($A251,[1]Hugst!$R$5:$W$9,MATCH(ROUNDUP((S$1)/10,0)*10,[1]Hugst!$R$4:$W$4,0))))</f>
        <v>0</v>
      </c>
      <c r="T251">
        <f>IF($C251-T$1&lt;År1,0,S250*(1-VLOOKUP($A251,[1]Hugst!$R$5:$W$9,MATCH(ROUNDUP((T$1)/10,0)*10,[1]Hugst!$R$4:$W$4,0))))</f>
        <v>0</v>
      </c>
      <c r="U251">
        <f>IF($C251-U$1&lt;År1,0,T250*(1-VLOOKUP($A251,[1]Hugst!$R$5:$W$9,MATCH(ROUNDUP((U$1)/10,0)*10,[1]Hugst!$R$4:$W$4,0))))</f>
        <v>0</v>
      </c>
      <c r="V251">
        <f>IF($C251-V$1&lt;År1,0,U250*(1-VLOOKUP($A251,[1]Hugst!$R$5:$W$9,MATCH(ROUNDUP((V$1)/10,0)*10,[1]Hugst!$R$4:$W$4,0))))</f>
        <v>0</v>
      </c>
      <c r="W251">
        <f>IF($C251-W$1&lt;År1,0,V250*(1-VLOOKUP($A251,[1]Hugst!$R$5:$W$9,MATCH(ROUNDUP((W$1)/10,0)*10,[1]Hugst!$R$4:$W$4,0))))</f>
        <v>0</v>
      </c>
      <c r="X251">
        <f>IF($C251-X$1&lt;År1,0,W250*(1-VLOOKUP($A251,[1]Hugst!$R$5:$W$9,MATCH(ROUNDUP((X$1)/10,0)*10,[1]Hugst!$R$4:$W$4,0))))</f>
        <v>0</v>
      </c>
      <c r="Y251">
        <f>IF($C251-Y$1&lt;År1,0,X250*(1-VLOOKUP($A251,[1]Hugst!$R$5:$W$9,MATCH(ROUNDUP((Y$1)/10,0)*10,[1]Hugst!$R$4:$W$4,0))))</f>
        <v>0</v>
      </c>
      <c r="Z251">
        <f>IF($C251-Z$1&lt;År1,0,Y250*(1-VLOOKUP($A251,[1]Hugst!$R$5:$W$9,MATCH(ROUNDUP((Z$1)/10,0)*10,[1]Hugst!$R$4:$W$4,0))))</f>
        <v>0</v>
      </c>
      <c r="AA251">
        <f>IF($C251-AA$1&lt;År1,0,Z250*(1-VLOOKUP($A251,[1]Hugst!$R$5:$W$9,MATCH(ROUNDUP((AA$1)/10,0)*10,[1]Hugst!$R$4:$W$4,0))))</f>
        <v>0</v>
      </c>
      <c r="AB251">
        <f>IF($C251-AB$1&lt;År1,0,AA250*(1-VLOOKUP($A251,[1]Hugst!$R$5:$W$9,MATCH(ROUNDUP((AB$1)/10,0)*10,[1]Hugst!$R$4:$W$4,0))))</f>
        <v>0</v>
      </c>
      <c r="AC251">
        <f>IF($C251-AC$1&lt;År1,0,AB250*(1-VLOOKUP($A251,[1]Hugst!$R$5:$W$9,MATCH(ROUNDUP((AC$1)/10,0)*10,[1]Hugst!$R$4:$W$4,0))))</f>
        <v>0</v>
      </c>
      <c r="AD251">
        <f>IF($C251-AD$1&lt;År1,0,AC250*(1-VLOOKUP($A251,[1]Hugst!$R$5:$W$9,MATCH(ROUNDUP((AD$1)/10,0)*10,[1]Hugst!$R$4:$W$4,0))))</f>
        <v>0</v>
      </c>
      <c r="AE251">
        <f>IF($C251-AE$1&lt;År1,0,AD250*(1-VLOOKUP($A251,[1]Hugst!$R$5:$W$9,MATCH(ROUNDUP((AE$1)/10,0)*10,[1]Hugst!$R$4:$W$4,0))))</f>
        <v>0</v>
      </c>
      <c r="AF251">
        <f>IF($C251-AF$1&lt;År1,0,AE250*(1-VLOOKUP($A251,[1]Hugst!$R$5:$W$9,MATCH(ROUNDUP((AF$1)/10,0)*10,[1]Hugst!$R$4:$W$4,0))))</f>
        <v>0</v>
      </c>
      <c r="AG251">
        <f>IF($C251-AG$1&lt;År1,0,AF250*(1-VLOOKUP($A251,[1]Hugst!$R$5:$W$9,MATCH(ROUNDUP((AG$1)/10,0)*10,[1]Hugst!$R$4:$W$4,0))))</f>
        <v>0</v>
      </c>
      <c r="AH251">
        <f>IF($C251-AH$1&lt;År1,0,AG250*(1-VLOOKUP($A251,[1]Hugst!$R$5:$W$9,MATCH(ROUNDUP((AH$1)/10,0)*10,[1]Hugst!$R$4:$W$4,0))))</f>
        <v>0</v>
      </c>
      <c r="AI251">
        <f>IF($C251-AI$1&lt;År1,0,AH250*(1-VLOOKUP($A251,[1]Hugst!$R$5:$W$9,MATCH(ROUNDUP((AI$1)/10,0)*10,[1]Hugst!$R$4:$W$4,0))))</f>
        <v>0</v>
      </c>
      <c r="AJ251">
        <f>IF($C251-AJ$1&lt;År1,0,AI250*(1-VLOOKUP($A251,[1]Hugst!$R$5:$W$9,MATCH(ROUNDUP((AJ$1)/10,0)*10,[1]Hugst!$R$4:$W$4,0))))</f>
        <v>0</v>
      </c>
    </row>
    <row r="252" spans="1:36" x14ac:dyDescent="0.25">
      <c r="A252" t="s">
        <v>180</v>
      </c>
      <c r="B252" t="s">
        <v>23</v>
      </c>
      <c r="C252">
        <v>2022</v>
      </c>
      <c r="D252" cm="1">
        <f t="array" ref="D252">(IF(B252="Vestdanmark",Skovbrug!$C$22-(Skovbrug!$C$22)*(1-Skovbrug!$C$9)^(C252-Skovbrug!$B$12),Skovbrug!$F$22-(Skovbrug!$F$22)*(1-Skovbrug!$C$9)^(C252-Skovbrug!$B$12)))*VLOOKUP(A252,Skovbrug!$A$13:$D$17,IF('Skovbrug-alder'!C252&lt;=År2,3,4),FALSE)
-IF(C252&gt;2020,SUM(INDEX($C$1:$D$311,MATCH(1,(2020=$C$1:$C$311)*(B252=$B$1:$B$311)*(A252=$A$1:$A$311),0),2):D251),0)</f>
        <v>0</v>
      </c>
      <c r="E252">
        <f t="shared" ca="1" si="6"/>
        <v>0</v>
      </c>
      <c r="F252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>
        <f ca="1">IF($C252-G$1&lt;År1,0,F251*(1-VLOOKUP($A252,[1]Hugst!$R$5:$W$9,MATCH(ROUNDUP((G$1)/10,0)*10,[1]Hugst!$R$4:$W$4,0))))</f>
        <v>0</v>
      </c>
      <c r="H252">
        <f ca="1">IF($C252-H$1&lt;År1,0,G251*(1-VLOOKUP($A252,[1]Hugst!$R$5:$W$9,MATCH(ROUNDUP((H$1)/10,0)*10,[1]Hugst!$R$4:$W$4,0))))</f>
        <v>0</v>
      </c>
      <c r="I252">
        <f>IF($C252-I$1&lt;År1,0,H251*(1-VLOOKUP($A252,[1]Hugst!$R$5:$W$9,MATCH(ROUNDUP((I$1)/10,0)*10,[1]Hugst!$R$4:$W$4,0))))</f>
        <v>0</v>
      </c>
      <c r="J252">
        <f>IF($C252-J$1&lt;År1,0,I251*(1-VLOOKUP($A252,[1]Hugst!$R$5:$W$9,MATCH(ROUNDUP((J$1)/10,0)*10,[1]Hugst!$R$4:$W$4,0))))</f>
        <v>0</v>
      </c>
      <c r="K252">
        <f>IF($C252-K$1&lt;År1,0,J251*(1-VLOOKUP($A252,[1]Hugst!$R$5:$W$9,MATCH(ROUNDUP((K$1)/10,0)*10,[1]Hugst!$R$4:$W$4,0))))</f>
        <v>0</v>
      </c>
      <c r="L252">
        <f>IF($C252-L$1&lt;År1,0,K251*(1-VLOOKUP($A252,[1]Hugst!$R$5:$W$9,MATCH(ROUNDUP((L$1)/10,0)*10,[1]Hugst!$R$4:$W$4,0))))</f>
        <v>0</v>
      </c>
      <c r="M252">
        <f>IF($C252-M$1&lt;År1,0,L251*(1-VLOOKUP($A252,[1]Hugst!$R$5:$W$9,MATCH(ROUNDUP((M$1)/10,0)*10,[1]Hugst!$R$4:$W$4,0))))</f>
        <v>0</v>
      </c>
      <c r="N252">
        <f>IF($C252-N$1&lt;År1,0,M251*(1-VLOOKUP($A252,[1]Hugst!$R$5:$W$9,MATCH(ROUNDUP((N$1)/10,0)*10,[1]Hugst!$R$4:$W$4,0))))</f>
        <v>0</v>
      </c>
      <c r="O252">
        <f>IF($C252-O$1&lt;År1,0,N251*(1-VLOOKUP($A252,[1]Hugst!$R$5:$W$9,MATCH(ROUNDUP((O$1)/10,0)*10,[1]Hugst!$R$4:$W$4,0))))</f>
        <v>0</v>
      </c>
      <c r="P252">
        <f>IF($C252-P$1&lt;År1,0,O251*(1-VLOOKUP($A252,[1]Hugst!$R$5:$W$9,MATCH(ROUNDUP((P$1)/10,0)*10,[1]Hugst!$R$4:$W$4,0))))</f>
        <v>0</v>
      </c>
      <c r="Q252">
        <f>IF($C252-Q$1&lt;År1,0,P251*(1-VLOOKUP($A252,[1]Hugst!$R$5:$W$9,MATCH(ROUNDUP((Q$1)/10,0)*10,[1]Hugst!$R$4:$W$4,0))))</f>
        <v>0</v>
      </c>
      <c r="R252">
        <f>IF($C252-R$1&lt;År1,0,Q251*(1-VLOOKUP($A252,[1]Hugst!$R$5:$W$9,MATCH(ROUNDUP((R$1)/10,0)*10,[1]Hugst!$R$4:$W$4,0))))</f>
        <v>0</v>
      </c>
      <c r="S252">
        <f>IF($C252-S$1&lt;År1,0,R251*(1-VLOOKUP($A252,[1]Hugst!$R$5:$W$9,MATCH(ROUNDUP((S$1)/10,0)*10,[1]Hugst!$R$4:$W$4,0))))</f>
        <v>0</v>
      </c>
      <c r="T252">
        <f>IF($C252-T$1&lt;År1,0,S251*(1-VLOOKUP($A252,[1]Hugst!$R$5:$W$9,MATCH(ROUNDUP((T$1)/10,0)*10,[1]Hugst!$R$4:$W$4,0))))</f>
        <v>0</v>
      </c>
      <c r="U252">
        <f>IF($C252-U$1&lt;År1,0,T251*(1-VLOOKUP($A252,[1]Hugst!$R$5:$W$9,MATCH(ROUNDUP((U$1)/10,0)*10,[1]Hugst!$R$4:$W$4,0))))</f>
        <v>0</v>
      </c>
      <c r="V252">
        <f>IF($C252-V$1&lt;År1,0,U251*(1-VLOOKUP($A252,[1]Hugst!$R$5:$W$9,MATCH(ROUNDUP((V$1)/10,0)*10,[1]Hugst!$R$4:$W$4,0))))</f>
        <v>0</v>
      </c>
      <c r="W252">
        <f>IF($C252-W$1&lt;År1,0,V251*(1-VLOOKUP($A252,[1]Hugst!$R$5:$W$9,MATCH(ROUNDUP((W$1)/10,0)*10,[1]Hugst!$R$4:$W$4,0))))</f>
        <v>0</v>
      </c>
      <c r="X252">
        <f>IF($C252-X$1&lt;År1,0,W251*(1-VLOOKUP($A252,[1]Hugst!$R$5:$W$9,MATCH(ROUNDUP((X$1)/10,0)*10,[1]Hugst!$R$4:$W$4,0))))</f>
        <v>0</v>
      </c>
      <c r="Y252">
        <f>IF($C252-Y$1&lt;År1,0,X251*(1-VLOOKUP($A252,[1]Hugst!$R$5:$W$9,MATCH(ROUNDUP((Y$1)/10,0)*10,[1]Hugst!$R$4:$W$4,0))))</f>
        <v>0</v>
      </c>
      <c r="Z252">
        <f>IF($C252-Z$1&lt;År1,0,Y251*(1-VLOOKUP($A252,[1]Hugst!$R$5:$W$9,MATCH(ROUNDUP((Z$1)/10,0)*10,[1]Hugst!$R$4:$W$4,0))))</f>
        <v>0</v>
      </c>
      <c r="AA252">
        <f>IF($C252-AA$1&lt;År1,0,Z251*(1-VLOOKUP($A252,[1]Hugst!$R$5:$W$9,MATCH(ROUNDUP((AA$1)/10,0)*10,[1]Hugst!$R$4:$W$4,0))))</f>
        <v>0</v>
      </c>
      <c r="AB252">
        <f>IF($C252-AB$1&lt;År1,0,AA251*(1-VLOOKUP($A252,[1]Hugst!$R$5:$W$9,MATCH(ROUNDUP((AB$1)/10,0)*10,[1]Hugst!$R$4:$W$4,0))))</f>
        <v>0</v>
      </c>
      <c r="AC252">
        <f>IF($C252-AC$1&lt;År1,0,AB251*(1-VLOOKUP($A252,[1]Hugst!$R$5:$W$9,MATCH(ROUNDUP((AC$1)/10,0)*10,[1]Hugst!$R$4:$W$4,0))))</f>
        <v>0</v>
      </c>
      <c r="AD252">
        <f>IF($C252-AD$1&lt;År1,0,AC251*(1-VLOOKUP($A252,[1]Hugst!$R$5:$W$9,MATCH(ROUNDUP((AD$1)/10,0)*10,[1]Hugst!$R$4:$W$4,0))))</f>
        <v>0</v>
      </c>
      <c r="AE252">
        <f>IF($C252-AE$1&lt;År1,0,AD251*(1-VLOOKUP($A252,[1]Hugst!$R$5:$W$9,MATCH(ROUNDUP((AE$1)/10,0)*10,[1]Hugst!$R$4:$W$4,0))))</f>
        <v>0</v>
      </c>
      <c r="AF252">
        <f>IF($C252-AF$1&lt;År1,0,AE251*(1-VLOOKUP($A252,[1]Hugst!$R$5:$W$9,MATCH(ROUNDUP((AF$1)/10,0)*10,[1]Hugst!$R$4:$W$4,0))))</f>
        <v>0</v>
      </c>
      <c r="AG252">
        <f>IF($C252-AG$1&lt;År1,0,AF251*(1-VLOOKUP($A252,[1]Hugst!$R$5:$W$9,MATCH(ROUNDUP((AG$1)/10,0)*10,[1]Hugst!$R$4:$W$4,0))))</f>
        <v>0</v>
      </c>
      <c r="AH252">
        <f>IF($C252-AH$1&lt;År1,0,AG251*(1-VLOOKUP($A252,[1]Hugst!$R$5:$W$9,MATCH(ROUNDUP((AH$1)/10,0)*10,[1]Hugst!$R$4:$W$4,0))))</f>
        <v>0</v>
      </c>
      <c r="AI252">
        <f>IF($C252-AI$1&lt;År1,0,AH251*(1-VLOOKUP($A252,[1]Hugst!$R$5:$W$9,MATCH(ROUNDUP((AI$1)/10,0)*10,[1]Hugst!$R$4:$W$4,0))))</f>
        <v>0</v>
      </c>
      <c r="AJ252">
        <f>IF($C252-AJ$1&lt;År1,0,AI251*(1-VLOOKUP($A252,[1]Hugst!$R$5:$W$9,MATCH(ROUNDUP((AJ$1)/10,0)*10,[1]Hugst!$R$4:$W$4,0))))</f>
        <v>0</v>
      </c>
    </row>
    <row r="253" spans="1:36" x14ac:dyDescent="0.25">
      <c r="A253" t="s">
        <v>180</v>
      </c>
      <c r="B253" t="s">
        <v>23</v>
      </c>
      <c r="C253">
        <v>2023</v>
      </c>
      <c r="D253" cm="1">
        <f t="array" ref="D253">(IF(B253="Vestdanmark",Skovbrug!$C$22-(Skovbrug!$C$22)*(1-Skovbrug!$C$9)^(C253-Skovbrug!$B$12),Skovbrug!$F$22-(Skovbrug!$F$22)*(1-Skovbrug!$C$9)^(C253-Skovbrug!$B$12)))*VLOOKUP(A253,Skovbrug!$A$13:$D$17,IF('Skovbrug-alder'!C253&lt;=År2,3,4),FALSE)
-IF(C253&gt;2020,SUM(INDEX($C$1:$D$311,MATCH(1,(2020=$C$1:$C$311)*(B253=$B$1:$B$311)*(A253=$A$1:$A$311),0),2):D252),0)</f>
        <v>0</v>
      </c>
      <c r="E253">
        <f t="shared" ca="1" si="6"/>
        <v>0</v>
      </c>
      <c r="F253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>
        <f ca="1">IF($C253-G$1&lt;År1,0,F252*(1-VLOOKUP($A253,[1]Hugst!$R$5:$W$9,MATCH(ROUNDUP((G$1)/10,0)*10,[1]Hugst!$R$4:$W$4,0))))</f>
        <v>0</v>
      </c>
      <c r="H253">
        <f ca="1">IF($C253-H$1&lt;År1,0,G252*(1-VLOOKUP($A253,[1]Hugst!$R$5:$W$9,MATCH(ROUNDUP((H$1)/10,0)*10,[1]Hugst!$R$4:$W$4,0))))</f>
        <v>0</v>
      </c>
      <c r="I253">
        <f ca="1">IF($C253-I$1&lt;År1,0,H252*(1-VLOOKUP($A253,[1]Hugst!$R$5:$W$9,MATCH(ROUNDUP((I$1)/10,0)*10,[1]Hugst!$R$4:$W$4,0))))</f>
        <v>0</v>
      </c>
      <c r="J253">
        <f>IF($C253-J$1&lt;År1,0,I252*(1-VLOOKUP($A253,[1]Hugst!$R$5:$W$9,MATCH(ROUNDUP((J$1)/10,0)*10,[1]Hugst!$R$4:$W$4,0))))</f>
        <v>0</v>
      </c>
      <c r="K253">
        <f>IF($C253-K$1&lt;År1,0,J252*(1-VLOOKUP($A253,[1]Hugst!$R$5:$W$9,MATCH(ROUNDUP((K$1)/10,0)*10,[1]Hugst!$R$4:$W$4,0))))</f>
        <v>0</v>
      </c>
      <c r="L253">
        <f>IF($C253-L$1&lt;År1,0,K252*(1-VLOOKUP($A253,[1]Hugst!$R$5:$W$9,MATCH(ROUNDUP((L$1)/10,0)*10,[1]Hugst!$R$4:$W$4,0))))</f>
        <v>0</v>
      </c>
      <c r="M253">
        <f>IF($C253-M$1&lt;År1,0,L252*(1-VLOOKUP($A253,[1]Hugst!$R$5:$W$9,MATCH(ROUNDUP((M$1)/10,0)*10,[1]Hugst!$R$4:$W$4,0))))</f>
        <v>0</v>
      </c>
      <c r="N253">
        <f>IF($C253-N$1&lt;År1,0,M252*(1-VLOOKUP($A253,[1]Hugst!$R$5:$W$9,MATCH(ROUNDUP((N$1)/10,0)*10,[1]Hugst!$R$4:$W$4,0))))</f>
        <v>0</v>
      </c>
      <c r="O253">
        <f>IF($C253-O$1&lt;År1,0,N252*(1-VLOOKUP($A253,[1]Hugst!$R$5:$W$9,MATCH(ROUNDUP((O$1)/10,0)*10,[1]Hugst!$R$4:$W$4,0))))</f>
        <v>0</v>
      </c>
      <c r="P253">
        <f>IF($C253-P$1&lt;År1,0,O252*(1-VLOOKUP($A253,[1]Hugst!$R$5:$W$9,MATCH(ROUNDUP((P$1)/10,0)*10,[1]Hugst!$R$4:$W$4,0))))</f>
        <v>0</v>
      </c>
      <c r="Q253">
        <f>IF($C253-Q$1&lt;År1,0,P252*(1-VLOOKUP($A253,[1]Hugst!$R$5:$W$9,MATCH(ROUNDUP((Q$1)/10,0)*10,[1]Hugst!$R$4:$W$4,0))))</f>
        <v>0</v>
      </c>
      <c r="R253">
        <f>IF($C253-R$1&lt;År1,0,Q252*(1-VLOOKUP($A253,[1]Hugst!$R$5:$W$9,MATCH(ROUNDUP((R$1)/10,0)*10,[1]Hugst!$R$4:$W$4,0))))</f>
        <v>0</v>
      </c>
      <c r="S253">
        <f>IF($C253-S$1&lt;År1,0,R252*(1-VLOOKUP($A253,[1]Hugst!$R$5:$W$9,MATCH(ROUNDUP((S$1)/10,0)*10,[1]Hugst!$R$4:$W$4,0))))</f>
        <v>0</v>
      </c>
      <c r="T253">
        <f>IF($C253-T$1&lt;År1,0,S252*(1-VLOOKUP($A253,[1]Hugst!$R$5:$W$9,MATCH(ROUNDUP((T$1)/10,0)*10,[1]Hugst!$R$4:$W$4,0))))</f>
        <v>0</v>
      </c>
      <c r="U253">
        <f>IF($C253-U$1&lt;År1,0,T252*(1-VLOOKUP($A253,[1]Hugst!$R$5:$W$9,MATCH(ROUNDUP((U$1)/10,0)*10,[1]Hugst!$R$4:$W$4,0))))</f>
        <v>0</v>
      </c>
      <c r="V253">
        <f>IF($C253-V$1&lt;År1,0,U252*(1-VLOOKUP($A253,[1]Hugst!$R$5:$W$9,MATCH(ROUNDUP((V$1)/10,0)*10,[1]Hugst!$R$4:$W$4,0))))</f>
        <v>0</v>
      </c>
      <c r="W253">
        <f>IF($C253-W$1&lt;År1,0,V252*(1-VLOOKUP($A253,[1]Hugst!$R$5:$W$9,MATCH(ROUNDUP((W$1)/10,0)*10,[1]Hugst!$R$4:$W$4,0))))</f>
        <v>0</v>
      </c>
      <c r="X253">
        <f>IF($C253-X$1&lt;År1,0,W252*(1-VLOOKUP($A253,[1]Hugst!$R$5:$W$9,MATCH(ROUNDUP((X$1)/10,0)*10,[1]Hugst!$R$4:$W$4,0))))</f>
        <v>0</v>
      </c>
      <c r="Y253">
        <f>IF($C253-Y$1&lt;År1,0,X252*(1-VLOOKUP($A253,[1]Hugst!$R$5:$W$9,MATCH(ROUNDUP((Y$1)/10,0)*10,[1]Hugst!$R$4:$W$4,0))))</f>
        <v>0</v>
      </c>
      <c r="Z253">
        <f>IF($C253-Z$1&lt;År1,0,Y252*(1-VLOOKUP($A253,[1]Hugst!$R$5:$W$9,MATCH(ROUNDUP((Z$1)/10,0)*10,[1]Hugst!$R$4:$W$4,0))))</f>
        <v>0</v>
      </c>
      <c r="AA253">
        <f>IF($C253-AA$1&lt;År1,0,Z252*(1-VLOOKUP($A253,[1]Hugst!$R$5:$W$9,MATCH(ROUNDUP((AA$1)/10,0)*10,[1]Hugst!$R$4:$W$4,0))))</f>
        <v>0</v>
      </c>
      <c r="AB253">
        <f>IF($C253-AB$1&lt;År1,0,AA252*(1-VLOOKUP($A253,[1]Hugst!$R$5:$W$9,MATCH(ROUNDUP((AB$1)/10,0)*10,[1]Hugst!$R$4:$W$4,0))))</f>
        <v>0</v>
      </c>
      <c r="AC253">
        <f>IF($C253-AC$1&lt;År1,0,AB252*(1-VLOOKUP($A253,[1]Hugst!$R$5:$W$9,MATCH(ROUNDUP((AC$1)/10,0)*10,[1]Hugst!$R$4:$W$4,0))))</f>
        <v>0</v>
      </c>
      <c r="AD253">
        <f>IF($C253-AD$1&lt;År1,0,AC252*(1-VLOOKUP($A253,[1]Hugst!$R$5:$W$9,MATCH(ROUNDUP((AD$1)/10,0)*10,[1]Hugst!$R$4:$W$4,0))))</f>
        <v>0</v>
      </c>
      <c r="AE253">
        <f>IF($C253-AE$1&lt;År1,0,AD252*(1-VLOOKUP($A253,[1]Hugst!$R$5:$W$9,MATCH(ROUNDUP((AE$1)/10,0)*10,[1]Hugst!$R$4:$W$4,0))))</f>
        <v>0</v>
      </c>
      <c r="AF253">
        <f>IF($C253-AF$1&lt;År1,0,AE252*(1-VLOOKUP($A253,[1]Hugst!$R$5:$W$9,MATCH(ROUNDUP((AF$1)/10,0)*10,[1]Hugst!$R$4:$W$4,0))))</f>
        <v>0</v>
      </c>
      <c r="AG253">
        <f>IF($C253-AG$1&lt;År1,0,AF252*(1-VLOOKUP($A253,[1]Hugst!$R$5:$W$9,MATCH(ROUNDUP((AG$1)/10,0)*10,[1]Hugst!$R$4:$W$4,0))))</f>
        <v>0</v>
      </c>
      <c r="AH253">
        <f>IF($C253-AH$1&lt;År1,0,AG252*(1-VLOOKUP($A253,[1]Hugst!$R$5:$W$9,MATCH(ROUNDUP((AH$1)/10,0)*10,[1]Hugst!$R$4:$W$4,0))))</f>
        <v>0</v>
      </c>
      <c r="AI253">
        <f>IF($C253-AI$1&lt;År1,0,AH252*(1-VLOOKUP($A253,[1]Hugst!$R$5:$W$9,MATCH(ROUNDUP((AI$1)/10,0)*10,[1]Hugst!$R$4:$W$4,0))))</f>
        <v>0</v>
      </c>
      <c r="AJ253">
        <f>IF($C253-AJ$1&lt;År1,0,AI252*(1-VLOOKUP($A253,[1]Hugst!$R$5:$W$9,MATCH(ROUNDUP((AJ$1)/10,0)*10,[1]Hugst!$R$4:$W$4,0))))</f>
        <v>0</v>
      </c>
    </row>
    <row r="254" spans="1:36" x14ac:dyDescent="0.25">
      <c r="A254" t="s">
        <v>180</v>
      </c>
      <c r="B254" t="s">
        <v>23</v>
      </c>
      <c r="C254">
        <v>2024</v>
      </c>
      <c r="D254" cm="1">
        <f t="array" ref="D254">(IF(B254="Vestdanmark",Skovbrug!$C$22-(Skovbrug!$C$22)*(1-Skovbrug!$C$9)^(C254-Skovbrug!$B$12),Skovbrug!$F$22-(Skovbrug!$F$22)*(1-Skovbrug!$C$9)^(C254-Skovbrug!$B$12)))*VLOOKUP(A254,Skovbrug!$A$13:$D$17,IF('Skovbrug-alder'!C254&lt;=År2,3,4),FALSE)
-IF(C254&gt;2020,SUM(INDEX($C$1:$D$311,MATCH(1,(2020=$C$1:$C$311)*(B254=$B$1:$B$311)*(A254=$A$1:$A$311),0),2):D253),0)</f>
        <v>0</v>
      </c>
      <c r="E254">
        <f t="shared" ca="1" si="6"/>
        <v>0</v>
      </c>
      <c r="F254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>
        <f ca="1">IF($C254-G$1&lt;År1,0,F253*(1-VLOOKUP($A254,[1]Hugst!$R$5:$W$9,MATCH(ROUNDUP((G$1)/10,0)*10,[1]Hugst!$R$4:$W$4,0))))</f>
        <v>0</v>
      </c>
      <c r="H254">
        <f ca="1">IF($C254-H$1&lt;År1,0,G253*(1-VLOOKUP($A254,[1]Hugst!$R$5:$W$9,MATCH(ROUNDUP((H$1)/10,0)*10,[1]Hugst!$R$4:$W$4,0))))</f>
        <v>0</v>
      </c>
      <c r="I254">
        <f ca="1">IF($C254-I$1&lt;År1,0,H253*(1-VLOOKUP($A254,[1]Hugst!$R$5:$W$9,MATCH(ROUNDUP((I$1)/10,0)*10,[1]Hugst!$R$4:$W$4,0))))</f>
        <v>0</v>
      </c>
      <c r="J254">
        <f ca="1">IF($C254-J$1&lt;År1,0,I253*(1-VLOOKUP($A254,[1]Hugst!$R$5:$W$9,MATCH(ROUNDUP((J$1)/10,0)*10,[1]Hugst!$R$4:$W$4,0))))</f>
        <v>0</v>
      </c>
      <c r="K254">
        <f>IF($C254-K$1&lt;År1,0,J253*(1-VLOOKUP($A254,[1]Hugst!$R$5:$W$9,MATCH(ROUNDUP((K$1)/10,0)*10,[1]Hugst!$R$4:$W$4,0))))</f>
        <v>0</v>
      </c>
      <c r="L254">
        <f>IF($C254-L$1&lt;År1,0,K253*(1-VLOOKUP($A254,[1]Hugst!$R$5:$W$9,MATCH(ROUNDUP((L$1)/10,0)*10,[1]Hugst!$R$4:$W$4,0))))</f>
        <v>0</v>
      </c>
      <c r="M254">
        <f>IF($C254-M$1&lt;År1,0,L253*(1-VLOOKUP($A254,[1]Hugst!$R$5:$W$9,MATCH(ROUNDUP((M$1)/10,0)*10,[1]Hugst!$R$4:$W$4,0))))</f>
        <v>0</v>
      </c>
      <c r="N254">
        <f>IF($C254-N$1&lt;År1,0,M253*(1-VLOOKUP($A254,[1]Hugst!$R$5:$W$9,MATCH(ROUNDUP((N$1)/10,0)*10,[1]Hugst!$R$4:$W$4,0))))</f>
        <v>0</v>
      </c>
      <c r="O254">
        <f>IF($C254-O$1&lt;År1,0,N253*(1-VLOOKUP($A254,[1]Hugst!$R$5:$W$9,MATCH(ROUNDUP((O$1)/10,0)*10,[1]Hugst!$R$4:$W$4,0))))</f>
        <v>0</v>
      </c>
      <c r="P254">
        <f>IF($C254-P$1&lt;År1,0,O253*(1-VLOOKUP($A254,[1]Hugst!$R$5:$W$9,MATCH(ROUNDUP((P$1)/10,0)*10,[1]Hugst!$R$4:$W$4,0))))</f>
        <v>0</v>
      </c>
      <c r="Q254">
        <f>IF($C254-Q$1&lt;År1,0,P253*(1-VLOOKUP($A254,[1]Hugst!$R$5:$W$9,MATCH(ROUNDUP((Q$1)/10,0)*10,[1]Hugst!$R$4:$W$4,0))))</f>
        <v>0</v>
      </c>
      <c r="R254">
        <f>IF($C254-R$1&lt;År1,0,Q253*(1-VLOOKUP($A254,[1]Hugst!$R$5:$W$9,MATCH(ROUNDUP((R$1)/10,0)*10,[1]Hugst!$R$4:$W$4,0))))</f>
        <v>0</v>
      </c>
      <c r="S254">
        <f>IF($C254-S$1&lt;År1,0,R253*(1-VLOOKUP($A254,[1]Hugst!$R$5:$W$9,MATCH(ROUNDUP((S$1)/10,0)*10,[1]Hugst!$R$4:$W$4,0))))</f>
        <v>0</v>
      </c>
      <c r="T254">
        <f>IF($C254-T$1&lt;År1,0,S253*(1-VLOOKUP($A254,[1]Hugst!$R$5:$W$9,MATCH(ROUNDUP((T$1)/10,0)*10,[1]Hugst!$R$4:$W$4,0))))</f>
        <v>0</v>
      </c>
      <c r="U254">
        <f>IF($C254-U$1&lt;År1,0,T253*(1-VLOOKUP($A254,[1]Hugst!$R$5:$W$9,MATCH(ROUNDUP((U$1)/10,0)*10,[1]Hugst!$R$4:$W$4,0))))</f>
        <v>0</v>
      </c>
      <c r="V254">
        <f>IF($C254-V$1&lt;År1,0,U253*(1-VLOOKUP($A254,[1]Hugst!$R$5:$W$9,MATCH(ROUNDUP((V$1)/10,0)*10,[1]Hugst!$R$4:$W$4,0))))</f>
        <v>0</v>
      </c>
      <c r="W254">
        <f>IF($C254-W$1&lt;År1,0,V253*(1-VLOOKUP($A254,[1]Hugst!$R$5:$W$9,MATCH(ROUNDUP((W$1)/10,0)*10,[1]Hugst!$R$4:$W$4,0))))</f>
        <v>0</v>
      </c>
      <c r="X254">
        <f>IF($C254-X$1&lt;År1,0,W253*(1-VLOOKUP($A254,[1]Hugst!$R$5:$W$9,MATCH(ROUNDUP((X$1)/10,0)*10,[1]Hugst!$R$4:$W$4,0))))</f>
        <v>0</v>
      </c>
      <c r="Y254">
        <f>IF($C254-Y$1&lt;År1,0,X253*(1-VLOOKUP($A254,[1]Hugst!$R$5:$W$9,MATCH(ROUNDUP((Y$1)/10,0)*10,[1]Hugst!$R$4:$W$4,0))))</f>
        <v>0</v>
      </c>
      <c r="Z254">
        <f>IF($C254-Z$1&lt;År1,0,Y253*(1-VLOOKUP($A254,[1]Hugst!$R$5:$W$9,MATCH(ROUNDUP((Z$1)/10,0)*10,[1]Hugst!$R$4:$W$4,0))))</f>
        <v>0</v>
      </c>
      <c r="AA254">
        <f>IF($C254-AA$1&lt;År1,0,Z253*(1-VLOOKUP($A254,[1]Hugst!$R$5:$W$9,MATCH(ROUNDUP((AA$1)/10,0)*10,[1]Hugst!$R$4:$W$4,0))))</f>
        <v>0</v>
      </c>
      <c r="AB254">
        <f>IF($C254-AB$1&lt;År1,0,AA253*(1-VLOOKUP($A254,[1]Hugst!$R$5:$W$9,MATCH(ROUNDUP((AB$1)/10,0)*10,[1]Hugst!$R$4:$W$4,0))))</f>
        <v>0</v>
      </c>
      <c r="AC254">
        <f>IF($C254-AC$1&lt;År1,0,AB253*(1-VLOOKUP($A254,[1]Hugst!$R$5:$W$9,MATCH(ROUNDUP((AC$1)/10,0)*10,[1]Hugst!$R$4:$W$4,0))))</f>
        <v>0</v>
      </c>
      <c r="AD254">
        <f>IF($C254-AD$1&lt;År1,0,AC253*(1-VLOOKUP($A254,[1]Hugst!$R$5:$W$9,MATCH(ROUNDUP((AD$1)/10,0)*10,[1]Hugst!$R$4:$W$4,0))))</f>
        <v>0</v>
      </c>
      <c r="AE254">
        <f>IF($C254-AE$1&lt;År1,0,AD253*(1-VLOOKUP($A254,[1]Hugst!$R$5:$W$9,MATCH(ROUNDUP((AE$1)/10,0)*10,[1]Hugst!$R$4:$W$4,0))))</f>
        <v>0</v>
      </c>
      <c r="AF254">
        <f>IF($C254-AF$1&lt;År1,0,AE253*(1-VLOOKUP($A254,[1]Hugst!$R$5:$W$9,MATCH(ROUNDUP((AF$1)/10,0)*10,[1]Hugst!$R$4:$W$4,0))))</f>
        <v>0</v>
      </c>
      <c r="AG254">
        <f>IF($C254-AG$1&lt;År1,0,AF253*(1-VLOOKUP($A254,[1]Hugst!$R$5:$W$9,MATCH(ROUNDUP((AG$1)/10,0)*10,[1]Hugst!$R$4:$W$4,0))))</f>
        <v>0</v>
      </c>
      <c r="AH254">
        <f>IF($C254-AH$1&lt;År1,0,AG253*(1-VLOOKUP($A254,[1]Hugst!$R$5:$W$9,MATCH(ROUNDUP((AH$1)/10,0)*10,[1]Hugst!$R$4:$W$4,0))))</f>
        <v>0</v>
      </c>
      <c r="AI254">
        <f>IF($C254-AI$1&lt;År1,0,AH253*(1-VLOOKUP($A254,[1]Hugst!$R$5:$W$9,MATCH(ROUNDUP((AI$1)/10,0)*10,[1]Hugst!$R$4:$W$4,0))))</f>
        <v>0</v>
      </c>
      <c r="AJ254">
        <f>IF($C254-AJ$1&lt;År1,0,AI253*(1-VLOOKUP($A254,[1]Hugst!$R$5:$W$9,MATCH(ROUNDUP((AJ$1)/10,0)*10,[1]Hugst!$R$4:$W$4,0))))</f>
        <v>0</v>
      </c>
    </row>
    <row r="255" spans="1:36" x14ac:dyDescent="0.25">
      <c r="A255" t="s">
        <v>180</v>
      </c>
      <c r="B255" t="s">
        <v>23</v>
      </c>
      <c r="C255">
        <v>2025</v>
      </c>
      <c r="D255" cm="1">
        <f t="array" ref="D255">(IF(B255="Vestdanmark",Skovbrug!$C$22-(Skovbrug!$C$22)*(1-Skovbrug!$C$9)^(C255-Skovbrug!$B$12),Skovbrug!$F$22-(Skovbrug!$F$22)*(1-Skovbrug!$C$9)^(C255-Skovbrug!$B$12)))*VLOOKUP(A255,Skovbrug!$A$13:$D$17,IF('Skovbrug-alder'!C255&lt;=År2,3,4),FALSE)
-IF(C255&gt;2020,SUM(INDEX($C$1:$D$311,MATCH(1,(2020=$C$1:$C$311)*(B255=$B$1:$B$311)*(A255=$A$1:$A$311),0),2):D254),0)</f>
        <v>0</v>
      </c>
      <c r="E255">
        <f t="shared" ca="1" si="6"/>
        <v>0</v>
      </c>
      <c r="F255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>
        <f ca="1">IF($C255-G$1&lt;År1,0,F254*(1-VLOOKUP($A255,[1]Hugst!$R$5:$W$9,MATCH(ROUNDUP((G$1)/10,0)*10,[1]Hugst!$R$4:$W$4,0))))</f>
        <v>0</v>
      </c>
      <c r="H255">
        <f ca="1">IF($C255-H$1&lt;År1,0,G254*(1-VLOOKUP($A255,[1]Hugst!$R$5:$W$9,MATCH(ROUNDUP((H$1)/10,0)*10,[1]Hugst!$R$4:$W$4,0))))</f>
        <v>0</v>
      </c>
      <c r="I255">
        <f ca="1">IF($C255-I$1&lt;År1,0,H254*(1-VLOOKUP($A255,[1]Hugst!$R$5:$W$9,MATCH(ROUNDUP((I$1)/10,0)*10,[1]Hugst!$R$4:$W$4,0))))</f>
        <v>0</v>
      </c>
      <c r="J255">
        <f ca="1">IF($C255-J$1&lt;År1,0,I254*(1-VLOOKUP($A255,[1]Hugst!$R$5:$W$9,MATCH(ROUNDUP((J$1)/10,0)*10,[1]Hugst!$R$4:$W$4,0))))</f>
        <v>0</v>
      </c>
      <c r="K255">
        <f ca="1">IF($C255-K$1&lt;År1,0,J254*(1-VLOOKUP($A255,[1]Hugst!$R$5:$W$9,MATCH(ROUNDUP((K$1)/10,0)*10,[1]Hugst!$R$4:$W$4,0))))</f>
        <v>0</v>
      </c>
      <c r="L255">
        <f>IF($C255-L$1&lt;År1,0,K254*(1-VLOOKUP($A255,[1]Hugst!$R$5:$W$9,MATCH(ROUNDUP((L$1)/10,0)*10,[1]Hugst!$R$4:$W$4,0))))</f>
        <v>0</v>
      </c>
      <c r="M255">
        <f>IF($C255-M$1&lt;År1,0,L254*(1-VLOOKUP($A255,[1]Hugst!$R$5:$W$9,MATCH(ROUNDUP((M$1)/10,0)*10,[1]Hugst!$R$4:$W$4,0))))</f>
        <v>0</v>
      </c>
      <c r="N255">
        <f>IF($C255-N$1&lt;År1,0,M254*(1-VLOOKUP($A255,[1]Hugst!$R$5:$W$9,MATCH(ROUNDUP((N$1)/10,0)*10,[1]Hugst!$R$4:$W$4,0))))</f>
        <v>0</v>
      </c>
      <c r="O255">
        <f>IF($C255-O$1&lt;År1,0,N254*(1-VLOOKUP($A255,[1]Hugst!$R$5:$W$9,MATCH(ROUNDUP((O$1)/10,0)*10,[1]Hugst!$R$4:$W$4,0))))</f>
        <v>0</v>
      </c>
      <c r="P255">
        <f>IF($C255-P$1&lt;År1,0,O254*(1-VLOOKUP($A255,[1]Hugst!$R$5:$W$9,MATCH(ROUNDUP((P$1)/10,0)*10,[1]Hugst!$R$4:$W$4,0))))</f>
        <v>0</v>
      </c>
      <c r="Q255">
        <f>IF($C255-Q$1&lt;År1,0,P254*(1-VLOOKUP($A255,[1]Hugst!$R$5:$W$9,MATCH(ROUNDUP((Q$1)/10,0)*10,[1]Hugst!$R$4:$W$4,0))))</f>
        <v>0</v>
      </c>
      <c r="R255">
        <f>IF($C255-R$1&lt;År1,0,Q254*(1-VLOOKUP($A255,[1]Hugst!$R$5:$W$9,MATCH(ROUNDUP((R$1)/10,0)*10,[1]Hugst!$R$4:$W$4,0))))</f>
        <v>0</v>
      </c>
      <c r="S255">
        <f>IF($C255-S$1&lt;År1,0,R254*(1-VLOOKUP($A255,[1]Hugst!$R$5:$W$9,MATCH(ROUNDUP((S$1)/10,0)*10,[1]Hugst!$R$4:$W$4,0))))</f>
        <v>0</v>
      </c>
      <c r="T255">
        <f>IF($C255-T$1&lt;År1,0,S254*(1-VLOOKUP($A255,[1]Hugst!$R$5:$W$9,MATCH(ROUNDUP((T$1)/10,0)*10,[1]Hugst!$R$4:$W$4,0))))</f>
        <v>0</v>
      </c>
      <c r="U255">
        <f>IF($C255-U$1&lt;År1,0,T254*(1-VLOOKUP($A255,[1]Hugst!$R$5:$W$9,MATCH(ROUNDUP((U$1)/10,0)*10,[1]Hugst!$R$4:$W$4,0))))</f>
        <v>0</v>
      </c>
      <c r="V255">
        <f>IF($C255-V$1&lt;År1,0,U254*(1-VLOOKUP($A255,[1]Hugst!$R$5:$W$9,MATCH(ROUNDUP((V$1)/10,0)*10,[1]Hugst!$R$4:$W$4,0))))</f>
        <v>0</v>
      </c>
      <c r="W255">
        <f>IF($C255-W$1&lt;År1,0,V254*(1-VLOOKUP($A255,[1]Hugst!$R$5:$W$9,MATCH(ROUNDUP((W$1)/10,0)*10,[1]Hugst!$R$4:$W$4,0))))</f>
        <v>0</v>
      </c>
      <c r="X255">
        <f>IF($C255-X$1&lt;År1,0,W254*(1-VLOOKUP($A255,[1]Hugst!$R$5:$W$9,MATCH(ROUNDUP((X$1)/10,0)*10,[1]Hugst!$R$4:$W$4,0))))</f>
        <v>0</v>
      </c>
      <c r="Y255">
        <f>IF($C255-Y$1&lt;År1,0,X254*(1-VLOOKUP($A255,[1]Hugst!$R$5:$W$9,MATCH(ROUNDUP((Y$1)/10,0)*10,[1]Hugst!$R$4:$W$4,0))))</f>
        <v>0</v>
      </c>
      <c r="Z255">
        <f>IF($C255-Z$1&lt;År1,0,Y254*(1-VLOOKUP($A255,[1]Hugst!$R$5:$W$9,MATCH(ROUNDUP((Z$1)/10,0)*10,[1]Hugst!$R$4:$W$4,0))))</f>
        <v>0</v>
      </c>
      <c r="AA255">
        <f>IF($C255-AA$1&lt;År1,0,Z254*(1-VLOOKUP($A255,[1]Hugst!$R$5:$W$9,MATCH(ROUNDUP((AA$1)/10,0)*10,[1]Hugst!$R$4:$W$4,0))))</f>
        <v>0</v>
      </c>
      <c r="AB255">
        <f>IF($C255-AB$1&lt;År1,0,AA254*(1-VLOOKUP($A255,[1]Hugst!$R$5:$W$9,MATCH(ROUNDUP((AB$1)/10,0)*10,[1]Hugst!$R$4:$W$4,0))))</f>
        <v>0</v>
      </c>
      <c r="AC255">
        <f>IF($C255-AC$1&lt;År1,0,AB254*(1-VLOOKUP($A255,[1]Hugst!$R$5:$W$9,MATCH(ROUNDUP((AC$1)/10,0)*10,[1]Hugst!$R$4:$W$4,0))))</f>
        <v>0</v>
      </c>
      <c r="AD255">
        <f>IF($C255-AD$1&lt;År1,0,AC254*(1-VLOOKUP($A255,[1]Hugst!$R$5:$W$9,MATCH(ROUNDUP((AD$1)/10,0)*10,[1]Hugst!$R$4:$W$4,0))))</f>
        <v>0</v>
      </c>
      <c r="AE255">
        <f>IF($C255-AE$1&lt;År1,0,AD254*(1-VLOOKUP($A255,[1]Hugst!$R$5:$W$9,MATCH(ROUNDUP((AE$1)/10,0)*10,[1]Hugst!$R$4:$W$4,0))))</f>
        <v>0</v>
      </c>
      <c r="AF255">
        <f>IF($C255-AF$1&lt;År1,0,AE254*(1-VLOOKUP($A255,[1]Hugst!$R$5:$W$9,MATCH(ROUNDUP((AF$1)/10,0)*10,[1]Hugst!$R$4:$W$4,0))))</f>
        <v>0</v>
      </c>
      <c r="AG255">
        <f>IF($C255-AG$1&lt;År1,0,AF254*(1-VLOOKUP($A255,[1]Hugst!$R$5:$W$9,MATCH(ROUNDUP((AG$1)/10,0)*10,[1]Hugst!$R$4:$W$4,0))))</f>
        <v>0</v>
      </c>
      <c r="AH255">
        <f>IF($C255-AH$1&lt;År1,0,AG254*(1-VLOOKUP($A255,[1]Hugst!$R$5:$W$9,MATCH(ROUNDUP((AH$1)/10,0)*10,[1]Hugst!$R$4:$W$4,0))))</f>
        <v>0</v>
      </c>
      <c r="AI255">
        <f>IF($C255-AI$1&lt;År1,0,AH254*(1-VLOOKUP($A255,[1]Hugst!$R$5:$W$9,MATCH(ROUNDUP((AI$1)/10,0)*10,[1]Hugst!$R$4:$W$4,0))))</f>
        <v>0</v>
      </c>
      <c r="AJ255">
        <f>IF($C255-AJ$1&lt;År1,0,AI254*(1-VLOOKUP($A255,[1]Hugst!$R$5:$W$9,MATCH(ROUNDUP((AJ$1)/10,0)*10,[1]Hugst!$R$4:$W$4,0))))</f>
        <v>0</v>
      </c>
    </row>
    <row r="256" spans="1:36" x14ac:dyDescent="0.25">
      <c r="A256" t="s">
        <v>180</v>
      </c>
      <c r="B256" t="s">
        <v>23</v>
      </c>
      <c r="C256">
        <v>2026</v>
      </c>
      <c r="D256" cm="1">
        <f t="array" ref="D256">(IF(B256="Vestdanmark",Skovbrug!$C$22-(Skovbrug!$C$22)*(1-Skovbrug!$C$9)^(C256-Skovbrug!$B$12),Skovbrug!$F$22-(Skovbrug!$F$22)*(1-Skovbrug!$C$9)^(C256-Skovbrug!$B$12)))*VLOOKUP(A256,Skovbrug!$A$13:$D$17,IF('Skovbrug-alder'!C256&lt;=År2,3,4),FALSE)
-IF(C256&gt;2020,SUM(INDEX($C$1:$D$311,MATCH(1,(2020=$C$1:$C$311)*(B256=$B$1:$B$311)*(A256=$A$1:$A$311),0),2):D255),0)</f>
        <v>0</v>
      </c>
      <c r="E256">
        <f t="shared" ca="1" si="6"/>
        <v>0</v>
      </c>
      <c r="F256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>
        <f ca="1">IF($C256-G$1&lt;År1,0,F255*(1-VLOOKUP($A256,[1]Hugst!$R$5:$W$9,MATCH(ROUNDUP((G$1)/10,0)*10,[1]Hugst!$R$4:$W$4,0))))</f>
        <v>0</v>
      </c>
      <c r="H256">
        <f ca="1">IF($C256-H$1&lt;År1,0,G255*(1-VLOOKUP($A256,[1]Hugst!$R$5:$W$9,MATCH(ROUNDUP((H$1)/10,0)*10,[1]Hugst!$R$4:$W$4,0))))</f>
        <v>0</v>
      </c>
      <c r="I256">
        <f ca="1">IF($C256-I$1&lt;År1,0,H255*(1-VLOOKUP($A256,[1]Hugst!$R$5:$W$9,MATCH(ROUNDUP((I$1)/10,0)*10,[1]Hugst!$R$4:$W$4,0))))</f>
        <v>0</v>
      </c>
      <c r="J256">
        <f ca="1">IF($C256-J$1&lt;År1,0,I255*(1-VLOOKUP($A256,[1]Hugst!$R$5:$W$9,MATCH(ROUNDUP((J$1)/10,0)*10,[1]Hugst!$R$4:$W$4,0))))</f>
        <v>0</v>
      </c>
      <c r="K256">
        <f ca="1">IF($C256-K$1&lt;År1,0,J255*(1-VLOOKUP($A256,[1]Hugst!$R$5:$W$9,MATCH(ROUNDUP((K$1)/10,0)*10,[1]Hugst!$R$4:$W$4,0))))</f>
        <v>0</v>
      </c>
      <c r="L256">
        <f ca="1">IF($C256-L$1&lt;År1,0,K255*(1-VLOOKUP($A256,[1]Hugst!$R$5:$W$9,MATCH(ROUNDUP((L$1)/10,0)*10,[1]Hugst!$R$4:$W$4,0))))</f>
        <v>0</v>
      </c>
      <c r="M256">
        <f>IF($C256-M$1&lt;År1,0,L255*(1-VLOOKUP($A256,[1]Hugst!$R$5:$W$9,MATCH(ROUNDUP((M$1)/10,0)*10,[1]Hugst!$R$4:$W$4,0))))</f>
        <v>0</v>
      </c>
      <c r="N256">
        <f>IF($C256-N$1&lt;År1,0,M255*(1-VLOOKUP($A256,[1]Hugst!$R$5:$W$9,MATCH(ROUNDUP((N$1)/10,0)*10,[1]Hugst!$R$4:$W$4,0))))</f>
        <v>0</v>
      </c>
      <c r="O256">
        <f>IF($C256-O$1&lt;År1,0,N255*(1-VLOOKUP($A256,[1]Hugst!$R$5:$W$9,MATCH(ROUNDUP((O$1)/10,0)*10,[1]Hugst!$R$4:$W$4,0))))</f>
        <v>0</v>
      </c>
      <c r="P256">
        <f>IF($C256-P$1&lt;År1,0,O255*(1-VLOOKUP($A256,[1]Hugst!$R$5:$W$9,MATCH(ROUNDUP((P$1)/10,0)*10,[1]Hugst!$R$4:$W$4,0))))</f>
        <v>0</v>
      </c>
      <c r="Q256">
        <f>IF($C256-Q$1&lt;År1,0,P255*(1-VLOOKUP($A256,[1]Hugst!$R$5:$W$9,MATCH(ROUNDUP((Q$1)/10,0)*10,[1]Hugst!$R$4:$W$4,0))))</f>
        <v>0</v>
      </c>
      <c r="R256">
        <f>IF($C256-R$1&lt;År1,0,Q255*(1-VLOOKUP($A256,[1]Hugst!$R$5:$W$9,MATCH(ROUNDUP((R$1)/10,0)*10,[1]Hugst!$R$4:$W$4,0))))</f>
        <v>0</v>
      </c>
      <c r="S256">
        <f>IF($C256-S$1&lt;År1,0,R255*(1-VLOOKUP($A256,[1]Hugst!$R$5:$W$9,MATCH(ROUNDUP((S$1)/10,0)*10,[1]Hugst!$R$4:$W$4,0))))</f>
        <v>0</v>
      </c>
      <c r="T256">
        <f>IF($C256-T$1&lt;År1,0,S255*(1-VLOOKUP($A256,[1]Hugst!$R$5:$W$9,MATCH(ROUNDUP((T$1)/10,0)*10,[1]Hugst!$R$4:$W$4,0))))</f>
        <v>0</v>
      </c>
      <c r="U256">
        <f>IF($C256-U$1&lt;År1,0,T255*(1-VLOOKUP($A256,[1]Hugst!$R$5:$W$9,MATCH(ROUNDUP((U$1)/10,0)*10,[1]Hugst!$R$4:$W$4,0))))</f>
        <v>0</v>
      </c>
      <c r="V256">
        <f>IF($C256-V$1&lt;År1,0,U255*(1-VLOOKUP($A256,[1]Hugst!$R$5:$W$9,MATCH(ROUNDUP((V$1)/10,0)*10,[1]Hugst!$R$4:$W$4,0))))</f>
        <v>0</v>
      </c>
      <c r="W256">
        <f>IF($C256-W$1&lt;År1,0,V255*(1-VLOOKUP($A256,[1]Hugst!$R$5:$W$9,MATCH(ROUNDUP((W$1)/10,0)*10,[1]Hugst!$R$4:$W$4,0))))</f>
        <v>0</v>
      </c>
      <c r="X256">
        <f>IF($C256-X$1&lt;År1,0,W255*(1-VLOOKUP($A256,[1]Hugst!$R$5:$W$9,MATCH(ROUNDUP((X$1)/10,0)*10,[1]Hugst!$R$4:$W$4,0))))</f>
        <v>0</v>
      </c>
      <c r="Y256">
        <f>IF($C256-Y$1&lt;År1,0,X255*(1-VLOOKUP($A256,[1]Hugst!$R$5:$W$9,MATCH(ROUNDUP((Y$1)/10,0)*10,[1]Hugst!$R$4:$W$4,0))))</f>
        <v>0</v>
      </c>
      <c r="Z256">
        <f>IF($C256-Z$1&lt;År1,0,Y255*(1-VLOOKUP($A256,[1]Hugst!$R$5:$W$9,MATCH(ROUNDUP((Z$1)/10,0)*10,[1]Hugst!$R$4:$W$4,0))))</f>
        <v>0</v>
      </c>
      <c r="AA256">
        <f>IF($C256-AA$1&lt;År1,0,Z255*(1-VLOOKUP($A256,[1]Hugst!$R$5:$W$9,MATCH(ROUNDUP((AA$1)/10,0)*10,[1]Hugst!$R$4:$W$4,0))))</f>
        <v>0</v>
      </c>
      <c r="AB256">
        <f>IF($C256-AB$1&lt;År1,0,AA255*(1-VLOOKUP($A256,[1]Hugst!$R$5:$W$9,MATCH(ROUNDUP((AB$1)/10,0)*10,[1]Hugst!$R$4:$W$4,0))))</f>
        <v>0</v>
      </c>
      <c r="AC256">
        <f>IF($C256-AC$1&lt;År1,0,AB255*(1-VLOOKUP($A256,[1]Hugst!$R$5:$W$9,MATCH(ROUNDUP((AC$1)/10,0)*10,[1]Hugst!$R$4:$W$4,0))))</f>
        <v>0</v>
      </c>
      <c r="AD256">
        <f>IF($C256-AD$1&lt;År1,0,AC255*(1-VLOOKUP($A256,[1]Hugst!$R$5:$W$9,MATCH(ROUNDUP((AD$1)/10,0)*10,[1]Hugst!$R$4:$W$4,0))))</f>
        <v>0</v>
      </c>
      <c r="AE256">
        <f>IF($C256-AE$1&lt;År1,0,AD255*(1-VLOOKUP($A256,[1]Hugst!$R$5:$W$9,MATCH(ROUNDUP((AE$1)/10,0)*10,[1]Hugst!$R$4:$W$4,0))))</f>
        <v>0</v>
      </c>
      <c r="AF256">
        <f>IF($C256-AF$1&lt;År1,0,AE255*(1-VLOOKUP($A256,[1]Hugst!$R$5:$W$9,MATCH(ROUNDUP((AF$1)/10,0)*10,[1]Hugst!$R$4:$W$4,0))))</f>
        <v>0</v>
      </c>
      <c r="AG256">
        <f>IF($C256-AG$1&lt;År1,0,AF255*(1-VLOOKUP($A256,[1]Hugst!$R$5:$W$9,MATCH(ROUNDUP((AG$1)/10,0)*10,[1]Hugst!$R$4:$W$4,0))))</f>
        <v>0</v>
      </c>
      <c r="AH256">
        <f>IF($C256-AH$1&lt;År1,0,AG255*(1-VLOOKUP($A256,[1]Hugst!$R$5:$W$9,MATCH(ROUNDUP((AH$1)/10,0)*10,[1]Hugst!$R$4:$W$4,0))))</f>
        <v>0</v>
      </c>
      <c r="AI256">
        <f>IF($C256-AI$1&lt;År1,0,AH255*(1-VLOOKUP($A256,[1]Hugst!$R$5:$W$9,MATCH(ROUNDUP((AI$1)/10,0)*10,[1]Hugst!$R$4:$W$4,0))))</f>
        <v>0</v>
      </c>
      <c r="AJ256">
        <f>IF($C256-AJ$1&lt;År1,0,AI255*(1-VLOOKUP($A256,[1]Hugst!$R$5:$W$9,MATCH(ROUNDUP((AJ$1)/10,0)*10,[1]Hugst!$R$4:$W$4,0))))</f>
        <v>0</v>
      </c>
    </row>
    <row r="257" spans="1:36" x14ac:dyDescent="0.25">
      <c r="A257" t="s">
        <v>180</v>
      </c>
      <c r="B257" t="s">
        <v>23</v>
      </c>
      <c r="C257">
        <v>2027</v>
      </c>
      <c r="D257" cm="1">
        <f t="array" ref="D257">(IF(B257="Vestdanmark",Skovbrug!$C$22-(Skovbrug!$C$22)*(1-Skovbrug!$C$9)^(C257-Skovbrug!$B$12),Skovbrug!$F$22-(Skovbrug!$F$22)*(1-Skovbrug!$C$9)^(C257-Skovbrug!$B$12)))*VLOOKUP(A257,Skovbrug!$A$13:$D$17,IF('Skovbrug-alder'!C257&lt;=År2,3,4),FALSE)
-IF(C257&gt;2020,SUM(INDEX($C$1:$D$311,MATCH(1,(2020=$C$1:$C$311)*(B257=$B$1:$B$311)*(A257=$A$1:$A$311),0),2):D256),0)</f>
        <v>0</v>
      </c>
      <c r="E257">
        <f t="shared" ca="1" si="6"/>
        <v>0</v>
      </c>
      <c r="F257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>
        <f ca="1">IF($C257-G$1&lt;År1,0,F256*(1-VLOOKUP($A257,[1]Hugst!$R$5:$W$9,MATCH(ROUNDUP((G$1)/10,0)*10,[1]Hugst!$R$4:$W$4,0))))</f>
        <v>0</v>
      </c>
      <c r="H257">
        <f ca="1">IF($C257-H$1&lt;År1,0,G256*(1-VLOOKUP($A257,[1]Hugst!$R$5:$W$9,MATCH(ROUNDUP((H$1)/10,0)*10,[1]Hugst!$R$4:$W$4,0))))</f>
        <v>0</v>
      </c>
      <c r="I257">
        <f ca="1">IF($C257-I$1&lt;År1,0,H256*(1-VLOOKUP($A257,[1]Hugst!$R$5:$W$9,MATCH(ROUNDUP((I$1)/10,0)*10,[1]Hugst!$R$4:$W$4,0))))</f>
        <v>0</v>
      </c>
      <c r="J257">
        <f ca="1">IF($C257-J$1&lt;År1,0,I256*(1-VLOOKUP($A257,[1]Hugst!$R$5:$W$9,MATCH(ROUNDUP((J$1)/10,0)*10,[1]Hugst!$R$4:$W$4,0))))</f>
        <v>0</v>
      </c>
      <c r="K257">
        <f ca="1">IF($C257-K$1&lt;År1,0,J256*(1-VLOOKUP($A257,[1]Hugst!$R$5:$W$9,MATCH(ROUNDUP((K$1)/10,0)*10,[1]Hugst!$R$4:$W$4,0))))</f>
        <v>0</v>
      </c>
      <c r="L257">
        <f ca="1">IF($C257-L$1&lt;År1,0,K256*(1-VLOOKUP($A257,[1]Hugst!$R$5:$W$9,MATCH(ROUNDUP((L$1)/10,0)*10,[1]Hugst!$R$4:$W$4,0))))</f>
        <v>0</v>
      </c>
      <c r="M257">
        <f ca="1">IF($C257-M$1&lt;År1,0,L256*(1-VLOOKUP($A257,[1]Hugst!$R$5:$W$9,MATCH(ROUNDUP((M$1)/10,0)*10,[1]Hugst!$R$4:$W$4,0))))</f>
        <v>0</v>
      </c>
      <c r="N257">
        <f>IF($C257-N$1&lt;År1,0,M256*(1-VLOOKUP($A257,[1]Hugst!$R$5:$W$9,MATCH(ROUNDUP((N$1)/10,0)*10,[1]Hugst!$R$4:$W$4,0))))</f>
        <v>0</v>
      </c>
      <c r="O257">
        <f>IF($C257-O$1&lt;År1,0,N256*(1-VLOOKUP($A257,[1]Hugst!$R$5:$W$9,MATCH(ROUNDUP((O$1)/10,0)*10,[1]Hugst!$R$4:$W$4,0))))</f>
        <v>0</v>
      </c>
      <c r="P257">
        <f>IF($C257-P$1&lt;År1,0,O256*(1-VLOOKUP($A257,[1]Hugst!$R$5:$W$9,MATCH(ROUNDUP((P$1)/10,0)*10,[1]Hugst!$R$4:$W$4,0))))</f>
        <v>0</v>
      </c>
      <c r="Q257">
        <f>IF($C257-Q$1&lt;År1,0,P256*(1-VLOOKUP($A257,[1]Hugst!$R$5:$W$9,MATCH(ROUNDUP((Q$1)/10,0)*10,[1]Hugst!$R$4:$W$4,0))))</f>
        <v>0</v>
      </c>
      <c r="R257">
        <f>IF($C257-R$1&lt;År1,0,Q256*(1-VLOOKUP($A257,[1]Hugst!$R$5:$W$9,MATCH(ROUNDUP((R$1)/10,0)*10,[1]Hugst!$R$4:$W$4,0))))</f>
        <v>0</v>
      </c>
      <c r="S257">
        <f>IF($C257-S$1&lt;År1,0,R256*(1-VLOOKUP($A257,[1]Hugst!$R$5:$W$9,MATCH(ROUNDUP((S$1)/10,0)*10,[1]Hugst!$R$4:$W$4,0))))</f>
        <v>0</v>
      </c>
      <c r="T257">
        <f>IF($C257-T$1&lt;År1,0,S256*(1-VLOOKUP($A257,[1]Hugst!$R$5:$W$9,MATCH(ROUNDUP((T$1)/10,0)*10,[1]Hugst!$R$4:$W$4,0))))</f>
        <v>0</v>
      </c>
      <c r="U257">
        <f>IF($C257-U$1&lt;År1,0,T256*(1-VLOOKUP($A257,[1]Hugst!$R$5:$W$9,MATCH(ROUNDUP((U$1)/10,0)*10,[1]Hugst!$R$4:$W$4,0))))</f>
        <v>0</v>
      </c>
      <c r="V257">
        <f>IF($C257-V$1&lt;År1,0,U256*(1-VLOOKUP($A257,[1]Hugst!$R$5:$W$9,MATCH(ROUNDUP((V$1)/10,0)*10,[1]Hugst!$R$4:$W$4,0))))</f>
        <v>0</v>
      </c>
      <c r="W257">
        <f>IF($C257-W$1&lt;År1,0,V256*(1-VLOOKUP($A257,[1]Hugst!$R$5:$W$9,MATCH(ROUNDUP((W$1)/10,0)*10,[1]Hugst!$R$4:$W$4,0))))</f>
        <v>0</v>
      </c>
      <c r="X257">
        <f>IF($C257-X$1&lt;År1,0,W256*(1-VLOOKUP($A257,[1]Hugst!$R$5:$W$9,MATCH(ROUNDUP((X$1)/10,0)*10,[1]Hugst!$R$4:$W$4,0))))</f>
        <v>0</v>
      </c>
      <c r="Y257">
        <f>IF($C257-Y$1&lt;År1,0,X256*(1-VLOOKUP($A257,[1]Hugst!$R$5:$W$9,MATCH(ROUNDUP((Y$1)/10,0)*10,[1]Hugst!$R$4:$W$4,0))))</f>
        <v>0</v>
      </c>
      <c r="Z257">
        <f>IF($C257-Z$1&lt;År1,0,Y256*(1-VLOOKUP($A257,[1]Hugst!$R$5:$W$9,MATCH(ROUNDUP((Z$1)/10,0)*10,[1]Hugst!$R$4:$W$4,0))))</f>
        <v>0</v>
      </c>
      <c r="AA257">
        <f>IF($C257-AA$1&lt;År1,0,Z256*(1-VLOOKUP($A257,[1]Hugst!$R$5:$W$9,MATCH(ROUNDUP((AA$1)/10,0)*10,[1]Hugst!$R$4:$W$4,0))))</f>
        <v>0</v>
      </c>
      <c r="AB257">
        <f>IF($C257-AB$1&lt;År1,0,AA256*(1-VLOOKUP($A257,[1]Hugst!$R$5:$W$9,MATCH(ROUNDUP((AB$1)/10,0)*10,[1]Hugst!$R$4:$W$4,0))))</f>
        <v>0</v>
      </c>
      <c r="AC257">
        <f>IF($C257-AC$1&lt;År1,0,AB256*(1-VLOOKUP($A257,[1]Hugst!$R$5:$W$9,MATCH(ROUNDUP((AC$1)/10,0)*10,[1]Hugst!$R$4:$W$4,0))))</f>
        <v>0</v>
      </c>
      <c r="AD257">
        <f>IF($C257-AD$1&lt;År1,0,AC256*(1-VLOOKUP($A257,[1]Hugst!$R$5:$W$9,MATCH(ROUNDUP((AD$1)/10,0)*10,[1]Hugst!$R$4:$W$4,0))))</f>
        <v>0</v>
      </c>
      <c r="AE257">
        <f>IF($C257-AE$1&lt;År1,0,AD256*(1-VLOOKUP($A257,[1]Hugst!$R$5:$W$9,MATCH(ROUNDUP((AE$1)/10,0)*10,[1]Hugst!$R$4:$W$4,0))))</f>
        <v>0</v>
      </c>
      <c r="AF257">
        <f>IF($C257-AF$1&lt;År1,0,AE256*(1-VLOOKUP($A257,[1]Hugst!$R$5:$W$9,MATCH(ROUNDUP((AF$1)/10,0)*10,[1]Hugst!$R$4:$W$4,0))))</f>
        <v>0</v>
      </c>
      <c r="AG257">
        <f>IF($C257-AG$1&lt;År1,0,AF256*(1-VLOOKUP($A257,[1]Hugst!$R$5:$W$9,MATCH(ROUNDUP((AG$1)/10,0)*10,[1]Hugst!$R$4:$W$4,0))))</f>
        <v>0</v>
      </c>
      <c r="AH257">
        <f>IF($C257-AH$1&lt;År1,0,AG256*(1-VLOOKUP($A257,[1]Hugst!$R$5:$W$9,MATCH(ROUNDUP((AH$1)/10,0)*10,[1]Hugst!$R$4:$W$4,0))))</f>
        <v>0</v>
      </c>
      <c r="AI257">
        <f>IF($C257-AI$1&lt;År1,0,AH256*(1-VLOOKUP($A257,[1]Hugst!$R$5:$W$9,MATCH(ROUNDUP((AI$1)/10,0)*10,[1]Hugst!$R$4:$W$4,0))))</f>
        <v>0</v>
      </c>
      <c r="AJ257">
        <f>IF($C257-AJ$1&lt;År1,0,AI256*(1-VLOOKUP($A257,[1]Hugst!$R$5:$W$9,MATCH(ROUNDUP((AJ$1)/10,0)*10,[1]Hugst!$R$4:$W$4,0))))</f>
        <v>0</v>
      </c>
    </row>
    <row r="258" spans="1:36" x14ac:dyDescent="0.25">
      <c r="A258" t="s">
        <v>180</v>
      </c>
      <c r="B258" t="s">
        <v>23</v>
      </c>
      <c r="C258">
        <v>2028</v>
      </c>
      <c r="D258" cm="1">
        <f t="array" ref="D258">(IF(B258="Vestdanmark",Skovbrug!$C$22-(Skovbrug!$C$22)*(1-Skovbrug!$C$9)^(C258-Skovbrug!$B$12),Skovbrug!$F$22-(Skovbrug!$F$22)*(1-Skovbrug!$C$9)^(C258-Skovbrug!$B$12)))*VLOOKUP(A258,Skovbrug!$A$13:$D$17,IF('Skovbrug-alder'!C258&lt;=År2,3,4),FALSE)
-IF(C258&gt;2020,SUM(INDEX($C$1:$D$311,MATCH(1,(2020=$C$1:$C$311)*(B258=$B$1:$B$311)*(A258=$A$1:$A$311),0),2):D257),0)</f>
        <v>0</v>
      </c>
      <c r="E258">
        <f t="shared" ca="1" si="6"/>
        <v>0</v>
      </c>
      <c r="F25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>
        <f ca="1">IF($C258-G$1&lt;År1,0,F257*(1-VLOOKUP($A258,[1]Hugst!$R$5:$W$9,MATCH(ROUNDUP((G$1)/10,0)*10,[1]Hugst!$R$4:$W$4,0))))</f>
        <v>0</v>
      </c>
      <c r="H258">
        <f ca="1">IF($C258-H$1&lt;År1,0,G257*(1-VLOOKUP($A258,[1]Hugst!$R$5:$W$9,MATCH(ROUNDUP((H$1)/10,0)*10,[1]Hugst!$R$4:$W$4,0))))</f>
        <v>0</v>
      </c>
      <c r="I258">
        <f ca="1">IF($C258-I$1&lt;År1,0,H257*(1-VLOOKUP($A258,[1]Hugst!$R$5:$W$9,MATCH(ROUNDUP((I$1)/10,0)*10,[1]Hugst!$R$4:$W$4,0))))</f>
        <v>0</v>
      </c>
      <c r="J258">
        <f ca="1">IF($C258-J$1&lt;År1,0,I257*(1-VLOOKUP($A258,[1]Hugst!$R$5:$W$9,MATCH(ROUNDUP((J$1)/10,0)*10,[1]Hugst!$R$4:$W$4,0))))</f>
        <v>0</v>
      </c>
      <c r="K258">
        <f ca="1">IF($C258-K$1&lt;År1,0,J257*(1-VLOOKUP($A258,[1]Hugst!$R$5:$W$9,MATCH(ROUNDUP((K$1)/10,0)*10,[1]Hugst!$R$4:$W$4,0))))</f>
        <v>0</v>
      </c>
      <c r="L258">
        <f ca="1">IF($C258-L$1&lt;År1,0,K257*(1-VLOOKUP($A258,[1]Hugst!$R$5:$W$9,MATCH(ROUNDUP((L$1)/10,0)*10,[1]Hugst!$R$4:$W$4,0))))</f>
        <v>0</v>
      </c>
      <c r="M258">
        <f ca="1">IF($C258-M$1&lt;År1,0,L257*(1-VLOOKUP($A258,[1]Hugst!$R$5:$W$9,MATCH(ROUNDUP((M$1)/10,0)*10,[1]Hugst!$R$4:$W$4,0))))</f>
        <v>0</v>
      </c>
      <c r="N258">
        <f ca="1">IF($C258-N$1&lt;År1,0,M257*(1-VLOOKUP($A258,[1]Hugst!$R$5:$W$9,MATCH(ROUNDUP((N$1)/10,0)*10,[1]Hugst!$R$4:$W$4,0))))</f>
        <v>0</v>
      </c>
      <c r="O258">
        <f>IF($C258-O$1&lt;År1,0,N257*(1-VLOOKUP($A258,[1]Hugst!$R$5:$W$9,MATCH(ROUNDUP((O$1)/10,0)*10,[1]Hugst!$R$4:$W$4,0))))</f>
        <v>0</v>
      </c>
      <c r="P258">
        <f>IF($C258-P$1&lt;År1,0,O257*(1-VLOOKUP($A258,[1]Hugst!$R$5:$W$9,MATCH(ROUNDUP((P$1)/10,0)*10,[1]Hugst!$R$4:$W$4,0))))</f>
        <v>0</v>
      </c>
      <c r="Q258">
        <f>IF($C258-Q$1&lt;År1,0,P257*(1-VLOOKUP($A258,[1]Hugst!$R$5:$W$9,MATCH(ROUNDUP((Q$1)/10,0)*10,[1]Hugst!$R$4:$W$4,0))))</f>
        <v>0</v>
      </c>
      <c r="R258">
        <f>IF($C258-R$1&lt;År1,0,Q257*(1-VLOOKUP($A258,[1]Hugst!$R$5:$W$9,MATCH(ROUNDUP((R$1)/10,0)*10,[1]Hugst!$R$4:$W$4,0))))</f>
        <v>0</v>
      </c>
      <c r="S258">
        <f>IF($C258-S$1&lt;År1,0,R257*(1-VLOOKUP($A258,[1]Hugst!$R$5:$W$9,MATCH(ROUNDUP((S$1)/10,0)*10,[1]Hugst!$R$4:$W$4,0))))</f>
        <v>0</v>
      </c>
      <c r="T258">
        <f>IF($C258-T$1&lt;År1,0,S257*(1-VLOOKUP($A258,[1]Hugst!$R$5:$W$9,MATCH(ROUNDUP((T$1)/10,0)*10,[1]Hugst!$R$4:$W$4,0))))</f>
        <v>0</v>
      </c>
      <c r="U258">
        <f>IF($C258-U$1&lt;År1,0,T257*(1-VLOOKUP($A258,[1]Hugst!$R$5:$W$9,MATCH(ROUNDUP((U$1)/10,0)*10,[1]Hugst!$R$4:$W$4,0))))</f>
        <v>0</v>
      </c>
      <c r="V258">
        <f>IF($C258-V$1&lt;År1,0,U257*(1-VLOOKUP($A258,[1]Hugst!$R$5:$W$9,MATCH(ROUNDUP((V$1)/10,0)*10,[1]Hugst!$R$4:$W$4,0))))</f>
        <v>0</v>
      </c>
      <c r="W258">
        <f>IF($C258-W$1&lt;År1,0,V257*(1-VLOOKUP($A258,[1]Hugst!$R$5:$W$9,MATCH(ROUNDUP((W$1)/10,0)*10,[1]Hugst!$R$4:$W$4,0))))</f>
        <v>0</v>
      </c>
      <c r="X258">
        <f>IF($C258-X$1&lt;År1,0,W257*(1-VLOOKUP($A258,[1]Hugst!$R$5:$W$9,MATCH(ROUNDUP((X$1)/10,0)*10,[1]Hugst!$R$4:$W$4,0))))</f>
        <v>0</v>
      </c>
      <c r="Y258">
        <f>IF($C258-Y$1&lt;År1,0,X257*(1-VLOOKUP($A258,[1]Hugst!$R$5:$W$9,MATCH(ROUNDUP((Y$1)/10,0)*10,[1]Hugst!$R$4:$W$4,0))))</f>
        <v>0</v>
      </c>
      <c r="Z258">
        <f>IF($C258-Z$1&lt;År1,0,Y257*(1-VLOOKUP($A258,[1]Hugst!$R$5:$W$9,MATCH(ROUNDUP((Z$1)/10,0)*10,[1]Hugst!$R$4:$W$4,0))))</f>
        <v>0</v>
      </c>
      <c r="AA258">
        <f>IF($C258-AA$1&lt;År1,0,Z257*(1-VLOOKUP($A258,[1]Hugst!$R$5:$W$9,MATCH(ROUNDUP((AA$1)/10,0)*10,[1]Hugst!$R$4:$W$4,0))))</f>
        <v>0</v>
      </c>
      <c r="AB258">
        <f>IF($C258-AB$1&lt;År1,0,AA257*(1-VLOOKUP($A258,[1]Hugst!$R$5:$W$9,MATCH(ROUNDUP((AB$1)/10,0)*10,[1]Hugst!$R$4:$W$4,0))))</f>
        <v>0</v>
      </c>
      <c r="AC258">
        <f>IF($C258-AC$1&lt;År1,0,AB257*(1-VLOOKUP($A258,[1]Hugst!$R$5:$W$9,MATCH(ROUNDUP((AC$1)/10,0)*10,[1]Hugst!$R$4:$W$4,0))))</f>
        <v>0</v>
      </c>
      <c r="AD258">
        <f>IF($C258-AD$1&lt;År1,0,AC257*(1-VLOOKUP($A258,[1]Hugst!$R$5:$W$9,MATCH(ROUNDUP((AD$1)/10,0)*10,[1]Hugst!$R$4:$W$4,0))))</f>
        <v>0</v>
      </c>
      <c r="AE258">
        <f>IF($C258-AE$1&lt;År1,0,AD257*(1-VLOOKUP($A258,[1]Hugst!$R$5:$W$9,MATCH(ROUNDUP((AE$1)/10,0)*10,[1]Hugst!$R$4:$W$4,0))))</f>
        <v>0</v>
      </c>
      <c r="AF258">
        <f>IF($C258-AF$1&lt;År1,0,AE257*(1-VLOOKUP($A258,[1]Hugst!$R$5:$W$9,MATCH(ROUNDUP((AF$1)/10,0)*10,[1]Hugst!$R$4:$W$4,0))))</f>
        <v>0</v>
      </c>
      <c r="AG258">
        <f>IF($C258-AG$1&lt;År1,0,AF257*(1-VLOOKUP($A258,[1]Hugst!$R$5:$W$9,MATCH(ROUNDUP((AG$1)/10,0)*10,[1]Hugst!$R$4:$W$4,0))))</f>
        <v>0</v>
      </c>
      <c r="AH258">
        <f>IF($C258-AH$1&lt;År1,0,AG257*(1-VLOOKUP($A258,[1]Hugst!$R$5:$W$9,MATCH(ROUNDUP((AH$1)/10,0)*10,[1]Hugst!$R$4:$W$4,0))))</f>
        <v>0</v>
      </c>
      <c r="AI258">
        <f>IF($C258-AI$1&lt;År1,0,AH257*(1-VLOOKUP($A258,[1]Hugst!$R$5:$W$9,MATCH(ROUNDUP((AI$1)/10,0)*10,[1]Hugst!$R$4:$W$4,0))))</f>
        <v>0</v>
      </c>
      <c r="AJ258">
        <f>IF($C258-AJ$1&lt;År1,0,AI257*(1-VLOOKUP($A258,[1]Hugst!$R$5:$W$9,MATCH(ROUNDUP((AJ$1)/10,0)*10,[1]Hugst!$R$4:$W$4,0))))</f>
        <v>0</v>
      </c>
    </row>
    <row r="259" spans="1:36" x14ac:dyDescent="0.25">
      <c r="A259" t="s">
        <v>180</v>
      </c>
      <c r="B259" t="s">
        <v>23</v>
      </c>
      <c r="C259">
        <v>2029</v>
      </c>
      <c r="D259" cm="1">
        <f t="array" ref="D259">(IF(B259="Vestdanmark",Skovbrug!$C$22-(Skovbrug!$C$22)*(1-Skovbrug!$C$9)^(C259-Skovbrug!$B$12),Skovbrug!$F$22-(Skovbrug!$F$22)*(1-Skovbrug!$C$9)^(C259-Skovbrug!$B$12)))*VLOOKUP(A259,Skovbrug!$A$13:$D$17,IF('Skovbrug-alder'!C259&lt;=År2,3,4),FALSE)
-IF(C259&gt;2020,SUM(INDEX($C$1:$D$311,MATCH(1,(2020=$C$1:$C$311)*(B259=$B$1:$B$311)*(A259=$A$1:$A$311),0),2):D258),0)</f>
        <v>0</v>
      </c>
      <c r="E259">
        <f t="shared" ca="1" si="6"/>
        <v>0</v>
      </c>
      <c r="F259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>
        <f ca="1">IF($C259-G$1&lt;År1,0,F258*(1-VLOOKUP($A259,[1]Hugst!$R$5:$W$9,MATCH(ROUNDUP((G$1)/10,0)*10,[1]Hugst!$R$4:$W$4,0))))</f>
        <v>0</v>
      </c>
      <c r="H259">
        <f ca="1">IF($C259-H$1&lt;År1,0,G258*(1-VLOOKUP($A259,[1]Hugst!$R$5:$W$9,MATCH(ROUNDUP((H$1)/10,0)*10,[1]Hugst!$R$4:$W$4,0))))</f>
        <v>0</v>
      </c>
      <c r="I259">
        <f ca="1">IF($C259-I$1&lt;År1,0,H258*(1-VLOOKUP($A259,[1]Hugst!$R$5:$W$9,MATCH(ROUNDUP((I$1)/10,0)*10,[1]Hugst!$R$4:$W$4,0))))</f>
        <v>0</v>
      </c>
      <c r="J259">
        <f ca="1">IF($C259-J$1&lt;År1,0,I258*(1-VLOOKUP($A259,[1]Hugst!$R$5:$W$9,MATCH(ROUNDUP((J$1)/10,0)*10,[1]Hugst!$R$4:$W$4,0))))</f>
        <v>0</v>
      </c>
      <c r="K259">
        <f ca="1">IF($C259-K$1&lt;År1,0,J258*(1-VLOOKUP($A259,[1]Hugst!$R$5:$W$9,MATCH(ROUNDUP((K$1)/10,0)*10,[1]Hugst!$R$4:$W$4,0))))</f>
        <v>0</v>
      </c>
      <c r="L259">
        <f ca="1">IF($C259-L$1&lt;År1,0,K258*(1-VLOOKUP($A259,[1]Hugst!$R$5:$W$9,MATCH(ROUNDUP((L$1)/10,0)*10,[1]Hugst!$R$4:$W$4,0))))</f>
        <v>0</v>
      </c>
      <c r="M259">
        <f ca="1">IF($C259-M$1&lt;År1,0,L258*(1-VLOOKUP($A259,[1]Hugst!$R$5:$W$9,MATCH(ROUNDUP((M$1)/10,0)*10,[1]Hugst!$R$4:$W$4,0))))</f>
        <v>0</v>
      </c>
      <c r="N259">
        <f ca="1">IF($C259-N$1&lt;År1,0,M258*(1-VLOOKUP($A259,[1]Hugst!$R$5:$W$9,MATCH(ROUNDUP((N$1)/10,0)*10,[1]Hugst!$R$4:$W$4,0))))</f>
        <v>0</v>
      </c>
      <c r="O259">
        <f ca="1">IF($C259-O$1&lt;År1,0,N258*(1-VLOOKUP($A259,[1]Hugst!$R$5:$W$9,MATCH(ROUNDUP((O$1)/10,0)*10,[1]Hugst!$R$4:$W$4,0))))</f>
        <v>0</v>
      </c>
      <c r="P259">
        <f>IF($C259-P$1&lt;År1,0,O258*(1-VLOOKUP($A259,[1]Hugst!$R$5:$W$9,MATCH(ROUNDUP((P$1)/10,0)*10,[1]Hugst!$R$4:$W$4,0))))</f>
        <v>0</v>
      </c>
      <c r="Q259">
        <f>IF($C259-Q$1&lt;År1,0,P258*(1-VLOOKUP($A259,[1]Hugst!$R$5:$W$9,MATCH(ROUNDUP((Q$1)/10,0)*10,[1]Hugst!$R$4:$W$4,0))))</f>
        <v>0</v>
      </c>
      <c r="R259">
        <f>IF($C259-R$1&lt;År1,0,Q258*(1-VLOOKUP($A259,[1]Hugst!$R$5:$W$9,MATCH(ROUNDUP((R$1)/10,0)*10,[1]Hugst!$R$4:$W$4,0))))</f>
        <v>0</v>
      </c>
      <c r="S259">
        <f>IF($C259-S$1&lt;År1,0,R258*(1-VLOOKUP($A259,[1]Hugst!$R$5:$W$9,MATCH(ROUNDUP((S$1)/10,0)*10,[1]Hugst!$R$4:$W$4,0))))</f>
        <v>0</v>
      </c>
      <c r="T259">
        <f>IF($C259-T$1&lt;År1,0,S258*(1-VLOOKUP($A259,[1]Hugst!$R$5:$W$9,MATCH(ROUNDUP((T$1)/10,0)*10,[1]Hugst!$R$4:$W$4,0))))</f>
        <v>0</v>
      </c>
      <c r="U259">
        <f>IF($C259-U$1&lt;År1,0,T258*(1-VLOOKUP($A259,[1]Hugst!$R$5:$W$9,MATCH(ROUNDUP((U$1)/10,0)*10,[1]Hugst!$R$4:$W$4,0))))</f>
        <v>0</v>
      </c>
      <c r="V259">
        <f>IF($C259-V$1&lt;År1,0,U258*(1-VLOOKUP($A259,[1]Hugst!$R$5:$W$9,MATCH(ROUNDUP((V$1)/10,0)*10,[1]Hugst!$R$4:$W$4,0))))</f>
        <v>0</v>
      </c>
      <c r="W259">
        <f>IF($C259-W$1&lt;År1,0,V258*(1-VLOOKUP($A259,[1]Hugst!$R$5:$W$9,MATCH(ROUNDUP((W$1)/10,0)*10,[1]Hugst!$R$4:$W$4,0))))</f>
        <v>0</v>
      </c>
      <c r="X259">
        <f>IF($C259-X$1&lt;År1,0,W258*(1-VLOOKUP($A259,[1]Hugst!$R$5:$W$9,MATCH(ROUNDUP((X$1)/10,0)*10,[1]Hugst!$R$4:$W$4,0))))</f>
        <v>0</v>
      </c>
      <c r="Y259">
        <f>IF($C259-Y$1&lt;År1,0,X258*(1-VLOOKUP($A259,[1]Hugst!$R$5:$W$9,MATCH(ROUNDUP((Y$1)/10,0)*10,[1]Hugst!$R$4:$W$4,0))))</f>
        <v>0</v>
      </c>
      <c r="Z259">
        <f>IF($C259-Z$1&lt;År1,0,Y258*(1-VLOOKUP($A259,[1]Hugst!$R$5:$W$9,MATCH(ROUNDUP((Z$1)/10,0)*10,[1]Hugst!$R$4:$W$4,0))))</f>
        <v>0</v>
      </c>
      <c r="AA259">
        <f>IF($C259-AA$1&lt;År1,0,Z258*(1-VLOOKUP($A259,[1]Hugst!$R$5:$W$9,MATCH(ROUNDUP((AA$1)/10,0)*10,[1]Hugst!$R$4:$W$4,0))))</f>
        <v>0</v>
      </c>
      <c r="AB259">
        <f>IF($C259-AB$1&lt;År1,0,AA258*(1-VLOOKUP($A259,[1]Hugst!$R$5:$W$9,MATCH(ROUNDUP((AB$1)/10,0)*10,[1]Hugst!$R$4:$W$4,0))))</f>
        <v>0</v>
      </c>
      <c r="AC259">
        <f>IF($C259-AC$1&lt;År1,0,AB258*(1-VLOOKUP($A259,[1]Hugst!$R$5:$W$9,MATCH(ROUNDUP((AC$1)/10,0)*10,[1]Hugst!$R$4:$W$4,0))))</f>
        <v>0</v>
      </c>
      <c r="AD259">
        <f>IF($C259-AD$1&lt;År1,0,AC258*(1-VLOOKUP($A259,[1]Hugst!$R$5:$W$9,MATCH(ROUNDUP((AD$1)/10,0)*10,[1]Hugst!$R$4:$W$4,0))))</f>
        <v>0</v>
      </c>
      <c r="AE259">
        <f>IF($C259-AE$1&lt;År1,0,AD258*(1-VLOOKUP($A259,[1]Hugst!$R$5:$W$9,MATCH(ROUNDUP((AE$1)/10,0)*10,[1]Hugst!$R$4:$W$4,0))))</f>
        <v>0</v>
      </c>
      <c r="AF259">
        <f>IF($C259-AF$1&lt;År1,0,AE258*(1-VLOOKUP($A259,[1]Hugst!$R$5:$W$9,MATCH(ROUNDUP((AF$1)/10,0)*10,[1]Hugst!$R$4:$W$4,0))))</f>
        <v>0</v>
      </c>
      <c r="AG259">
        <f>IF($C259-AG$1&lt;År1,0,AF258*(1-VLOOKUP($A259,[1]Hugst!$R$5:$W$9,MATCH(ROUNDUP((AG$1)/10,0)*10,[1]Hugst!$R$4:$W$4,0))))</f>
        <v>0</v>
      </c>
      <c r="AH259">
        <f>IF($C259-AH$1&lt;År1,0,AG258*(1-VLOOKUP($A259,[1]Hugst!$R$5:$W$9,MATCH(ROUNDUP((AH$1)/10,0)*10,[1]Hugst!$R$4:$W$4,0))))</f>
        <v>0</v>
      </c>
      <c r="AI259">
        <f>IF($C259-AI$1&lt;År1,0,AH258*(1-VLOOKUP($A259,[1]Hugst!$R$5:$W$9,MATCH(ROUNDUP((AI$1)/10,0)*10,[1]Hugst!$R$4:$W$4,0))))</f>
        <v>0</v>
      </c>
      <c r="AJ259">
        <f>IF($C259-AJ$1&lt;År1,0,AI258*(1-VLOOKUP($A259,[1]Hugst!$R$5:$W$9,MATCH(ROUNDUP((AJ$1)/10,0)*10,[1]Hugst!$R$4:$W$4,0))))</f>
        <v>0</v>
      </c>
    </row>
    <row r="260" spans="1:36" x14ac:dyDescent="0.25">
      <c r="A260" t="s">
        <v>180</v>
      </c>
      <c r="B260" t="s">
        <v>23</v>
      </c>
      <c r="C260">
        <v>2030</v>
      </c>
      <c r="D260" cm="1">
        <f t="array" ref="D260">(IF(B260="Vestdanmark",Skovbrug!$C$22-(Skovbrug!$C$22)*(1-Skovbrug!$C$9)^(C260-Skovbrug!$B$12),Skovbrug!$F$22-(Skovbrug!$F$22)*(1-Skovbrug!$C$9)^(C260-Skovbrug!$B$12)))*VLOOKUP(A260,Skovbrug!$A$13:$D$17,IF('Skovbrug-alder'!C260&lt;=År2,3,4),FALSE)
-IF(C260&gt;2020,SUM(INDEX($C$1:$D$311,MATCH(1,(2020=$C$1:$C$311)*(B260=$B$1:$B$311)*(A260=$A$1:$A$311),0),2):D259),0)</f>
        <v>0</v>
      </c>
      <c r="E260">
        <f t="shared" ca="1" si="6"/>
        <v>0</v>
      </c>
      <c r="F260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>
        <f ca="1">IF($C260-G$1&lt;År1,0,F259*(1-VLOOKUP($A260,[1]Hugst!$R$5:$W$9,MATCH(ROUNDUP((G$1)/10,0)*10,[1]Hugst!$R$4:$W$4,0))))</f>
        <v>0</v>
      </c>
      <c r="H260">
        <f ca="1">IF($C260-H$1&lt;År1,0,G259*(1-VLOOKUP($A260,[1]Hugst!$R$5:$W$9,MATCH(ROUNDUP((H$1)/10,0)*10,[1]Hugst!$R$4:$W$4,0))))</f>
        <v>0</v>
      </c>
      <c r="I260">
        <f ca="1">IF($C260-I$1&lt;År1,0,H259*(1-VLOOKUP($A260,[1]Hugst!$R$5:$W$9,MATCH(ROUNDUP((I$1)/10,0)*10,[1]Hugst!$R$4:$W$4,0))))</f>
        <v>0</v>
      </c>
      <c r="J260">
        <f ca="1">IF($C260-J$1&lt;År1,0,I259*(1-VLOOKUP($A260,[1]Hugst!$R$5:$W$9,MATCH(ROUNDUP((J$1)/10,0)*10,[1]Hugst!$R$4:$W$4,0))))</f>
        <v>0</v>
      </c>
      <c r="K260">
        <f ca="1">IF($C260-K$1&lt;År1,0,J259*(1-VLOOKUP($A260,[1]Hugst!$R$5:$W$9,MATCH(ROUNDUP((K$1)/10,0)*10,[1]Hugst!$R$4:$W$4,0))))</f>
        <v>0</v>
      </c>
      <c r="L260">
        <f ca="1">IF($C260-L$1&lt;År1,0,K259*(1-VLOOKUP($A260,[1]Hugst!$R$5:$W$9,MATCH(ROUNDUP((L$1)/10,0)*10,[1]Hugst!$R$4:$W$4,0))))</f>
        <v>0</v>
      </c>
      <c r="M260">
        <f ca="1">IF($C260-M$1&lt;År1,0,L259*(1-VLOOKUP($A260,[1]Hugst!$R$5:$W$9,MATCH(ROUNDUP((M$1)/10,0)*10,[1]Hugst!$R$4:$W$4,0))))</f>
        <v>0</v>
      </c>
      <c r="N260">
        <f ca="1">IF($C260-N$1&lt;År1,0,M259*(1-VLOOKUP($A260,[1]Hugst!$R$5:$W$9,MATCH(ROUNDUP((N$1)/10,0)*10,[1]Hugst!$R$4:$W$4,0))))</f>
        <v>0</v>
      </c>
      <c r="O260">
        <f ca="1">IF($C260-O$1&lt;År1,0,N259*(1-VLOOKUP($A260,[1]Hugst!$R$5:$W$9,MATCH(ROUNDUP((O$1)/10,0)*10,[1]Hugst!$R$4:$W$4,0))))</f>
        <v>0</v>
      </c>
      <c r="P260">
        <f ca="1">IF($C260-P$1&lt;År1,0,O259*(1-VLOOKUP($A260,[1]Hugst!$R$5:$W$9,MATCH(ROUNDUP((P$1)/10,0)*10,[1]Hugst!$R$4:$W$4,0))))</f>
        <v>0</v>
      </c>
      <c r="Q260">
        <f>IF($C260-Q$1&lt;År1,0,P259*(1-VLOOKUP($A260,[1]Hugst!$R$5:$W$9,MATCH(ROUNDUP((Q$1)/10,0)*10,[1]Hugst!$R$4:$W$4,0))))</f>
        <v>0</v>
      </c>
      <c r="R260">
        <f>IF($C260-R$1&lt;År1,0,Q259*(1-VLOOKUP($A260,[1]Hugst!$R$5:$W$9,MATCH(ROUNDUP((R$1)/10,0)*10,[1]Hugst!$R$4:$W$4,0))))</f>
        <v>0</v>
      </c>
      <c r="S260">
        <f>IF($C260-S$1&lt;År1,0,R259*(1-VLOOKUP($A260,[1]Hugst!$R$5:$W$9,MATCH(ROUNDUP((S$1)/10,0)*10,[1]Hugst!$R$4:$W$4,0))))</f>
        <v>0</v>
      </c>
      <c r="T260">
        <f>IF($C260-T$1&lt;År1,0,S259*(1-VLOOKUP($A260,[1]Hugst!$R$5:$W$9,MATCH(ROUNDUP((T$1)/10,0)*10,[1]Hugst!$R$4:$W$4,0))))</f>
        <v>0</v>
      </c>
      <c r="U260">
        <f>IF($C260-U$1&lt;År1,0,T259*(1-VLOOKUP($A260,[1]Hugst!$R$5:$W$9,MATCH(ROUNDUP((U$1)/10,0)*10,[1]Hugst!$R$4:$W$4,0))))</f>
        <v>0</v>
      </c>
      <c r="V260">
        <f>IF($C260-V$1&lt;År1,0,U259*(1-VLOOKUP($A260,[1]Hugst!$R$5:$W$9,MATCH(ROUNDUP((V$1)/10,0)*10,[1]Hugst!$R$4:$W$4,0))))</f>
        <v>0</v>
      </c>
      <c r="W260">
        <f>IF($C260-W$1&lt;År1,0,V259*(1-VLOOKUP($A260,[1]Hugst!$R$5:$W$9,MATCH(ROUNDUP((W$1)/10,0)*10,[1]Hugst!$R$4:$W$4,0))))</f>
        <v>0</v>
      </c>
      <c r="X260">
        <f>IF($C260-X$1&lt;År1,0,W259*(1-VLOOKUP($A260,[1]Hugst!$R$5:$W$9,MATCH(ROUNDUP((X$1)/10,0)*10,[1]Hugst!$R$4:$W$4,0))))</f>
        <v>0</v>
      </c>
      <c r="Y260">
        <f>IF($C260-Y$1&lt;År1,0,X259*(1-VLOOKUP($A260,[1]Hugst!$R$5:$W$9,MATCH(ROUNDUP((Y$1)/10,0)*10,[1]Hugst!$R$4:$W$4,0))))</f>
        <v>0</v>
      </c>
      <c r="Z260">
        <f>IF($C260-Z$1&lt;År1,0,Y259*(1-VLOOKUP($A260,[1]Hugst!$R$5:$W$9,MATCH(ROUNDUP((Z$1)/10,0)*10,[1]Hugst!$R$4:$W$4,0))))</f>
        <v>0</v>
      </c>
      <c r="AA260">
        <f>IF($C260-AA$1&lt;År1,0,Z259*(1-VLOOKUP($A260,[1]Hugst!$R$5:$W$9,MATCH(ROUNDUP((AA$1)/10,0)*10,[1]Hugst!$R$4:$W$4,0))))</f>
        <v>0</v>
      </c>
      <c r="AB260">
        <f>IF($C260-AB$1&lt;År1,0,AA259*(1-VLOOKUP($A260,[1]Hugst!$R$5:$W$9,MATCH(ROUNDUP((AB$1)/10,0)*10,[1]Hugst!$R$4:$W$4,0))))</f>
        <v>0</v>
      </c>
      <c r="AC260">
        <f>IF($C260-AC$1&lt;År1,0,AB259*(1-VLOOKUP($A260,[1]Hugst!$R$5:$W$9,MATCH(ROUNDUP((AC$1)/10,0)*10,[1]Hugst!$R$4:$W$4,0))))</f>
        <v>0</v>
      </c>
      <c r="AD260">
        <f>IF($C260-AD$1&lt;År1,0,AC259*(1-VLOOKUP($A260,[1]Hugst!$R$5:$W$9,MATCH(ROUNDUP((AD$1)/10,0)*10,[1]Hugst!$R$4:$W$4,0))))</f>
        <v>0</v>
      </c>
      <c r="AE260">
        <f>IF($C260-AE$1&lt;År1,0,AD259*(1-VLOOKUP($A260,[1]Hugst!$R$5:$W$9,MATCH(ROUNDUP((AE$1)/10,0)*10,[1]Hugst!$R$4:$W$4,0))))</f>
        <v>0</v>
      </c>
      <c r="AF260">
        <f>IF($C260-AF$1&lt;År1,0,AE259*(1-VLOOKUP($A260,[1]Hugst!$R$5:$W$9,MATCH(ROUNDUP((AF$1)/10,0)*10,[1]Hugst!$R$4:$W$4,0))))</f>
        <v>0</v>
      </c>
      <c r="AG260">
        <f>IF($C260-AG$1&lt;År1,0,AF259*(1-VLOOKUP($A260,[1]Hugst!$R$5:$W$9,MATCH(ROUNDUP((AG$1)/10,0)*10,[1]Hugst!$R$4:$W$4,0))))</f>
        <v>0</v>
      </c>
      <c r="AH260">
        <f>IF($C260-AH$1&lt;År1,0,AG259*(1-VLOOKUP($A260,[1]Hugst!$R$5:$W$9,MATCH(ROUNDUP((AH$1)/10,0)*10,[1]Hugst!$R$4:$W$4,0))))</f>
        <v>0</v>
      </c>
      <c r="AI260">
        <f>IF($C260-AI$1&lt;År1,0,AH259*(1-VLOOKUP($A260,[1]Hugst!$R$5:$W$9,MATCH(ROUNDUP((AI$1)/10,0)*10,[1]Hugst!$R$4:$W$4,0))))</f>
        <v>0</v>
      </c>
      <c r="AJ260">
        <f>IF($C260-AJ$1&lt;År1,0,AI259*(1-VLOOKUP($A260,[1]Hugst!$R$5:$W$9,MATCH(ROUNDUP((AJ$1)/10,0)*10,[1]Hugst!$R$4:$W$4,0))))</f>
        <v>0</v>
      </c>
    </row>
    <row r="261" spans="1:36" x14ac:dyDescent="0.25">
      <c r="A261" t="s">
        <v>180</v>
      </c>
      <c r="B261" t="s">
        <v>23</v>
      </c>
      <c r="C261">
        <v>2031</v>
      </c>
      <c r="D261" cm="1">
        <f t="array" ref="D261">(IF(B261="Vestdanmark",Skovbrug!$C$22-(Skovbrug!$C$22)*(1-Skovbrug!$C$9)^(C261-Skovbrug!$B$12),Skovbrug!$F$22-(Skovbrug!$F$22)*(1-Skovbrug!$C$9)^(C261-Skovbrug!$B$12)))*VLOOKUP(A261,Skovbrug!$A$13:$D$17,IF('Skovbrug-alder'!C261&lt;=År2,3,4),FALSE)
-IF(C261&gt;2020,SUM(INDEX($C$1:$D$311,MATCH(1,(2020=$C$1:$C$311)*(B261=$B$1:$B$311)*(A261=$A$1:$A$311),0),2):D260),0)</f>
        <v>0</v>
      </c>
      <c r="E261">
        <f t="shared" ca="1" si="6"/>
        <v>0</v>
      </c>
      <c r="F261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>
        <f ca="1">IF($C261-G$1&lt;År1,0,F260*(1-VLOOKUP($A261,[1]Hugst!$R$5:$W$9,MATCH(ROUNDUP((G$1)/10,0)*10,[1]Hugst!$R$4:$W$4,0))))</f>
        <v>0</v>
      </c>
      <c r="H261">
        <f ca="1">IF($C261-H$1&lt;År1,0,G260*(1-VLOOKUP($A261,[1]Hugst!$R$5:$W$9,MATCH(ROUNDUP((H$1)/10,0)*10,[1]Hugst!$R$4:$W$4,0))))</f>
        <v>0</v>
      </c>
      <c r="I261">
        <f ca="1">IF($C261-I$1&lt;År1,0,H260*(1-VLOOKUP($A261,[1]Hugst!$R$5:$W$9,MATCH(ROUNDUP((I$1)/10,0)*10,[1]Hugst!$R$4:$W$4,0))))</f>
        <v>0</v>
      </c>
      <c r="J261">
        <f ca="1">IF($C261-J$1&lt;År1,0,I260*(1-VLOOKUP($A261,[1]Hugst!$R$5:$W$9,MATCH(ROUNDUP((J$1)/10,0)*10,[1]Hugst!$R$4:$W$4,0))))</f>
        <v>0</v>
      </c>
      <c r="K261">
        <f ca="1">IF($C261-K$1&lt;År1,0,J260*(1-VLOOKUP($A261,[1]Hugst!$R$5:$W$9,MATCH(ROUNDUP((K$1)/10,0)*10,[1]Hugst!$R$4:$W$4,0))))</f>
        <v>0</v>
      </c>
      <c r="L261">
        <f ca="1">IF($C261-L$1&lt;År1,0,K260*(1-VLOOKUP($A261,[1]Hugst!$R$5:$W$9,MATCH(ROUNDUP((L$1)/10,0)*10,[1]Hugst!$R$4:$W$4,0))))</f>
        <v>0</v>
      </c>
      <c r="M261">
        <f ca="1">IF($C261-M$1&lt;År1,0,L260*(1-VLOOKUP($A261,[1]Hugst!$R$5:$W$9,MATCH(ROUNDUP((M$1)/10,0)*10,[1]Hugst!$R$4:$W$4,0))))</f>
        <v>0</v>
      </c>
      <c r="N261">
        <f ca="1">IF($C261-N$1&lt;År1,0,M260*(1-VLOOKUP($A261,[1]Hugst!$R$5:$W$9,MATCH(ROUNDUP((N$1)/10,0)*10,[1]Hugst!$R$4:$W$4,0))))</f>
        <v>0</v>
      </c>
      <c r="O261">
        <f ca="1">IF($C261-O$1&lt;År1,0,N260*(1-VLOOKUP($A261,[1]Hugst!$R$5:$W$9,MATCH(ROUNDUP((O$1)/10,0)*10,[1]Hugst!$R$4:$W$4,0))))</f>
        <v>0</v>
      </c>
      <c r="P261">
        <f ca="1">IF($C261-P$1&lt;År1,0,O260*(1-VLOOKUP($A261,[1]Hugst!$R$5:$W$9,MATCH(ROUNDUP((P$1)/10,0)*10,[1]Hugst!$R$4:$W$4,0))))</f>
        <v>0</v>
      </c>
      <c r="Q261">
        <f ca="1">IF($C261-Q$1&lt;År1,0,P260*(1-VLOOKUP($A261,[1]Hugst!$R$5:$W$9,MATCH(ROUNDUP((Q$1)/10,0)*10,[1]Hugst!$R$4:$W$4,0))))</f>
        <v>0</v>
      </c>
      <c r="R261">
        <f>IF($C261-R$1&lt;År1,0,Q260*(1-VLOOKUP($A261,[1]Hugst!$R$5:$W$9,MATCH(ROUNDUP((R$1)/10,0)*10,[1]Hugst!$R$4:$W$4,0))))</f>
        <v>0</v>
      </c>
      <c r="S261">
        <f>IF($C261-S$1&lt;År1,0,R260*(1-VLOOKUP($A261,[1]Hugst!$R$5:$W$9,MATCH(ROUNDUP((S$1)/10,0)*10,[1]Hugst!$R$4:$W$4,0))))</f>
        <v>0</v>
      </c>
      <c r="T261">
        <f>IF($C261-T$1&lt;År1,0,S260*(1-VLOOKUP($A261,[1]Hugst!$R$5:$W$9,MATCH(ROUNDUP((T$1)/10,0)*10,[1]Hugst!$R$4:$W$4,0))))</f>
        <v>0</v>
      </c>
      <c r="U261">
        <f>IF($C261-U$1&lt;År1,0,T260*(1-VLOOKUP($A261,[1]Hugst!$R$5:$W$9,MATCH(ROUNDUP((U$1)/10,0)*10,[1]Hugst!$R$4:$W$4,0))))</f>
        <v>0</v>
      </c>
      <c r="V261">
        <f>IF($C261-V$1&lt;År1,0,U260*(1-VLOOKUP($A261,[1]Hugst!$R$5:$W$9,MATCH(ROUNDUP((V$1)/10,0)*10,[1]Hugst!$R$4:$W$4,0))))</f>
        <v>0</v>
      </c>
      <c r="W261">
        <f>IF($C261-W$1&lt;År1,0,V260*(1-VLOOKUP($A261,[1]Hugst!$R$5:$W$9,MATCH(ROUNDUP((W$1)/10,0)*10,[1]Hugst!$R$4:$W$4,0))))</f>
        <v>0</v>
      </c>
      <c r="X261">
        <f>IF($C261-X$1&lt;År1,0,W260*(1-VLOOKUP($A261,[1]Hugst!$R$5:$W$9,MATCH(ROUNDUP((X$1)/10,0)*10,[1]Hugst!$R$4:$W$4,0))))</f>
        <v>0</v>
      </c>
      <c r="Y261">
        <f>IF($C261-Y$1&lt;År1,0,X260*(1-VLOOKUP($A261,[1]Hugst!$R$5:$W$9,MATCH(ROUNDUP((Y$1)/10,0)*10,[1]Hugst!$R$4:$W$4,0))))</f>
        <v>0</v>
      </c>
      <c r="Z261">
        <f>IF($C261-Z$1&lt;År1,0,Y260*(1-VLOOKUP($A261,[1]Hugst!$R$5:$W$9,MATCH(ROUNDUP((Z$1)/10,0)*10,[1]Hugst!$R$4:$W$4,0))))</f>
        <v>0</v>
      </c>
      <c r="AA261">
        <f>IF($C261-AA$1&lt;År1,0,Z260*(1-VLOOKUP($A261,[1]Hugst!$R$5:$W$9,MATCH(ROUNDUP((AA$1)/10,0)*10,[1]Hugst!$R$4:$W$4,0))))</f>
        <v>0</v>
      </c>
      <c r="AB261">
        <f>IF($C261-AB$1&lt;År1,0,AA260*(1-VLOOKUP($A261,[1]Hugst!$R$5:$W$9,MATCH(ROUNDUP((AB$1)/10,0)*10,[1]Hugst!$R$4:$W$4,0))))</f>
        <v>0</v>
      </c>
      <c r="AC261">
        <f>IF($C261-AC$1&lt;År1,0,AB260*(1-VLOOKUP($A261,[1]Hugst!$R$5:$W$9,MATCH(ROUNDUP((AC$1)/10,0)*10,[1]Hugst!$R$4:$W$4,0))))</f>
        <v>0</v>
      </c>
      <c r="AD261">
        <f>IF($C261-AD$1&lt;År1,0,AC260*(1-VLOOKUP($A261,[1]Hugst!$R$5:$W$9,MATCH(ROUNDUP((AD$1)/10,0)*10,[1]Hugst!$R$4:$W$4,0))))</f>
        <v>0</v>
      </c>
      <c r="AE261">
        <f>IF($C261-AE$1&lt;År1,0,AD260*(1-VLOOKUP($A261,[1]Hugst!$R$5:$W$9,MATCH(ROUNDUP((AE$1)/10,0)*10,[1]Hugst!$R$4:$W$4,0))))</f>
        <v>0</v>
      </c>
      <c r="AF261">
        <f>IF($C261-AF$1&lt;År1,0,AE260*(1-VLOOKUP($A261,[1]Hugst!$R$5:$W$9,MATCH(ROUNDUP((AF$1)/10,0)*10,[1]Hugst!$R$4:$W$4,0))))</f>
        <v>0</v>
      </c>
      <c r="AG261">
        <f>IF($C261-AG$1&lt;År1,0,AF260*(1-VLOOKUP($A261,[1]Hugst!$R$5:$W$9,MATCH(ROUNDUP((AG$1)/10,0)*10,[1]Hugst!$R$4:$W$4,0))))</f>
        <v>0</v>
      </c>
      <c r="AH261">
        <f>IF($C261-AH$1&lt;År1,0,AG260*(1-VLOOKUP($A261,[1]Hugst!$R$5:$W$9,MATCH(ROUNDUP((AH$1)/10,0)*10,[1]Hugst!$R$4:$W$4,0))))</f>
        <v>0</v>
      </c>
      <c r="AI261">
        <f>IF($C261-AI$1&lt;År1,0,AH260*(1-VLOOKUP($A261,[1]Hugst!$R$5:$W$9,MATCH(ROUNDUP((AI$1)/10,0)*10,[1]Hugst!$R$4:$W$4,0))))</f>
        <v>0</v>
      </c>
      <c r="AJ261">
        <f>IF($C261-AJ$1&lt;År1,0,AI260*(1-VLOOKUP($A261,[1]Hugst!$R$5:$W$9,MATCH(ROUNDUP((AJ$1)/10,0)*10,[1]Hugst!$R$4:$W$4,0))))</f>
        <v>0</v>
      </c>
    </row>
    <row r="262" spans="1:36" x14ac:dyDescent="0.25">
      <c r="A262" t="s">
        <v>180</v>
      </c>
      <c r="B262" t="s">
        <v>23</v>
      </c>
      <c r="C262">
        <v>2032</v>
      </c>
      <c r="D262" cm="1">
        <f t="array" ref="D262">(IF(B262="Vestdanmark",Skovbrug!$C$22-(Skovbrug!$C$22)*(1-Skovbrug!$C$9)^(C262-Skovbrug!$B$12),Skovbrug!$F$22-(Skovbrug!$F$22)*(1-Skovbrug!$C$9)^(C262-Skovbrug!$B$12)))*VLOOKUP(A262,Skovbrug!$A$13:$D$17,IF('Skovbrug-alder'!C262&lt;=År2,3,4),FALSE)
-IF(C262&gt;2020,SUM(INDEX($C$1:$D$311,MATCH(1,(2020=$C$1:$C$311)*(B262=$B$1:$B$311)*(A262=$A$1:$A$311),0),2):D261),0)</f>
        <v>0</v>
      </c>
      <c r="E262">
        <f t="shared" ca="1" si="6"/>
        <v>0</v>
      </c>
      <c r="F262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>
        <f ca="1">IF($C262-G$1&lt;År1,0,F261*(1-VLOOKUP($A262,[1]Hugst!$R$5:$W$9,MATCH(ROUNDUP((G$1)/10,0)*10,[1]Hugst!$R$4:$W$4,0))))</f>
        <v>0</v>
      </c>
      <c r="H262">
        <f ca="1">IF($C262-H$1&lt;År1,0,G261*(1-VLOOKUP($A262,[1]Hugst!$R$5:$W$9,MATCH(ROUNDUP((H$1)/10,0)*10,[1]Hugst!$R$4:$W$4,0))))</f>
        <v>0</v>
      </c>
      <c r="I262">
        <f ca="1">IF($C262-I$1&lt;År1,0,H261*(1-VLOOKUP($A262,[1]Hugst!$R$5:$W$9,MATCH(ROUNDUP((I$1)/10,0)*10,[1]Hugst!$R$4:$W$4,0))))</f>
        <v>0</v>
      </c>
      <c r="J262">
        <f ca="1">IF($C262-J$1&lt;År1,0,I261*(1-VLOOKUP($A262,[1]Hugst!$R$5:$W$9,MATCH(ROUNDUP((J$1)/10,0)*10,[1]Hugst!$R$4:$W$4,0))))</f>
        <v>0</v>
      </c>
      <c r="K262">
        <f ca="1">IF($C262-K$1&lt;År1,0,J261*(1-VLOOKUP($A262,[1]Hugst!$R$5:$W$9,MATCH(ROUNDUP((K$1)/10,0)*10,[1]Hugst!$R$4:$W$4,0))))</f>
        <v>0</v>
      </c>
      <c r="L262">
        <f ca="1">IF($C262-L$1&lt;År1,0,K261*(1-VLOOKUP($A262,[1]Hugst!$R$5:$W$9,MATCH(ROUNDUP((L$1)/10,0)*10,[1]Hugst!$R$4:$W$4,0))))</f>
        <v>0</v>
      </c>
      <c r="M262">
        <f ca="1">IF($C262-M$1&lt;År1,0,L261*(1-VLOOKUP($A262,[1]Hugst!$R$5:$W$9,MATCH(ROUNDUP((M$1)/10,0)*10,[1]Hugst!$R$4:$W$4,0))))</f>
        <v>0</v>
      </c>
      <c r="N262">
        <f ca="1">IF($C262-N$1&lt;År1,0,M261*(1-VLOOKUP($A262,[1]Hugst!$R$5:$W$9,MATCH(ROUNDUP((N$1)/10,0)*10,[1]Hugst!$R$4:$W$4,0))))</f>
        <v>0</v>
      </c>
      <c r="O262">
        <f ca="1">IF($C262-O$1&lt;År1,0,N261*(1-VLOOKUP($A262,[1]Hugst!$R$5:$W$9,MATCH(ROUNDUP((O$1)/10,0)*10,[1]Hugst!$R$4:$W$4,0))))</f>
        <v>0</v>
      </c>
      <c r="P262">
        <f ca="1">IF($C262-P$1&lt;År1,0,O261*(1-VLOOKUP($A262,[1]Hugst!$R$5:$W$9,MATCH(ROUNDUP((P$1)/10,0)*10,[1]Hugst!$R$4:$W$4,0))))</f>
        <v>0</v>
      </c>
      <c r="Q262">
        <f ca="1">IF($C262-Q$1&lt;År1,0,P261*(1-VLOOKUP($A262,[1]Hugst!$R$5:$W$9,MATCH(ROUNDUP((Q$1)/10,0)*10,[1]Hugst!$R$4:$W$4,0))))</f>
        <v>0</v>
      </c>
      <c r="R262">
        <f ca="1">IF($C262-R$1&lt;År1,0,Q261*(1-VLOOKUP($A262,[1]Hugst!$R$5:$W$9,MATCH(ROUNDUP((R$1)/10,0)*10,[1]Hugst!$R$4:$W$4,0))))</f>
        <v>0</v>
      </c>
      <c r="S262">
        <f>IF($C262-S$1&lt;År1,0,R261*(1-VLOOKUP($A262,[1]Hugst!$R$5:$W$9,MATCH(ROUNDUP((S$1)/10,0)*10,[1]Hugst!$R$4:$W$4,0))))</f>
        <v>0</v>
      </c>
      <c r="T262">
        <f>IF($C262-T$1&lt;År1,0,S261*(1-VLOOKUP($A262,[1]Hugst!$R$5:$W$9,MATCH(ROUNDUP((T$1)/10,0)*10,[1]Hugst!$R$4:$W$4,0))))</f>
        <v>0</v>
      </c>
      <c r="U262">
        <f>IF($C262-U$1&lt;År1,0,T261*(1-VLOOKUP($A262,[1]Hugst!$R$5:$W$9,MATCH(ROUNDUP((U$1)/10,0)*10,[1]Hugst!$R$4:$W$4,0))))</f>
        <v>0</v>
      </c>
      <c r="V262">
        <f>IF($C262-V$1&lt;År1,0,U261*(1-VLOOKUP($A262,[1]Hugst!$R$5:$W$9,MATCH(ROUNDUP((V$1)/10,0)*10,[1]Hugst!$R$4:$W$4,0))))</f>
        <v>0</v>
      </c>
      <c r="W262">
        <f>IF($C262-W$1&lt;År1,0,V261*(1-VLOOKUP($A262,[1]Hugst!$R$5:$W$9,MATCH(ROUNDUP((W$1)/10,0)*10,[1]Hugst!$R$4:$W$4,0))))</f>
        <v>0</v>
      </c>
      <c r="X262">
        <f>IF($C262-X$1&lt;År1,0,W261*(1-VLOOKUP($A262,[1]Hugst!$R$5:$W$9,MATCH(ROUNDUP((X$1)/10,0)*10,[1]Hugst!$R$4:$W$4,0))))</f>
        <v>0</v>
      </c>
      <c r="Y262">
        <f>IF($C262-Y$1&lt;År1,0,X261*(1-VLOOKUP($A262,[1]Hugst!$R$5:$W$9,MATCH(ROUNDUP((Y$1)/10,0)*10,[1]Hugst!$R$4:$W$4,0))))</f>
        <v>0</v>
      </c>
      <c r="Z262">
        <f>IF($C262-Z$1&lt;År1,0,Y261*(1-VLOOKUP($A262,[1]Hugst!$R$5:$W$9,MATCH(ROUNDUP((Z$1)/10,0)*10,[1]Hugst!$R$4:$W$4,0))))</f>
        <v>0</v>
      </c>
      <c r="AA262">
        <f>IF($C262-AA$1&lt;År1,0,Z261*(1-VLOOKUP($A262,[1]Hugst!$R$5:$W$9,MATCH(ROUNDUP((AA$1)/10,0)*10,[1]Hugst!$R$4:$W$4,0))))</f>
        <v>0</v>
      </c>
      <c r="AB262">
        <f>IF($C262-AB$1&lt;År1,0,AA261*(1-VLOOKUP($A262,[1]Hugst!$R$5:$W$9,MATCH(ROUNDUP((AB$1)/10,0)*10,[1]Hugst!$R$4:$W$4,0))))</f>
        <v>0</v>
      </c>
      <c r="AC262">
        <f>IF($C262-AC$1&lt;År1,0,AB261*(1-VLOOKUP($A262,[1]Hugst!$R$5:$W$9,MATCH(ROUNDUP((AC$1)/10,0)*10,[1]Hugst!$R$4:$W$4,0))))</f>
        <v>0</v>
      </c>
      <c r="AD262">
        <f>IF($C262-AD$1&lt;År1,0,AC261*(1-VLOOKUP($A262,[1]Hugst!$R$5:$W$9,MATCH(ROUNDUP((AD$1)/10,0)*10,[1]Hugst!$R$4:$W$4,0))))</f>
        <v>0</v>
      </c>
      <c r="AE262">
        <f>IF($C262-AE$1&lt;År1,0,AD261*(1-VLOOKUP($A262,[1]Hugst!$R$5:$W$9,MATCH(ROUNDUP((AE$1)/10,0)*10,[1]Hugst!$R$4:$W$4,0))))</f>
        <v>0</v>
      </c>
      <c r="AF262">
        <f>IF($C262-AF$1&lt;År1,0,AE261*(1-VLOOKUP($A262,[1]Hugst!$R$5:$W$9,MATCH(ROUNDUP((AF$1)/10,0)*10,[1]Hugst!$R$4:$W$4,0))))</f>
        <v>0</v>
      </c>
      <c r="AG262">
        <f>IF($C262-AG$1&lt;År1,0,AF261*(1-VLOOKUP($A262,[1]Hugst!$R$5:$W$9,MATCH(ROUNDUP((AG$1)/10,0)*10,[1]Hugst!$R$4:$W$4,0))))</f>
        <v>0</v>
      </c>
      <c r="AH262">
        <f>IF($C262-AH$1&lt;År1,0,AG261*(1-VLOOKUP($A262,[1]Hugst!$R$5:$W$9,MATCH(ROUNDUP((AH$1)/10,0)*10,[1]Hugst!$R$4:$W$4,0))))</f>
        <v>0</v>
      </c>
      <c r="AI262">
        <f>IF($C262-AI$1&lt;År1,0,AH261*(1-VLOOKUP($A262,[1]Hugst!$R$5:$W$9,MATCH(ROUNDUP((AI$1)/10,0)*10,[1]Hugst!$R$4:$W$4,0))))</f>
        <v>0</v>
      </c>
      <c r="AJ262">
        <f>IF($C262-AJ$1&lt;År1,0,AI261*(1-VLOOKUP($A262,[1]Hugst!$R$5:$W$9,MATCH(ROUNDUP((AJ$1)/10,0)*10,[1]Hugst!$R$4:$W$4,0))))</f>
        <v>0</v>
      </c>
    </row>
    <row r="263" spans="1:36" x14ac:dyDescent="0.25">
      <c r="A263" t="s">
        <v>180</v>
      </c>
      <c r="B263" t="s">
        <v>23</v>
      </c>
      <c r="C263">
        <v>2033</v>
      </c>
      <c r="D263" cm="1">
        <f t="array" ref="D263">(IF(B263="Vestdanmark",Skovbrug!$C$22-(Skovbrug!$C$22)*(1-Skovbrug!$C$9)^(C263-Skovbrug!$B$12),Skovbrug!$F$22-(Skovbrug!$F$22)*(1-Skovbrug!$C$9)^(C263-Skovbrug!$B$12)))*VLOOKUP(A263,Skovbrug!$A$13:$D$17,IF('Skovbrug-alder'!C263&lt;=År2,3,4),FALSE)
-IF(C263&gt;2020,SUM(INDEX($C$1:$D$311,MATCH(1,(2020=$C$1:$C$311)*(B263=$B$1:$B$311)*(A263=$A$1:$A$311),0),2):D262),0)</f>
        <v>0</v>
      </c>
      <c r="E263">
        <f t="shared" ca="1" si="6"/>
        <v>0</v>
      </c>
      <c r="F263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>
        <f ca="1">IF($C263-G$1&lt;År1,0,F262*(1-VLOOKUP($A263,[1]Hugst!$R$5:$W$9,MATCH(ROUNDUP((G$1)/10,0)*10,[1]Hugst!$R$4:$W$4,0))))</f>
        <v>0</v>
      </c>
      <c r="H263">
        <f ca="1">IF($C263-H$1&lt;År1,0,G262*(1-VLOOKUP($A263,[1]Hugst!$R$5:$W$9,MATCH(ROUNDUP((H$1)/10,0)*10,[1]Hugst!$R$4:$W$4,0))))</f>
        <v>0</v>
      </c>
      <c r="I263">
        <f ca="1">IF($C263-I$1&lt;År1,0,H262*(1-VLOOKUP($A263,[1]Hugst!$R$5:$W$9,MATCH(ROUNDUP((I$1)/10,0)*10,[1]Hugst!$R$4:$W$4,0))))</f>
        <v>0</v>
      </c>
      <c r="J263">
        <f ca="1">IF($C263-J$1&lt;År1,0,I262*(1-VLOOKUP($A263,[1]Hugst!$R$5:$W$9,MATCH(ROUNDUP((J$1)/10,0)*10,[1]Hugst!$R$4:$W$4,0))))</f>
        <v>0</v>
      </c>
      <c r="K263">
        <f ca="1">IF($C263-K$1&lt;År1,0,J262*(1-VLOOKUP($A263,[1]Hugst!$R$5:$W$9,MATCH(ROUNDUP((K$1)/10,0)*10,[1]Hugst!$R$4:$W$4,0))))</f>
        <v>0</v>
      </c>
      <c r="L263">
        <f ca="1">IF($C263-L$1&lt;År1,0,K262*(1-VLOOKUP($A263,[1]Hugst!$R$5:$W$9,MATCH(ROUNDUP((L$1)/10,0)*10,[1]Hugst!$R$4:$W$4,0))))</f>
        <v>0</v>
      </c>
      <c r="M263">
        <f ca="1">IF($C263-M$1&lt;År1,0,L262*(1-VLOOKUP($A263,[1]Hugst!$R$5:$W$9,MATCH(ROUNDUP((M$1)/10,0)*10,[1]Hugst!$R$4:$W$4,0))))</f>
        <v>0</v>
      </c>
      <c r="N263">
        <f ca="1">IF($C263-N$1&lt;År1,0,M262*(1-VLOOKUP($A263,[1]Hugst!$R$5:$W$9,MATCH(ROUNDUP((N$1)/10,0)*10,[1]Hugst!$R$4:$W$4,0))))</f>
        <v>0</v>
      </c>
      <c r="O263">
        <f ca="1">IF($C263-O$1&lt;År1,0,N262*(1-VLOOKUP($A263,[1]Hugst!$R$5:$W$9,MATCH(ROUNDUP((O$1)/10,0)*10,[1]Hugst!$R$4:$W$4,0))))</f>
        <v>0</v>
      </c>
      <c r="P263">
        <f ca="1">IF($C263-P$1&lt;År1,0,O262*(1-VLOOKUP($A263,[1]Hugst!$R$5:$W$9,MATCH(ROUNDUP((P$1)/10,0)*10,[1]Hugst!$R$4:$W$4,0))))</f>
        <v>0</v>
      </c>
      <c r="Q263">
        <f ca="1">IF($C263-Q$1&lt;År1,0,P262*(1-VLOOKUP($A263,[1]Hugst!$R$5:$W$9,MATCH(ROUNDUP((Q$1)/10,0)*10,[1]Hugst!$R$4:$W$4,0))))</f>
        <v>0</v>
      </c>
      <c r="R263">
        <f ca="1">IF($C263-R$1&lt;År1,0,Q262*(1-VLOOKUP($A263,[1]Hugst!$R$5:$W$9,MATCH(ROUNDUP((R$1)/10,0)*10,[1]Hugst!$R$4:$W$4,0))))</f>
        <v>0</v>
      </c>
      <c r="S263">
        <f ca="1">IF($C263-S$1&lt;År1,0,R262*(1-VLOOKUP($A263,[1]Hugst!$R$5:$W$9,MATCH(ROUNDUP((S$1)/10,0)*10,[1]Hugst!$R$4:$W$4,0))))</f>
        <v>0</v>
      </c>
      <c r="T263">
        <f>IF($C263-T$1&lt;År1,0,S262*(1-VLOOKUP($A263,[1]Hugst!$R$5:$W$9,MATCH(ROUNDUP((T$1)/10,0)*10,[1]Hugst!$R$4:$W$4,0))))</f>
        <v>0</v>
      </c>
      <c r="U263">
        <f>IF($C263-U$1&lt;År1,0,T262*(1-VLOOKUP($A263,[1]Hugst!$R$5:$W$9,MATCH(ROUNDUP((U$1)/10,0)*10,[1]Hugst!$R$4:$W$4,0))))</f>
        <v>0</v>
      </c>
      <c r="V263">
        <f>IF($C263-V$1&lt;År1,0,U262*(1-VLOOKUP($A263,[1]Hugst!$R$5:$W$9,MATCH(ROUNDUP((V$1)/10,0)*10,[1]Hugst!$R$4:$W$4,0))))</f>
        <v>0</v>
      </c>
      <c r="W263">
        <f>IF($C263-W$1&lt;År1,0,V262*(1-VLOOKUP($A263,[1]Hugst!$R$5:$W$9,MATCH(ROUNDUP((W$1)/10,0)*10,[1]Hugst!$R$4:$W$4,0))))</f>
        <v>0</v>
      </c>
      <c r="X263">
        <f>IF($C263-X$1&lt;År1,0,W262*(1-VLOOKUP($A263,[1]Hugst!$R$5:$W$9,MATCH(ROUNDUP((X$1)/10,0)*10,[1]Hugst!$R$4:$W$4,0))))</f>
        <v>0</v>
      </c>
      <c r="Y263">
        <f>IF($C263-Y$1&lt;År1,0,X262*(1-VLOOKUP($A263,[1]Hugst!$R$5:$W$9,MATCH(ROUNDUP((Y$1)/10,0)*10,[1]Hugst!$R$4:$W$4,0))))</f>
        <v>0</v>
      </c>
      <c r="Z263">
        <f>IF($C263-Z$1&lt;År1,0,Y262*(1-VLOOKUP($A263,[1]Hugst!$R$5:$W$9,MATCH(ROUNDUP((Z$1)/10,0)*10,[1]Hugst!$R$4:$W$4,0))))</f>
        <v>0</v>
      </c>
      <c r="AA263">
        <f>IF($C263-AA$1&lt;År1,0,Z262*(1-VLOOKUP($A263,[1]Hugst!$R$5:$W$9,MATCH(ROUNDUP((AA$1)/10,0)*10,[1]Hugst!$R$4:$W$4,0))))</f>
        <v>0</v>
      </c>
      <c r="AB263">
        <f>IF($C263-AB$1&lt;År1,0,AA262*(1-VLOOKUP($A263,[1]Hugst!$R$5:$W$9,MATCH(ROUNDUP((AB$1)/10,0)*10,[1]Hugst!$R$4:$W$4,0))))</f>
        <v>0</v>
      </c>
      <c r="AC263">
        <f>IF($C263-AC$1&lt;År1,0,AB262*(1-VLOOKUP($A263,[1]Hugst!$R$5:$W$9,MATCH(ROUNDUP((AC$1)/10,0)*10,[1]Hugst!$R$4:$W$4,0))))</f>
        <v>0</v>
      </c>
      <c r="AD263">
        <f>IF($C263-AD$1&lt;År1,0,AC262*(1-VLOOKUP($A263,[1]Hugst!$R$5:$W$9,MATCH(ROUNDUP((AD$1)/10,0)*10,[1]Hugst!$R$4:$W$4,0))))</f>
        <v>0</v>
      </c>
      <c r="AE263">
        <f>IF($C263-AE$1&lt;År1,0,AD262*(1-VLOOKUP($A263,[1]Hugst!$R$5:$W$9,MATCH(ROUNDUP((AE$1)/10,0)*10,[1]Hugst!$R$4:$W$4,0))))</f>
        <v>0</v>
      </c>
      <c r="AF263">
        <f>IF($C263-AF$1&lt;År1,0,AE262*(1-VLOOKUP($A263,[1]Hugst!$R$5:$W$9,MATCH(ROUNDUP((AF$1)/10,0)*10,[1]Hugst!$R$4:$W$4,0))))</f>
        <v>0</v>
      </c>
      <c r="AG263">
        <f>IF($C263-AG$1&lt;År1,0,AF262*(1-VLOOKUP($A263,[1]Hugst!$R$5:$W$9,MATCH(ROUNDUP((AG$1)/10,0)*10,[1]Hugst!$R$4:$W$4,0))))</f>
        <v>0</v>
      </c>
      <c r="AH263">
        <f>IF($C263-AH$1&lt;År1,0,AG262*(1-VLOOKUP($A263,[1]Hugst!$R$5:$W$9,MATCH(ROUNDUP((AH$1)/10,0)*10,[1]Hugst!$R$4:$W$4,0))))</f>
        <v>0</v>
      </c>
      <c r="AI263">
        <f>IF($C263-AI$1&lt;År1,0,AH262*(1-VLOOKUP($A263,[1]Hugst!$R$5:$W$9,MATCH(ROUNDUP((AI$1)/10,0)*10,[1]Hugst!$R$4:$W$4,0))))</f>
        <v>0</v>
      </c>
      <c r="AJ263">
        <f>IF($C263-AJ$1&lt;År1,0,AI262*(1-VLOOKUP($A263,[1]Hugst!$R$5:$W$9,MATCH(ROUNDUP((AJ$1)/10,0)*10,[1]Hugst!$R$4:$W$4,0))))</f>
        <v>0</v>
      </c>
    </row>
    <row r="264" spans="1:36" x14ac:dyDescent="0.25">
      <c r="A264" t="s">
        <v>180</v>
      </c>
      <c r="B264" t="s">
        <v>23</v>
      </c>
      <c r="C264">
        <v>2034</v>
      </c>
      <c r="D264" cm="1">
        <f t="array" ref="D264">(IF(B264="Vestdanmark",Skovbrug!$C$22-(Skovbrug!$C$22)*(1-Skovbrug!$C$9)^(C264-Skovbrug!$B$12),Skovbrug!$F$22-(Skovbrug!$F$22)*(1-Skovbrug!$C$9)^(C264-Skovbrug!$B$12)))*VLOOKUP(A264,Skovbrug!$A$13:$D$17,IF('Skovbrug-alder'!C264&lt;=År2,3,4),FALSE)
-IF(C264&gt;2020,SUM(INDEX($C$1:$D$311,MATCH(1,(2020=$C$1:$C$311)*(B264=$B$1:$B$311)*(A264=$A$1:$A$311),0),2):D263),0)</f>
        <v>0</v>
      </c>
      <c r="E264">
        <f t="shared" ca="1" si="6"/>
        <v>0</v>
      </c>
      <c r="F264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>
        <f ca="1">IF($C264-G$1&lt;År1,0,F263*(1-VLOOKUP($A264,[1]Hugst!$R$5:$W$9,MATCH(ROUNDUP((G$1)/10,0)*10,[1]Hugst!$R$4:$W$4,0))))</f>
        <v>0</v>
      </c>
      <c r="H264">
        <f ca="1">IF($C264-H$1&lt;År1,0,G263*(1-VLOOKUP($A264,[1]Hugst!$R$5:$W$9,MATCH(ROUNDUP((H$1)/10,0)*10,[1]Hugst!$R$4:$W$4,0))))</f>
        <v>0</v>
      </c>
      <c r="I264">
        <f ca="1">IF($C264-I$1&lt;År1,0,H263*(1-VLOOKUP($A264,[1]Hugst!$R$5:$W$9,MATCH(ROUNDUP((I$1)/10,0)*10,[1]Hugst!$R$4:$W$4,0))))</f>
        <v>0</v>
      </c>
      <c r="J264">
        <f ca="1">IF($C264-J$1&lt;År1,0,I263*(1-VLOOKUP($A264,[1]Hugst!$R$5:$W$9,MATCH(ROUNDUP((J$1)/10,0)*10,[1]Hugst!$R$4:$W$4,0))))</f>
        <v>0</v>
      </c>
      <c r="K264">
        <f ca="1">IF($C264-K$1&lt;År1,0,J263*(1-VLOOKUP($A264,[1]Hugst!$R$5:$W$9,MATCH(ROUNDUP((K$1)/10,0)*10,[1]Hugst!$R$4:$W$4,0))))</f>
        <v>0</v>
      </c>
      <c r="L264">
        <f ca="1">IF($C264-L$1&lt;År1,0,K263*(1-VLOOKUP($A264,[1]Hugst!$R$5:$W$9,MATCH(ROUNDUP((L$1)/10,0)*10,[1]Hugst!$R$4:$W$4,0))))</f>
        <v>0</v>
      </c>
      <c r="M264">
        <f ca="1">IF($C264-M$1&lt;År1,0,L263*(1-VLOOKUP($A264,[1]Hugst!$R$5:$W$9,MATCH(ROUNDUP((M$1)/10,0)*10,[1]Hugst!$R$4:$W$4,0))))</f>
        <v>0</v>
      </c>
      <c r="N264">
        <f ca="1">IF($C264-N$1&lt;År1,0,M263*(1-VLOOKUP($A264,[1]Hugst!$R$5:$W$9,MATCH(ROUNDUP((N$1)/10,0)*10,[1]Hugst!$R$4:$W$4,0))))</f>
        <v>0</v>
      </c>
      <c r="O264">
        <f ca="1">IF($C264-O$1&lt;År1,0,N263*(1-VLOOKUP($A264,[1]Hugst!$R$5:$W$9,MATCH(ROUNDUP((O$1)/10,0)*10,[1]Hugst!$R$4:$W$4,0))))</f>
        <v>0</v>
      </c>
      <c r="P264">
        <f ca="1">IF($C264-P$1&lt;År1,0,O263*(1-VLOOKUP($A264,[1]Hugst!$R$5:$W$9,MATCH(ROUNDUP((P$1)/10,0)*10,[1]Hugst!$R$4:$W$4,0))))</f>
        <v>0</v>
      </c>
      <c r="Q264">
        <f ca="1">IF($C264-Q$1&lt;År1,0,P263*(1-VLOOKUP($A264,[1]Hugst!$R$5:$W$9,MATCH(ROUNDUP((Q$1)/10,0)*10,[1]Hugst!$R$4:$W$4,0))))</f>
        <v>0</v>
      </c>
      <c r="R264">
        <f ca="1">IF($C264-R$1&lt;År1,0,Q263*(1-VLOOKUP($A264,[1]Hugst!$R$5:$W$9,MATCH(ROUNDUP((R$1)/10,0)*10,[1]Hugst!$R$4:$W$4,0))))</f>
        <v>0</v>
      </c>
      <c r="S264">
        <f ca="1">IF($C264-S$1&lt;År1,0,R263*(1-VLOOKUP($A264,[1]Hugst!$R$5:$W$9,MATCH(ROUNDUP((S$1)/10,0)*10,[1]Hugst!$R$4:$W$4,0))))</f>
        <v>0</v>
      </c>
      <c r="T264">
        <f ca="1">IF($C264-T$1&lt;År1,0,S263*(1-VLOOKUP($A264,[1]Hugst!$R$5:$W$9,MATCH(ROUNDUP((T$1)/10,0)*10,[1]Hugst!$R$4:$W$4,0))))</f>
        <v>0</v>
      </c>
      <c r="U264">
        <f>IF($C264-U$1&lt;År1,0,T263*(1-VLOOKUP($A264,[1]Hugst!$R$5:$W$9,MATCH(ROUNDUP((U$1)/10,0)*10,[1]Hugst!$R$4:$W$4,0))))</f>
        <v>0</v>
      </c>
      <c r="V264">
        <f>IF($C264-V$1&lt;År1,0,U263*(1-VLOOKUP($A264,[1]Hugst!$R$5:$W$9,MATCH(ROUNDUP((V$1)/10,0)*10,[1]Hugst!$R$4:$W$4,0))))</f>
        <v>0</v>
      </c>
      <c r="W264">
        <f>IF($C264-W$1&lt;År1,0,V263*(1-VLOOKUP($A264,[1]Hugst!$R$5:$W$9,MATCH(ROUNDUP((W$1)/10,0)*10,[1]Hugst!$R$4:$W$4,0))))</f>
        <v>0</v>
      </c>
      <c r="X264">
        <f>IF($C264-X$1&lt;År1,0,W263*(1-VLOOKUP($A264,[1]Hugst!$R$5:$W$9,MATCH(ROUNDUP((X$1)/10,0)*10,[1]Hugst!$R$4:$W$4,0))))</f>
        <v>0</v>
      </c>
      <c r="Y264">
        <f>IF($C264-Y$1&lt;År1,0,X263*(1-VLOOKUP($A264,[1]Hugst!$R$5:$W$9,MATCH(ROUNDUP((Y$1)/10,0)*10,[1]Hugst!$R$4:$W$4,0))))</f>
        <v>0</v>
      </c>
      <c r="Z264">
        <f>IF($C264-Z$1&lt;År1,0,Y263*(1-VLOOKUP($A264,[1]Hugst!$R$5:$W$9,MATCH(ROUNDUP((Z$1)/10,0)*10,[1]Hugst!$R$4:$W$4,0))))</f>
        <v>0</v>
      </c>
      <c r="AA264">
        <f>IF($C264-AA$1&lt;År1,0,Z263*(1-VLOOKUP($A264,[1]Hugst!$R$5:$W$9,MATCH(ROUNDUP((AA$1)/10,0)*10,[1]Hugst!$R$4:$W$4,0))))</f>
        <v>0</v>
      </c>
      <c r="AB264">
        <f>IF($C264-AB$1&lt;År1,0,AA263*(1-VLOOKUP($A264,[1]Hugst!$R$5:$W$9,MATCH(ROUNDUP((AB$1)/10,0)*10,[1]Hugst!$R$4:$W$4,0))))</f>
        <v>0</v>
      </c>
      <c r="AC264">
        <f>IF($C264-AC$1&lt;År1,0,AB263*(1-VLOOKUP($A264,[1]Hugst!$R$5:$W$9,MATCH(ROUNDUP((AC$1)/10,0)*10,[1]Hugst!$R$4:$W$4,0))))</f>
        <v>0</v>
      </c>
      <c r="AD264">
        <f>IF($C264-AD$1&lt;År1,0,AC263*(1-VLOOKUP($A264,[1]Hugst!$R$5:$W$9,MATCH(ROUNDUP((AD$1)/10,0)*10,[1]Hugst!$R$4:$W$4,0))))</f>
        <v>0</v>
      </c>
      <c r="AE264">
        <f>IF($C264-AE$1&lt;År1,0,AD263*(1-VLOOKUP($A264,[1]Hugst!$R$5:$W$9,MATCH(ROUNDUP((AE$1)/10,0)*10,[1]Hugst!$R$4:$W$4,0))))</f>
        <v>0</v>
      </c>
      <c r="AF264">
        <f>IF($C264-AF$1&lt;År1,0,AE263*(1-VLOOKUP($A264,[1]Hugst!$R$5:$W$9,MATCH(ROUNDUP((AF$1)/10,0)*10,[1]Hugst!$R$4:$W$4,0))))</f>
        <v>0</v>
      </c>
      <c r="AG264">
        <f>IF($C264-AG$1&lt;År1,0,AF263*(1-VLOOKUP($A264,[1]Hugst!$R$5:$W$9,MATCH(ROUNDUP((AG$1)/10,0)*10,[1]Hugst!$R$4:$W$4,0))))</f>
        <v>0</v>
      </c>
      <c r="AH264">
        <f>IF($C264-AH$1&lt;År1,0,AG263*(1-VLOOKUP($A264,[1]Hugst!$R$5:$W$9,MATCH(ROUNDUP((AH$1)/10,0)*10,[1]Hugst!$R$4:$W$4,0))))</f>
        <v>0</v>
      </c>
      <c r="AI264">
        <f>IF($C264-AI$1&lt;År1,0,AH263*(1-VLOOKUP($A264,[1]Hugst!$R$5:$W$9,MATCH(ROUNDUP((AI$1)/10,0)*10,[1]Hugst!$R$4:$W$4,0))))</f>
        <v>0</v>
      </c>
      <c r="AJ264">
        <f>IF($C264-AJ$1&lt;År1,0,AI263*(1-VLOOKUP($A264,[1]Hugst!$R$5:$W$9,MATCH(ROUNDUP((AJ$1)/10,0)*10,[1]Hugst!$R$4:$W$4,0))))</f>
        <v>0</v>
      </c>
    </row>
    <row r="265" spans="1:36" x14ac:dyDescent="0.25">
      <c r="A265" t="s">
        <v>180</v>
      </c>
      <c r="B265" t="s">
        <v>23</v>
      </c>
      <c r="C265">
        <v>2035</v>
      </c>
      <c r="D265" cm="1">
        <f t="array" ref="D265">(IF(B265="Vestdanmark",Skovbrug!$C$22-(Skovbrug!$C$22)*(1-Skovbrug!$C$9)^(C265-Skovbrug!$B$12),Skovbrug!$F$22-(Skovbrug!$F$22)*(1-Skovbrug!$C$9)^(C265-Skovbrug!$B$12)))*VLOOKUP(A265,Skovbrug!$A$13:$D$17,IF('Skovbrug-alder'!C265&lt;=År2,3,4),FALSE)
-IF(C265&gt;2020,SUM(INDEX($C$1:$D$311,MATCH(1,(2020=$C$1:$C$311)*(B265=$B$1:$B$311)*(A265=$A$1:$A$311),0),2):D264),0)</f>
        <v>0</v>
      </c>
      <c r="E265">
        <f t="shared" ca="1" si="6"/>
        <v>0</v>
      </c>
      <c r="F265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>
        <f ca="1">IF($C265-G$1&lt;År1,0,F264*(1-VLOOKUP($A265,[1]Hugst!$R$5:$W$9,MATCH(ROUNDUP((G$1)/10,0)*10,[1]Hugst!$R$4:$W$4,0))))</f>
        <v>0</v>
      </c>
      <c r="H265">
        <f ca="1">IF($C265-H$1&lt;År1,0,G264*(1-VLOOKUP($A265,[1]Hugst!$R$5:$W$9,MATCH(ROUNDUP((H$1)/10,0)*10,[1]Hugst!$R$4:$W$4,0))))</f>
        <v>0</v>
      </c>
      <c r="I265">
        <f ca="1">IF($C265-I$1&lt;År1,0,H264*(1-VLOOKUP($A265,[1]Hugst!$R$5:$W$9,MATCH(ROUNDUP((I$1)/10,0)*10,[1]Hugst!$R$4:$W$4,0))))</f>
        <v>0</v>
      </c>
      <c r="J265">
        <f ca="1">IF($C265-J$1&lt;År1,0,I264*(1-VLOOKUP($A265,[1]Hugst!$R$5:$W$9,MATCH(ROUNDUP((J$1)/10,0)*10,[1]Hugst!$R$4:$W$4,0))))</f>
        <v>0</v>
      </c>
      <c r="K265">
        <f ca="1">IF($C265-K$1&lt;År1,0,J264*(1-VLOOKUP($A265,[1]Hugst!$R$5:$W$9,MATCH(ROUNDUP((K$1)/10,0)*10,[1]Hugst!$R$4:$W$4,0))))</f>
        <v>0</v>
      </c>
      <c r="L265">
        <f ca="1">IF($C265-L$1&lt;År1,0,K264*(1-VLOOKUP($A265,[1]Hugst!$R$5:$W$9,MATCH(ROUNDUP((L$1)/10,0)*10,[1]Hugst!$R$4:$W$4,0))))</f>
        <v>0</v>
      </c>
      <c r="M265">
        <f ca="1">IF($C265-M$1&lt;År1,0,L264*(1-VLOOKUP($A265,[1]Hugst!$R$5:$W$9,MATCH(ROUNDUP((M$1)/10,0)*10,[1]Hugst!$R$4:$W$4,0))))</f>
        <v>0</v>
      </c>
      <c r="N265">
        <f ca="1">IF($C265-N$1&lt;År1,0,M264*(1-VLOOKUP($A265,[1]Hugst!$R$5:$W$9,MATCH(ROUNDUP((N$1)/10,0)*10,[1]Hugst!$R$4:$W$4,0))))</f>
        <v>0</v>
      </c>
      <c r="O265">
        <f ca="1">IF($C265-O$1&lt;År1,0,N264*(1-VLOOKUP($A265,[1]Hugst!$R$5:$W$9,MATCH(ROUNDUP((O$1)/10,0)*10,[1]Hugst!$R$4:$W$4,0))))</f>
        <v>0</v>
      </c>
      <c r="P265">
        <f ca="1">IF($C265-P$1&lt;År1,0,O264*(1-VLOOKUP($A265,[1]Hugst!$R$5:$W$9,MATCH(ROUNDUP((P$1)/10,0)*10,[1]Hugst!$R$4:$W$4,0))))</f>
        <v>0</v>
      </c>
      <c r="Q265">
        <f ca="1">IF($C265-Q$1&lt;År1,0,P264*(1-VLOOKUP($A265,[1]Hugst!$R$5:$W$9,MATCH(ROUNDUP((Q$1)/10,0)*10,[1]Hugst!$R$4:$W$4,0))))</f>
        <v>0</v>
      </c>
      <c r="R265">
        <f ca="1">IF($C265-R$1&lt;År1,0,Q264*(1-VLOOKUP($A265,[1]Hugst!$R$5:$W$9,MATCH(ROUNDUP((R$1)/10,0)*10,[1]Hugst!$R$4:$W$4,0))))</f>
        <v>0</v>
      </c>
      <c r="S265">
        <f ca="1">IF($C265-S$1&lt;År1,0,R264*(1-VLOOKUP($A265,[1]Hugst!$R$5:$W$9,MATCH(ROUNDUP((S$1)/10,0)*10,[1]Hugst!$R$4:$W$4,0))))</f>
        <v>0</v>
      </c>
      <c r="T265">
        <f ca="1">IF($C265-T$1&lt;År1,0,S264*(1-VLOOKUP($A265,[1]Hugst!$R$5:$W$9,MATCH(ROUNDUP((T$1)/10,0)*10,[1]Hugst!$R$4:$W$4,0))))</f>
        <v>0</v>
      </c>
      <c r="U265">
        <f ca="1">IF($C265-U$1&lt;År1,0,T264*(1-VLOOKUP($A265,[1]Hugst!$R$5:$W$9,MATCH(ROUNDUP((U$1)/10,0)*10,[1]Hugst!$R$4:$W$4,0))))</f>
        <v>0</v>
      </c>
      <c r="V265">
        <f>IF($C265-V$1&lt;År1,0,U264*(1-VLOOKUP($A265,[1]Hugst!$R$5:$W$9,MATCH(ROUNDUP((V$1)/10,0)*10,[1]Hugst!$R$4:$W$4,0))))</f>
        <v>0</v>
      </c>
      <c r="W265">
        <f>IF($C265-W$1&lt;År1,0,V264*(1-VLOOKUP($A265,[1]Hugst!$R$5:$W$9,MATCH(ROUNDUP((W$1)/10,0)*10,[1]Hugst!$R$4:$W$4,0))))</f>
        <v>0</v>
      </c>
      <c r="X265">
        <f>IF($C265-X$1&lt;År1,0,W264*(1-VLOOKUP($A265,[1]Hugst!$R$5:$W$9,MATCH(ROUNDUP((X$1)/10,0)*10,[1]Hugst!$R$4:$W$4,0))))</f>
        <v>0</v>
      </c>
      <c r="Y265">
        <f>IF($C265-Y$1&lt;År1,0,X264*(1-VLOOKUP($A265,[1]Hugst!$R$5:$W$9,MATCH(ROUNDUP((Y$1)/10,0)*10,[1]Hugst!$R$4:$W$4,0))))</f>
        <v>0</v>
      </c>
      <c r="Z265">
        <f>IF($C265-Z$1&lt;År1,0,Y264*(1-VLOOKUP($A265,[1]Hugst!$R$5:$W$9,MATCH(ROUNDUP((Z$1)/10,0)*10,[1]Hugst!$R$4:$W$4,0))))</f>
        <v>0</v>
      </c>
      <c r="AA265">
        <f>IF($C265-AA$1&lt;År1,0,Z264*(1-VLOOKUP($A265,[1]Hugst!$R$5:$W$9,MATCH(ROUNDUP((AA$1)/10,0)*10,[1]Hugst!$R$4:$W$4,0))))</f>
        <v>0</v>
      </c>
      <c r="AB265">
        <f>IF($C265-AB$1&lt;År1,0,AA264*(1-VLOOKUP($A265,[1]Hugst!$R$5:$W$9,MATCH(ROUNDUP((AB$1)/10,0)*10,[1]Hugst!$R$4:$W$4,0))))</f>
        <v>0</v>
      </c>
      <c r="AC265">
        <f>IF($C265-AC$1&lt;År1,0,AB264*(1-VLOOKUP($A265,[1]Hugst!$R$5:$W$9,MATCH(ROUNDUP((AC$1)/10,0)*10,[1]Hugst!$R$4:$W$4,0))))</f>
        <v>0</v>
      </c>
      <c r="AD265">
        <f>IF($C265-AD$1&lt;År1,0,AC264*(1-VLOOKUP($A265,[1]Hugst!$R$5:$W$9,MATCH(ROUNDUP((AD$1)/10,0)*10,[1]Hugst!$R$4:$W$4,0))))</f>
        <v>0</v>
      </c>
      <c r="AE265">
        <f>IF($C265-AE$1&lt;År1,0,AD264*(1-VLOOKUP($A265,[1]Hugst!$R$5:$W$9,MATCH(ROUNDUP((AE$1)/10,0)*10,[1]Hugst!$R$4:$W$4,0))))</f>
        <v>0</v>
      </c>
      <c r="AF265">
        <f>IF($C265-AF$1&lt;År1,0,AE264*(1-VLOOKUP($A265,[1]Hugst!$R$5:$W$9,MATCH(ROUNDUP((AF$1)/10,0)*10,[1]Hugst!$R$4:$W$4,0))))</f>
        <v>0</v>
      </c>
      <c r="AG265">
        <f>IF($C265-AG$1&lt;År1,0,AF264*(1-VLOOKUP($A265,[1]Hugst!$R$5:$W$9,MATCH(ROUNDUP((AG$1)/10,0)*10,[1]Hugst!$R$4:$W$4,0))))</f>
        <v>0</v>
      </c>
      <c r="AH265">
        <f>IF($C265-AH$1&lt;År1,0,AG264*(1-VLOOKUP($A265,[1]Hugst!$R$5:$W$9,MATCH(ROUNDUP((AH$1)/10,0)*10,[1]Hugst!$R$4:$W$4,0))))</f>
        <v>0</v>
      </c>
      <c r="AI265">
        <f>IF($C265-AI$1&lt;År1,0,AH264*(1-VLOOKUP($A265,[1]Hugst!$R$5:$W$9,MATCH(ROUNDUP((AI$1)/10,0)*10,[1]Hugst!$R$4:$W$4,0))))</f>
        <v>0</v>
      </c>
      <c r="AJ265">
        <f>IF($C265-AJ$1&lt;År1,0,AI264*(1-VLOOKUP($A265,[1]Hugst!$R$5:$W$9,MATCH(ROUNDUP((AJ$1)/10,0)*10,[1]Hugst!$R$4:$W$4,0))))</f>
        <v>0</v>
      </c>
    </row>
    <row r="266" spans="1:36" x14ac:dyDescent="0.25">
      <c r="A266" t="s">
        <v>180</v>
      </c>
      <c r="B266" t="s">
        <v>23</v>
      </c>
      <c r="C266">
        <v>2036</v>
      </c>
      <c r="D266" cm="1">
        <f t="array" ref="D266">(IF(B266="Vestdanmark",Skovbrug!$C$22-(Skovbrug!$C$22)*(1-Skovbrug!$C$9)^(C266-Skovbrug!$B$12),Skovbrug!$F$22-(Skovbrug!$F$22)*(1-Skovbrug!$C$9)^(C266-Skovbrug!$B$12)))*VLOOKUP(A266,Skovbrug!$A$13:$D$17,IF('Skovbrug-alder'!C266&lt;=År2,3,4),FALSE)
-IF(C266&gt;2020,SUM(INDEX($C$1:$D$311,MATCH(1,(2020=$C$1:$C$311)*(B266=$B$1:$B$311)*(A266=$A$1:$A$311),0),2):D265),0)</f>
        <v>0</v>
      </c>
      <c r="E266">
        <f t="shared" ca="1" si="6"/>
        <v>0</v>
      </c>
      <c r="F266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>
        <f ca="1">IF($C266-G$1&lt;År1,0,F265*(1-VLOOKUP($A266,[1]Hugst!$R$5:$W$9,MATCH(ROUNDUP((G$1)/10,0)*10,[1]Hugst!$R$4:$W$4,0))))</f>
        <v>0</v>
      </c>
      <c r="H266">
        <f ca="1">IF($C266-H$1&lt;År1,0,G265*(1-VLOOKUP($A266,[1]Hugst!$R$5:$W$9,MATCH(ROUNDUP((H$1)/10,0)*10,[1]Hugst!$R$4:$W$4,0))))</f>
        <v>0</v>
      </c>
      <c r="I266">
        <f ca="1">IF($C266-I$1&lt;År1,0,H265*(1-VLOOKUP($A266,[1]Hugst!$R$5:$W$9,MATCH(ROUNDUP((I$1)/10,0)*10,[1]Hugst!$R$4:$W$4,0))))</f>
        <v>0</v>
      </c>
      <c r="J266">
        <f ca="1">IF($C266-J$1&lt;År1,0,I265*(1-VLOOKUP($A266,[1]Hugst!$R$5:$W$9,MATCH(ROUNDUP((J$1)/10,0)*10,[1]Hugst!$R$4:$W$4,0))))</f>
        <v>0</v>
      </c>
      <c r="K266">
        <f ca="1">IF($C266-K$1&lt;År1,0,J265*(1-VLOOKUP($A266,[1]Hugst!$R$5:$W$9,MATCH(ROUNDUP((K$1)/10,0)*10,[1]Hugst!$R$4:$W$4,0))))</f>
        <v>0</v>
      </c>
      <c r="L266">
        <f ca="1">IF($C266-L$1&lt;År1,0,K265*(1-VLOOKUP($A266,[1]Hugst!$R$5:$W$9,MATCH(ROUNDUP((L$1)/10,0)*10,[1]Hugst!$R$4:$W$4,0))))</f>
        <v>0</v>
      </c>
      <c r="M266">
        <f ca="1">IF($C266-M$1&lt;År1,0,L265*(1-VLOOKUP($A266,[1]Hugst!$R$5:$W$9,MATCH(ROUNDUP((M$1)/10,0)*10,[1]Hugst!$R$4:$W$4,0))))</f>
        <v>0</v>
      </c>
      <c r="N266">
        <f ca="1">IF($C266-N$1&lt;År1,0,M265*(1-VLOOKUP($A266,[1]Hugst!$R$5:$W$9,MATCH(ROUNDUP((N$1)/10,0)*10,[1]Hugst!$R$4:$W$4,0))))</f>
        <v>0</v>
      </c>
      <c r="O266">
        <f ca="1">IF($C266-O$1&lt;År1,0,N265*(1-VLOOKUP($A266,[1]Hugst!$R$5:$W$9,MATCH(ROUNDUP((O$1)/10,0)*10,[1]Hugst!$R$4:$W$4,0))))</f>
        <v>0</v>
      </c>
      <c r="P266">
        <f ca="1">IF($C266-P$1&lt;År1,0,O265*(1-VLOOKUP($A266,[1]Hugst!$R$5:$W$9,MATCH(ROUNDUP((P$1)/10,0)*10,[1]Hugst!$R$4:$W$4,0))))</f>
        <v>0</v>
      </c>
      <c r="Q266">
        <f ca="1">IF($C266-Q$1&lt;År1,0,P265*(1-VLOOKUP($A266,[1]Hugst!$R$5:$W$9,MATCH(ROUNDUP((Q$1)/10,0)*10,[1]Hugst!$R$4:$W$4,0))))</f>
        <v>0</v>
      </c>
      <c r="R266">
        <f ca="1">IF($C266-R$1&lt;År1,0,Q265*(1-VLOOKUP($A266,[1]Hugst!$R$5:$W$9,MATCH(ROUNDUP((R$1)/10,0)*10,[1]Hugst!$R$4:$W$4,0))))</f>
        <v>0</v>
      </c>
      <c r="S266">
        <f ca="1">IF($C266-S$1&lt;År1,0,R265*(1-VLOOKUP($A266,[1]Hugst!$R$5:$W$9,MATCH(ROUNDUP((S$1)/10,0)*10,[1]Hugst!$R$4:$W$4,0))))</f>
        <v>0</v>
      </c>
      <c r="T266">
        <f ca="1">IF($C266-T$1&lt;År1,0,S265*(1-VLOOKUP($A266,[1]Hugst!$R$5:$W$9,MATCH(ROUNDUP((T$1)/10,0)*10,[1]Hugst!$R$4:$W$4,0))))</f>
        <v>0</v>
      </c>
      <c r="U266">
        <f ca="1">IF($C266-U$1&lt;År1,0,T265*(1-VLOOKUP($A266,[1]Hugst!$R$5:$W$9,MATCH(ROUNDUP((U$1)/10,0)*10,[1]Hugst!$R$4:$W$4,0))))</f>
        <v>0</v>
      </c>
      <c r="V266">
        <f ca="1">IF($C266-V$1&lt;År1,0,U265*(1-VLOOKUP($A266,[1]Hugst!$R$5:$W$9,MATCH(ROUNDUP((V$1)/10,0)*10,[1]Hugst!$R$4:$W$4,0))))</f>
        <v>0</v>
      </c>
      <c r="W266">
        <f>IF($C266-W$1&lt;År1,0,V265*(1-VLOOKUP($A266,[1]Hugst!$R$5:$W$9,MATCH(ROUNDUP((W$1)/10,0)*10,[1]Hugst!$R$4:$W$4,0))))</f>
        <v>0</v>
      </c>
      <c r="X266">
        <f>IF($C266-X$1&lt;År1,0,W265*(1-VLOOKUP($A266,[1]Hugst!$R$5:$W$9,MATCH(ROUNDUP((X$1)/10,0)*10,[1]Hugst!$R$4:$W$4,0))))</f>
        <v>0</v>
      </c>
      <c r="Y266">
        <f>IF($C266-Y$1&lt;År1,0,X265*(1-VLOOKUP($A266,[1]Hugst!$R$5:$W$9,MATCH(ROUNDUP((Y$1)/10,0)*10,[1]Hugst!$R$4:$W$4,0))))</f>
        <v>0</v>
      </c>
      <c r="Z266">
        <f>IF($C266-Z$1&lt;År1,0,Y265*(1-VLOOKUP($A266,[1]Hugst!$R$5:$W$9,MATCH(ROUNDUP((Z$1)/10,0)*10,[1]Hugst!$R$4:$W$4,0))))</f>
        <v>0</v>
      </c>
      <c r="AA266">
        <f>IF($C266-AA$1&lt;År1,0,Z265*(1-VLOOKUP($A266,[1]Hugst!$R$5:$W$9,MATCH(ROUNDUP((AA$1)/10,0)*10,[1]Hugst!$R$4:$W$4,0))))</f>
        <v>0</v>
      </c>
      <c r="AB266">
        <f>IF($C266-AB$1&lt;År1,0,AA265*(1-VLOOKUP($A266,[1]Hugst!$R$5:$W$9,MATCH(ROUNDUP((AB$1)/10,0)*10,[1]Hugst!$R$4:$W$4,0))))</f>
        <v>0</v>
      </c>
      <c r="AC266">
        <f>IF($C266-AC$1&lt;År1,0,AB265*(1-VLOOKUP($A266,[1]Hugst!$R$5:$W$9,MATCH(ROUNDUP((AC$1)/10,0)*10,[1]Hugst!$R$4:$W$4,0))))</f>
        <v>0</v>
      </c>
      <c r="AD266">
        <f>IF($C266-AD$1&lt;År1,0,AC265*(1-VLOOKUP($A266,[1]Hugst!$R$5:$W$9,MATCH(ROUNDUP((AD$1)/10,0)*10,[1]Hugst!$R$4:$W$4,0))))</f>
        <v>0</v>
      </c>
      <c r="AE266">
        <f>IF($C266-AE$1&lt;År1,0,AD265*(1-VLOOKUP($A266,[1]Hugst!$R$5:$W$9,MATCH(ROUNDUP((AE$1)/10,0)*10,[1]Hugst!$R$4:$W$4,0))))</f>
        <v>0</v>
      </c>
      <c r="AF266">
        <f>IF($C266-AF$1&lt;År1,0,AE265*(1-VLOOKUP($A266,[1]Hugst!$R$5:$W$9,MATCH(ROUNDUP((AF$1)/10,0)*10,[1]Hugst!$R$4:$W$4,0))))</f>
        <v>0</v>
      </c>
      <c r="AG266">
        <f>IF($C266-AG$1&lt;År1,0,AF265*(1-VLOOKUP($A266,[1]Hugst!$R$5:$W$9,MATCH(ROUNDUP((AG$1)/10,0)*10,[1]Hugst!$R$4:$W$4,0))))</f>
        <v>0</v>
      </c>
      <c r="AH266">
        <f>IF($C266-AH$1&lt;År1,0,AG265*(1-VLOOKUP($A266,[1]Hugst!$R$5:$W$9,MATCH(ROUNDUP((AH$1)/10,0)*10,[1]Hugst!$R$4:$W$4,0))))</f>
        <v>0</v>
      </c>
      <c r="AI266">
        <f>IF($C266-AI$1&lt;År1,0,AH265*(1-VLOOKUP($A266,[1]Hugst!$R$5:$W$9,MATCH(ROUNDUP((AI$1)/10,0)*10,[1]Hugst!$R$4:$W$4,0))))</f>
        <v>0</v>
      </c>
      <c r="AJ266">
        <f>IF($C266-AJ$1&lt;År1,0,AI265*(1-VLOOKUP($A266,[1]Hugst!$R$5:$W$9,MATCH(ROUNDUP((AJ$1)/10,0)*10,[1]Hugst!$R$4:$W$4,0))))</f>
        <v>0</v>
      </c>
    </row>
    <row r="267" spans="1:36" x14ac:dyDescent="0.25">
      <c r="A267" t="s">
        <v>180</v>
      </c>
      <c r="B267" t="s">
        <v>23</v>
      </c>
      <c r="C267">
        <v>2037</v>
      </c>
      <c r="D267" cm="1">
        <f t="array" ref="D267">(IF(B267="Vestdanmark",Skovbrug!$C$22-(Skovbrug!$C$22)*(1-Skovbrug!$C$9)^(C267-Skovbrug!$B$12),Skovbrug!$F$22-(Skovbrug!$F$22)*(1-Skovbrug!$C$9)^(C267-Skovbrug!$B$12)))*VLOOKUP(A267,Skovbrug!$A$13:$D$17,IF('Skovbrug-alder'!C267&lt;=År2,3,4),FALSE)
-IF(C267&gt;2020,SUM(INDEX($C$1:$D$311,MATCH(1,(2020=$C$1:$C$311)*(B267=$B$1:$B$311)*(A267=$A$1:$A$311),0),2):D266),0)</f>
        <v>0</v>
      </c>
      <c r="E267">
        <f t="shared" ca="1" si="6"/>
        <v>0</v>
      </c>
      <c r="F267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>
        <f ca="1">IF($C267-G$1&lt;År1,0,F266*(1-VLOOKUP($A267,[1]Hugst!$R$5:$W$9,MATCH(ROUNDUP((G$1)/10,0)*10,[1]Hugst!$R$4:$W$4,0))))</f>
        <v>0</v>
      </c>
      <c r="H267">
        <f ca="1">IF($C267-H$1&lt;År1,0,G266*(1-VLOOKUP($A267,[1]Hugst!$R$5:$W$9,MATCH(ROUNDUP((H$1)/10,0)*10,[1]Hugst!$R$4:$W$4,0))))</f>
        <v>0</v>
      </c>
      <c r="I267">
        <f ca="1">IF($C267-I$1&lt;År1,0,H266*(1-VLOOKUP($A267,[1]Hugst!$R$5:$W$9,MATCH(ROUNDUP((I$1)/10,0)*10,[1]Hugst!$R$4:$W$4,0))))</f>
        <v>0</v>
      </c>
      <c r="J267">
        <f ca="1">IF($C267-J$1&lt;År1,0,I266*(1-VLOOKUP($A267,[1]Hugst!$R$5:$W$9,MATCH(ROUNDUP((J$1)/10,0)*10,[1]Hugst!$R$4:$W$4,0))))</f>
        <v>0</v>
      </c>
      <c r="K267">
        <f ca="1">IF($C267-K$1&lt;År1,0,J266*(1-VLOOKUP($A267,[1]Hugst!$R$5:$W$9,MATCH(ROUNDUP((K$1)/10,0)*10,[1]Hugst!$R$4:$W$4,0))))</f>
        <v>0</v>
      </c>
      <c r="L267">
        <f ca="1">IF($C267-L$1&lt;År1,0,K266*(1-VLOOKUP($A267,[1]Hugst!$R$5:$W$9,MATCH(ROUNDUP((L$1)/10,0)*10,[1]Hugst!$R$4:$W$4,0))))</f>
        <v>0</v>
      </c>
      <c r="M267">
        <f ca="1">IF($C267-M$1&lt;År1,0,L266*(1-VLOOKUP($A267,[1]Hugst!$R$5:$W$9,MATCH(ROUNDUP((M$1)/10,0)*10,[1]Hugst!$R$4:$W$4,0))))</f>
        <v>0</v>
      </c>
      <c r="N267">
        <f ca="1">IF($C267-N$1&lt;År1,0,M266*(1-VLOOKUP($A267,[1]Hugst!$R$5:$W$9,MATCH(ROUNDUP((N$1)/10,0)*10,[1]Hugst!$R$4:$W$4,0))))</f>
        <v>0</v>
      </c>
      <c r="O267">
        <f ca="1">IF($C267-O$1&lt;År1,0,N266*(1-VLOOKUP($A267,[1]Hugst!$R$5:$W$9,MATCH(ROUNDUP((O$1)/10,0)*10,[1]Hugst!$R$4:$W$4,0))))</f>
        <v>0</v>
      </c>
      <c r="P267">
        <f ca="1">IF($C267-P$1&lt;År1,0,O266*(1-VLOOKUP($A267,[1]Hugst!$R$5:$W$9,MATCH(ROUNDUP((P$1)/10,0)*10,[1]Hugst!$R$4:$W$4,0))))</f>
        <v>0</v>
      </c>
      <c r="Q267">
        <f ca="1">IF($C267-Q$1&lt;År1,0,P266*(1-VLOOKUP($A267,[1]Hugst!$R$5:$W$9,MATCH(ROUNDUP((Q$1)/10,0)*10,[1]Hugst!$R$4:$W$4,0))))</f>
        <v>0</v>
      </c>
      <c r="R267">
        <f ca="1">IF($C267-R$1&lt;År1,0,Q266*(1-VLOOKUP($A267,[1]Hugst!$R$5:$W$9,MATCH(ROUNDUP((R$1)/10,0)*10,[1]Hugst!$R$4:$W$4,0))))</f>
        <v>0</v>
      </c>
      <c r="S267">
        <f ca="1">IF($C267-S$1&lt;År1,0,R266*(1-VLOOKUP($A267,[1]Hugst!$R$5:$W$9,MATCH(ROUNDUP((S$1)/10,0)*10,[1]Hugst!$R$4:$W$4,0))))</f>
        <v>0</v>
      </c>
      <c r="T267">
        <f ca="1">IF($C267-T$1&lt;År1,0,S266*(1-VLOOKUP($A267,[1]Hugst!$R$5:$W$9,MATCH(ROUNDUP((T$1)/10,0)*10,[1]Hugst!$R$4:$W$4,0))))</f>
        <v>0</v>
      </c>
      <c r="U267">
        <f ca="1">IF($C267-U$1&lt;År1,0,T266*(1-VLOOKUP($A267,[1]Hugst!$R$5:$W$9,MATCH(ROUNDUP((U$1)/10,0)*10,[1]Hugst!$R$4:$W$4,0))))</f>
        <v>0</v>
      </c>
      <c r="V267">
        <f ca="1">IF($C267-V$1&lt;År1,0,U266*(1-VLOOKUP($A267,[1]Hugst!$R$5:$W$9,MATCH(ROUNDUP((V$1)/10,0)*10,[1]Hugst!$R$4:$W$4,0))))</f>
        <v>0</v>
      </c>
      <c r="W267">
        <f ca="1">IF($C267-W$1&lt;År1,0,V266*(1-VLOOKUP($A267,[1]Hugst!$R$5:$W$9,MATCH(ROUNDUP((W$1)/10,0)*10,[1]Hugst!$R$4:$W$4,0))))</f>
        <v>0</v>
      </c>
      <c r="X267">
        <f>IF($C267-X$1&lt;År1,0,W266*(1-VLOOKUP($A267,[1]Hugst!$R$5:$W$9,MATCH(ROUNDUP((X$1)/10,0)*10,[1]Hugst!$R$4:$W$4,0))))</f>
        <v>0</v>
      </c>
      <c r="Y267">
        <f>IF($C267-Y$1&lt;År1,0,X266*(1-VLOOKUP($A267,[1]Hugst!$R$5:$W$9,MATCH(ROUNDUP((Y$1)/10,0)*10,[1]Hugst!$R$4:$W$4,0))))</f>
        <v>0</v>
      </c>
      <c r="Z267">
        <f>IF($C267-Z$1&lt;År1,0,Y266*(1-VLOOKUP($A267,[1]Hugst!$R$5:$W$9,MATCH(ROUNDUP((Z$1)/10,0)*10,[1]Hugst!$R$4:$W$4,0))))</f>
        <v>0</v>
      </c>
      <c r="AA267">
        <f>IF($C267-AA$1&lt;År1,0,Z266*(1-VLOOKUP($A267,[1]Hugst!$R$5:$W$9,MATCH(ROUNDUP((AA$1)/10,0)*10,[1]Hugst!$R$4:$W$4,0))))</f>
        <v>0</v>
      </c>
      <c r="AB267">
        <f>IF($C267-AB$1&lt;År1,0,AA266*(1-VLOOKUP($A267,[1]Hugst!$R$5:$W$9,MATCH(ROUNDUP((AB$1)/10,0)*10,[1]Hugst!$R$4:$W$4,0))))</f>
        <v>0</v>
      </c>
      <c r="AC267">
        <f>IF($C267-AC$1&lt;År1,0,AB266*(1-VLOOKUP($A267,[1]Hugst!$R$5:$W$9,MATCH(ROUNDUP((AC$1)/10,0)*10,[1]Hugst!$R$4:$W$4,0))))</f>
        <v>0</v>
      </c>
      <c r="AD267">
        <f>IF($C267-AD$1&lt;År1,0,AC266*(1-VLOOKUP($A267,[1]Hugst!$R$5:$W$9,MATCH(ROUNDUP((AD$1)/10,0)*10,[1]Hugst!$R$4:$W$4,0))))</f>
        <v>0</v>
      </c>
      <c r="AE267">
        <f>IF($C267-AE$1&lt;År1,0,AD266*(1-VLOOKUP($A267,[1]Hugst!$R$5:$W$9,MATCH(ROUNDUP((AE$1)/10,0)*10,[1]Hugst!$R$4:$W$4,0))))</f>
        <v>0</v>
      </c>
      <c r="AF267">
        <f>IF($C267-AF$1&lt;År1,0,AE266*(1-VLOOKUP($A267,[1]Hugst!$R$5:$W$9,MATCH(ROUNDUP((AF$1)/10,0)*10,[1]Hugst!$R$4:$W$4,0))))</f>
        <v>0</v>
      </c>
      <c r="AG267">
        <f>IF($C267-AG$1&lt;År1,0,AF266*(1-VLOOKUP($A267,[1]Hugst!$R$5:$W$9,MATCH(ROUNDUP((AG$1)/10,0)*10,[1]Hugst!$R$4:$W$4,0))))</f>
        <v>0</v>
      </c>
      <c r="AH267">
        <f>IF($C267-AH$1&lt;År1,0,AG266*(1-VLOOKUP($A267,[1]Hugst!$R$5:$W$9,MATCH(ROUNDUP((AH$1)/10,0)*10,[1]Hugst!$R$4:$W$4,0))))</f>
        <v>0</v>
      </c>
      <c r="AI267">
        <f>IF($C267-AI$1&lt;År1,0,AH266*(1-VLOOKUP($A267,[1]Hugst!$R$5:$W$9,MATCH(ROUNDUP((AI$1)/10,0)*10,[1]Hugst!$R$4:$W$4,0))))</f>
        <v>0</v>
      </c>
      <c r="AJ267">
        <f>IF($C267-AJ$1&lt;År1,0,AI266*(1-VLOOKUP($A267,[1]Hugst!$R$5:$W$9,MATCH(ROUNDUP((AJ$1)/10,0)*10,[1]Hugst!$R$4:$W$4,0))))</f>
        <v>0</v>
      </c>
    </row>
    <row r="268" spans="1:36" x14ac:dyDescent="0.25">
      <c r="A268" t="s">
        <v>180</v>
      </c>
      <c r="B268" t="s">
        <v>23</v>
      </c>
      <c r="C268">
        <v>2038</v>
      </c>
      <c r="D268" cm="1">
        <f t="array" ref="D268">(IF(B268="Vestdanmark",Skovbrug!$C$22-(Skovbrug!$C$22)*(1-Skovbrug!$C$9)^(C268-Skovbrug!$B$12),Skovbrug!$F$22-(Skovbrug!$F$22)*(1-Skovbrug!$C$9)^(C268-Skovbrug!$B$12)))*VLOOKUP(A268,Skovbrug!$A$13:$D$17,IF('Skovbrug-alder'!C268&lt;=År2,3,4),FALSE)
-IF(C268&gt;2020,SUM(INDEX($C$1:$D$311,MATCH(1,(2020=$C$1:$C$311)*(B268=$B$1:$B$311)*(A268=$A$1:$A$311),0),2):D267),0)</f>
        <v>0</v>
      </c>
      <c r="E268">
        <f t="shared" ca="1" si="6"/>
        <v>0</v>
      </c>
      <c r="F2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>
        <f ca="1">IF($C268-G$1&lt;År1,0,F267*(1-VLOOKUP($A268,[1]Hugst!$R$5:$W$9,MATCH(ROUNDUP((G$1)/10,0)*10,[1]Hugst!$R$4:$W$4,0))))</f>
        <v>0</v>
      </c>
      <c r="H268">
        <f ca="1">IF($C268-H$1&lt;År1,0,G267*(1-VLOOKUP($A268,[1]Hugst!$R$5:$W$9,MATCH(ROUNDUP((H$1)/10,0)*10,[1]Hugst!$R$4:$W$4,0))))</f>
        <v>0</v>
      </c>
      <c r="I268">
        <f ca="1">IF($C268-I$1&lt;År1,0,H267*(1-VLOOKUP($A268,[1]Hugst!$R$5:$W$9,MATCH(ROUNDUP((I$1)/10,0)*10,[1]Hugst!$R$4:$W$4,0))))</f>
        <v>0</v>
      </c>
      <c r="J268">
        <f ca="1">IF($C268-J$1&lt;År1,0,I267*(1-VLOOKUP($A268,[1]Hugst!$R$5:$W$9,MATCH(ROUNDUP((J$1)/10,0)*10,[1]Hugst!$R$4:$W$4,0))))</f>
        <v>0</v>
      </c>
      <c r="K268">
        <f ca="1">IF($C268-K$1&lt;År1,0,J267*(1-VLOOKUP($A268,[1]Hugst!$R$5:$W$9,MATCH(ROUNDUP((K$1)/10,0)*10,[1]Hugst!$R$4:$W$4,0))))</f>
        <v>0</v>
      </c>
      <c r="L268">
        <f ca="1">IF($C268-L$1&lt;År1,0,K267*(1-VLOOKUP($A268,[1]Hugst!$R$5:$W$9,MATCH(ROUNDUP((L$1)/10,0)*10,[1]Hugst!$R$4:$W$4,0))))</f>
        <v>0</v>
      </c>
      <c r="M268">
        <f ca="1">IF($C268-M$1&lt;År1,0,L267*(1-VLOOKUP($A268,[1]Hugst!$R$5:$W$9,MATCH(ROUNDUP((M$1)/10,0)*10,[1]Hugst!$R$4:$W$4,0))))</f>
        <v>0</v>
      </c>
      <c r="N268">
        <f ca="1">IF($C268-N$1&lt;År1,0,M267*(1-VLOOKUP($A268,[1]Hugst!$R$5:$W$9,MATCH(ROUNDUP((N$1)/10,0)*10,[1]Hugst!$R$4:$W$4,0))))</f>
        <v>0</v>
      </c>
      <c r="O268">
        <f ca="1">IF($C268-O$1&lt;År1,0,N267*(1-VLOOKUP($A268,[1]Hugst!$R$5:$W$9,MATCH(ROUNDUP((O$1)/10,0)*10,[1]Hugst!$R$4:$W$4,0))))</f>
        <v>0</v>
      </c>
      <c r="P268">
        <f ca="1">IF($C268-P$1&lt;År1,0,O267*(1-VLOOKUP($A268,[1]Hugst!$R$5:$W$9,MATCH(ROUNDUP((P$1)/10,0)*10,[1]Hugst!$R$4:$W$4,0))))</f>
        <v>0</v>
      </c>
      <c r="Q268">
        <f ca="1">IF($C268-Q$1&lt;År1,0,P267*(1-VLOOKUP($A268,[1]Hugst!$R$5:$W$9,MATCH(ROUNDUP((Q$1)/10,0)*10,[1]Hugst!$R$4:$W$4,0))))</f>
        <v>0</v>
      </c>
      <c r="R268">
        <f ca="1">IF($C268-R$1&lt;År1,0,Q267*(1-VLOOKUP($A268,[1]Hugst!$R$5:$W$9,MATCH(ROUNDUP((R$1)/10,0)*10,[1]Hugst!$R$4:$W$4,0))))</f>
        <v>0</v>
      </c>
      <c r="S268">
        <f ca="1">IF($C268-S$1&lt;År1,0,R267*(1-VLOOKUP($A268,[1]Hugst!$R$5:$W$9,MATCH(ROUNDUP((S$1)/10,0)*10,[1]Hugst!$R$4:$W$4,0))))</f>
        <v>0</v>
      </c>
      <c r="T268">
        <f ca="1">IF($C268-T$1&lt;År1,0,S267*(1-VLOOKUP($A268,[1]Hugst!$R$5:$W$9,MATCH(ROUNDUP((T$1)/10,0)*10,[1]Hugst!$R$4:$W$4,0))))</f>
        <v>0</v>
      </c>
      <c r="U268">
        <f ca="1">IF($C268-U$1&lt;År1,0,T267*(1-VLOOKUP($A268,[1]Hugst!$R$5:$W$9,MATCH(ROUNDUP((U$1)/10,0)*10,[1]Hugst!$R$4:$W$4,0))))</f>
        <v>0</v>
      </c>
      <c r="V268">
        <f ca="1">IF($C268-V$1&lt;År1,0,U267*(1-VLOOKUP($A268,[1]Hugst!$R$5:$W$9,MATCH(ROUNDUP((V$1)/10,0)*10,[1]Hugst!$R$4:$W$4,0))))</f>
        <v>0</v>
      </c>
      <c r="W268">
        <f ca="1">IF($C268-W$1&lt;År1,0,V267*(1-VLOOKUP($A268,[1]Hugst!$R$5:$W$9,MATCH(ROUNDUP((W$1)/10,0)*10,[1]Hugst!$R$4:$W$4,0))))</f>
        <v>0</v>
      </c>
      <c r="X268">
        <f ca="1">IF($C268-X$1&lt;År1,0,W267*(1-VLOOKUP($A268,[1]Hugst!$R$5:$W$9,MATCH(ROUNDUP((X$1)/10,0)*10,[1]Hugst!$R$4:$W$4,0))))</f>
        <v>0</v>
      </c>
      <c r="Y268">
        <f>IF($C268-Y$1&lt;År1,0,X267*(1-VLOOKUP($A268,[1]Hugst!$R$5:$W$9,MATCH(ROUNDUP((Y$1)/10,0)*10,[1]Hugst!$R$4:$W$4,0))))</f>
        <v>0</v>
      </c>
      <c r="Z268">
        <f>IF($C268-Z$1&lt;År1,0,Y267*(1-VLOOKUP($A268,[1]Hugst!$R$5:$W$9,MATCH(ROUNDUP((Z$1)/10,0)*10,[1]Hugst!$R$4:$W$4,0))))</f>
        <v>0</v>
      </c>
      <c r="AA268">
        <f>IF($C268-AA$1&lt;År1,0,Z267*(1-VLOOKUP($A268,[1]Hugst!$R$5:$W$9,MATCH(ROUNDUP((AA$1)/10,0)*10,[1]Hugst!$R$4:$W$4,0))))</f>
        <v>0</v>
      </c>
      <c r="AB268">
        <f>IF($C268-AB$1&lt;År1,0,AA267*(1-VLOOKUP($A268,[1]Hugst!$R$5:$W$9,MATCH(ROUNDUP((AB$1)/10,0)*10,[1]Hugst!$R$4:$W$4,0))))</f>
        <v>0</v>
      </c>
      <c r="AC268">
        <f>IF($C268-AC$1&lt;År1,0,AB267*(1-VLOOKUP($A268,[1]Hugst!$R$5:$W$9,MATCH(ROUNDUP((AC$1)/10,0)*10,[1]Hugst!$R$4:$W$4,0))))</f>
        <v>0</v>
      </c>
      <c r="AD268">
        <f>IF($C268-AD$1&lt;År1,0,AC267*(1-VLOOKUP($A268,[1]Hugst!$R$5:$W$9,MATCH(ROUNDUP((AD$1)/10,0)*10,[1]Hugst!$R$4:$W$4,0))))</f>
        <v>0</v>
      </c>
      <c r="AE268">
        <f>IF($C268-AE$1&lt;År1,0,AD267*(1-VLOOKUP($A268,[1]Hugst!$R$5:$W$9,MATCH(ROUNDUP((AE$1)/10,0)*10,[1]Hugst!$R$4:$W$4,0))))</f>
        <v>0</v>
      </c>
      <c r="AF268">
        <f>IF($C268-AF$1&lt;År1,0,AE267*(1-VLOOKUP($A268,[1]Hugst!$R$5:$W$9,MATCH(ROUNDUP((AF$1)/10,0)*10,[1]Hugst!$R$4:$W$4,0))))</f>
        <v>0</v>
      </c>
      <c r="AG268">
        <f>IF($C268-AG$1&lt;År1,0,AF267*(1-VLOOKUP($A268,[1]Hugst!$R$5:$W$9,MATCH(ROUNDUP((AG$1)/10,0)*10,[1]Hugst!$R$4:$W$4,0))))</f>
        <v>0</v>
      </c>
      <c r="AH268">
        <f>IF($C268-AH$1&lt;År1,0,AG267*(1-VLOOKUP($A268,[1]Hugst!$R$5:$W$9,MATCH(ROUNDUP((AH$1)/10,0)*10,[1]Hugst!$R$4:$W$4,0))))</f>
        <v>0</v>
      </c>
      <c r="AI268">
        <f>IF($C268-AI$1&lt;År1,0,AH267*(1-VLOOKUP($A268,[1]Hugst!$R$5:$W$9,MATCH(ROUNDUP((AI$1)/10,0)*10,[1]Hugst!$R$4:$W$4,0))))</f>
        <v>0</v>
      </c>
      <c r="AJ268">
        <f>IF($C268-AJ$1&lt;År1,0,AI267*(1-VLOOKUP($A268,[1]Hugst!$R$5:$W$9,MATCH(ROUNDUP((AJ$1)/10,0)*10,[1]Hugst!$R$4:$W$4,0))))</f>
        <v>0</v>
      </c>
    </row>
    <row r="269" spans="1:36" x14ac:dyDescent="0.25">
      <c r="A269" t="s">
        <v>180</v>
      </c>
      <c r="B269" t="s">
        <v>23</v>
      </c>
      <c r="C269">
        <v>2039</v>
      </c>
      <c r="D269" cm="1">
        <f t="array" ref="D269">(IF(B269="Vestdanmark",Skovbrug!$C$22-(Skovbrug!$C$22)*(1-Skovbrug!$C$9)^(C269-Skovbrug!$B$12),Skovbrug!$F$22-(Skovbrug!$F$22)*(1-Skovbrug!$C$9)^(C269-Skovbrug!$B$12)))*VLOOKUP(A269,Skovbrug!$A$13:$D$17,IF('Skovbrug-alder'!C269&lt;=År2,3,4),FALSE)
-IF(C269&gt;2020,SUM(INDEX($C$1:$D$311,MATCH(1,(2020=$C$1:$C$311)*(B269=$B$1:$B$311)*(A269=$A$1:$A$311),0),2):D268),0)</f>
        <v>0</v>
      </c>
      <c r="E269">
        <f t="shared" ca="1" si="6"/>
        <v>0</v>
      </c>
      <c r="F269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>
        <f ca="1">IF($C269-G$1&lt;År1,0,F268*(1-VLOOKUP($A269,[1]Hugst!$R$5:$W$9,MATCH(ROUNDUP((G$1)/10,0)*10,[1]Hugst!$R$4:$W$4,0))))</f>
        <v>0</v>
      </c>
      <c r="H269">
        <f ca="1">IF($C269-H$1&lt;År1,0,G268*(1-VLOOKUP($A269,[1]Hugst!$R$5:$W$9,MATCH(ROUNDUP((H$1)/10,0)*10,[1]Hugst!$R$4:$W$4,0))))</f>
        <v>0</v>
      </c>
      <c r="I269">
        <f ca="1">IF($C269-I$1&lt;År1,0,H268*(1-VLOOKUP($A269,[1]Hugst!$R$5:$W$9,MATCH(ROUNDUP((I$1)/10,0)*10,[1]Hugst!$R$4:$W$4,0))))</f>
        <v>0</v>
      </c>
      <c r="J269">
        <f ca="1">IF($C269-J$1&lt;År1,0,I268*(1-VLOOKUP($A269,[1]Hugst!$R$5:$W$9,MATCH(ROUNDUP((J$1)/10,0)*10,[1]Hugst!$R$4:$W$4,0))))</f>
        <v>0</v>
      </c>
      <c r="K269">
        <f ca="1">IF($C269-K$1&lt;År1,0,J268*(1-VLOOKUP($A269,[1]Hugst!$R$5:$W$9,MATCH(ROUNDUP((K$1)/10,0)*10,[1]Hugst!$R$4:$W$4,0))))</f>
        <v>0</v>
      </c>
      <c r="L269">
        <f ca="1">IF($C269-L$1&lt;År1,0,K268*(1-VLOOKUP($A269,[1]Hugst!$R$5:$W$9,MATCH(ROUNDUP((L$1)/10,0)*10,[1]Hugst!$R$4:$W$4,0))))</f>
        <v>0</v>
      </c>
      <c r="M269">
        <f ca="1">IF($C269-M$1&lt;År1,0,L268*(1-VLOOKUP($A269,[1]Hugst!$R$5:$W$9,MATCH(ROUNDUP((M$1)/10,0)*10,[1]Hugst!$R$4:$W$4,0))))</f>
        <v>0</v>
      </c>
      <c r="N269">
        <f ca="1">IF($C269-N$1&lt;År1,0,M268*(1-VLOOKUP($A269,[1]Hugst!$R$5:$W$9,MATCH(ROUNDUP((N$1)/10,0)*10,[1]Hugst!$R$4:$W$4,0))))</f>
        <v>0</v>
      </c>
      <c r="O269">
        <f ca="1">IF($C269-O$1&lt;År1,0,N268*(1-VLOOKUP($A269,[1]Hugst!$R$5:$W$9,MATCH(ROUNDUP((O$1)/10,0)*10,[1]Hugst!$R$4:$W$4,0))))</f>
        <v>0</v>
      </c>
      <c r="P269">
        <f ca="1">IF($C269-P$1&lt;År1,0,O268*(1-VLOOKUP($A269,[1]Hugst!$R$5:$W$9,MATCH(ROUNDUP((P$1)/10,0)*10,[1]Hugst!$R$4:$W$4,0))))</f>
        <v>0</v>
      </c>
      <c r="Q269">
        <f ca="1">IF($C269-Q$1&lt;År1,0,P268*(1-VLOOKUP($A269,[1]Hugst!$R$5:$W$9,MATCH(ROUNDUP((Q$1)/10,0)*10,[1]Hugst!$R$4:$W$4,0))))</f>
        <v>0</v>
      </c>
      <c r="R269">
        <f ca="1">IF($C269-R$1&lt;År1,0,Q268*(1-VLOOKUP($A269,[1]Hugst!$R$5:$W$9,MATCH(ROUNDUP((R$1)/10,0)*10,[1]Hugst!$R$4:$W$4,0))))</f>
        <v>0</v>
      </c>
      <c r="S269">
        <f ca="1">IF($C269-S$1&lt;År1,0,R268*(1-VLOOKUP($A269,[1]Hugst!$R$5:$W$9,MATCH(ROUNDUP((S$1)/10,0)*10,[1]Hugst!$R$4:$W$4,0))))</f>
        <v>0</v>
      </c>
      <c r="T269">
        <f ca="1">IF($C269-T$1&lt;År1,0,S268*(1-VLOOKUP($A269,[1]Hugst!$R$5:$W$9,MATCH(ROUNDUP((T$1)/10,0)*10,[1]Hugst!$R$4:$W$4,0))))</f>
        <v>0</v>
      </c>
      <c r="U269">
        <f ca="1">IF($C269-U$1&lt;År1,0,T268*(1-VLOOKUP($A269,[1]Hugst!$R$5:$W$9,MATCH(ROUNDUP((U$1)/10,0)*10,[1]Hugst!$R$4:$W$4,0))))</f>
        <v>0</v>
      </c>
      <c r="V269">
        <f ca="1">IF($C269-V$1&lt;År1,0,U268*(1-VLOOKUP($A269,[1]Hugst!$R$5:$W$9,MATCH(ROUNDUP((V$1)/10,0)*10,[1]Hugst!$R$4:$W$4,0))))</f>
        <v>0</v>
      </c>
      <c r="W269">
        <f ca="1">IF($C269-W$1&lt;År1,0,V268*(1-VLOOKUP($A269,[1]Hugst!$R$5:$W$9,MATCH(ROUNDUP((W$1)/10,0)*10,[1]Hugst!$R$4:$W$4,0))))</f>
        <v>0</v>
      </c>
      <c r="X269">
        <f ca="1">IF($C269-X$1&lt;År1,0,W268*(1-VLOOKUP($A269,[1]Hugst!$R$5:$W$9,MATCH(ROUNDUP((X$1)/10,0)*10,[1]Hugst!$R$4:$W$4,0))))</f>
        <v>0</v>
      </c>
      <c r="Y269">
        <f ca="1">IF($C269-Y$1&lt;År1,0,X268*(1-VLOOKUP($A269,[1]Hugst!$R$5:$W$9,MATCH(ROUNDUP((Y$1)/10,0)*10,[1]Hugst!$R$4:$W$4,0))))</f>
        <v>0</v>
      </c>
      <c r="Z269">
        <f>IF($C269-Z$1&lt;År1,0,Y268*(1-VLOOKUP($A269,[1]Hugst!$R$5:$W$9,MATCH(ROUNDUP((Z$1)/10,0)*10,[1]Hugst!$R$4:$W$4,0))))</f>
        <v>0</v>
      </c>
      <c r="AA269">
        <f>IF($C269-AA$1&lt;År1,0,Z268*(1-VLOOKUP($A269,[1]Hugst!$R$5:$W$9,MATCH(ROUNDUP((AA$1)/10,0)*10,[1]Hugst!$R$4:$W$4,0))))</f>
        <v>0</v>
      </c>
      <c r="AB269">
        <f>IF($C269-AB$1&lt;År1,0,AA268*(1-VLOOKUP($A269,[1]Hugst!$R$5:$W$9,MATCH(ROUNDUP((AB$1)/10,0)*10,[1]Hugst!$R$4:$W$4,0))))</f>
        <v>0</v>
      </c>
      <c r="AC269">
        <f>IF($C269-AC$1&lt;År1,0,AB268*(1-VLOOKUP($A269,[1]Hugst!$R$5:$W$9,MATCH(ROUNDUP((AC$1)/10,0)*10,[1]Hugst!$R$4:$W$4,0))))</f>
        <v>0</v>
      </c>
      <c r="AD269">
        <f>IF($C269-AD$1&lt;År1,0,AC268*(1-VLOOKUP($A269,[1]Hugst!$R$5:$W$9,MATCH(ROUNDUP((AD$1)/10,0)*10,[1]Hugst!$R$4:$W$4,0))))</f>
        <v>0</v>
      </c>
      <c r="AE269">
        <f>IF($C269-AE$1&lt;År1,0,AD268*(1-VLOOKUP($A269,[1]Hugst!$R$5:$W$9,MATCH(ROUNDUP((AE$1)/10,0)*10,[1]Hugst!$R$4:$W$4,0))))</f>
        <v>0</v>
      </c>
      <c r="AF269">
        <f>IF($C269-AF$1&lt;År1,0,AE268*(1-VLOOKUP($A269,[1]Hugst!$R$5:$W$9,MATCH(ROUNDUP((AF$1)/10,0)*10,[1]Hugst!$R$4:$W$4,0))))</f>
        <v>0</v>
      </c>
      <c r="AG269">
        <f>IF($C269-AG$1&lt;År1,0,AF268*(1-VLOOKUP($A269,[1]Hugst!$R$5:$W$9,MATCH(ROUNDUP((AG$1)/10,0)*10,[1]Hugst!$R$4:$W$4,0))))</f>
        <v>0</v>
      </c>
      <c r="AH269">
        <f>IF($C269-AH$1&lt;År1,0,AG268*(1-VLOOKUP($A269,[1]Hugst!$R$5:$W$9,MATCH(ROUNDUP((AH$1)/10,0)*10,[1]Hugst!$R$4:$W$4,0))))</f>
        <v>0</v>
      </c>
      <c r="AI269">
        <f>IF($C269-AI$1&lt;År1,0,AH268*(1-VLOOKUP($A269,[1]Hugst!$R$5:$W$9,MATCH(ROUNDUP((AI$1)/10,0)*10,[1]Hugst!$R$4:$W$4,0))))</f>
        <v>0</v>
      </c>
      <c r="AJ269">
        <f>IF($C269-AJ$1&lt;År1,0,AI268*(1-VLOOKUP($A269,[1]Hugst!$R$5:$W$9,MATCH(ROUNDUP((AJ$1)/10,0)*10,[1]Hugst!$R$4:$W$4,0))))</f>
        <v>0</v>
      </c>
    </row>
    <row r="270" spans="1:36" x14ac:dyDescent="0.25">
      <c r="A270" t="s">
        <v>180</v>
      </c>
      <c r="B270" t="s">
        <v>23</v>
      </c>
      <c r="C270">
        <v>2040</v>
      </c>
      <c r="D270" cm="1">
        <f t="array" ref="D270">(IF(B270="Vestdanmark",Skovbrug!$C$22-(Skovbrug!$C$22)*(1-Skovbrug!$C$9)^(C270-Skovbrug!$B$12),Skovbrug!$F$22-(Skovbrug!$F$22)*(1-Skovbrug!$C$9)^(C270-Skovbrug!$B$12)))*VLOOKUP(A270,Skovbrug!$A$13:$D$17,IF('Skovbrug-alder'!C270&lt;=År2,3,4),FALSE)
-IF(C270&gt;2020,SUM(INDEX($C$1:$D$311,MATCH(1,(2020=$C$1:$C$311)*(B270=$B$1:$B$311)*(A270=$A$1:$A$311),0),2):D269),0)</f>
        <v>0</v>
      </c>
      <c r="E270">
        <f t="shared" ca="1" si="6"/>
        <v>0</v>
      </c>
      <c r="F270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>
        <f ca="1">IF($C270-G$1&lt;År1,0,F269*(1-VLOOKUP($A270,[1]Hugst!$R$5:$W$9,MATCH(ROUNDUP((G$1)/10,0)*10,[1]Hugst!$R$4:$W$4,0))))</f>
        <v>0</v>
      </c>
      <c r="H270">
        <f ca="1">IF($C270-H$1&lt;År1,0,G269*(1-VLOOKUP($A270,[1]Hugst!$R$5:$W$9,MATCH(ROUNDUP((H$1)/10,0)*10,[1]Hugst!$R$4:$W$4,0))))</f>
        <v>0</v>
      </c>
      <c r="I270">
        <f ca="1">IF($C270-I$1&lt;År1,0,H269*(1-VLOOKUP($A270,[1]Hugst!$R$5:$W$9,MATCH(ROUNDUP((I$1)/10,0)*10,[1]Hugst!$R$4:$W$4,0))))</f>
        <v>0</v>
      </c>
      <c r="J270">
        <f ca="1">IF($C270-J$1&lt;År1,0,I269*(1-VLOOKUP($A270,[1]Hugst!$R$5:$W$9,MATCH(ROUNDUP((J$1)/10,0)*10,[1]Hugst!$R$4:$W$4,0))))</f>
        <v>0</v>
      </c>
      <c r="K270">
        <f ca="1">IF($C270-K$1&lt;År1,0,J269*(1-VLOOKUP($A270,[1]Hugst!$R$5:$W$9,MATCH(ROUNDUP((K$1)/10,0)*10,[1]Hugst!$R$4:$W$4,0))))</f>
        <v>0</v>
      </c>
      <c r="L270">
        <f ca="1">IF($C270-L$1&lt;År1,0,K269*(1-VLOOKUP($A270,[1]Hugst!$R$5:$W$9,MATCH(ROUNDUP((L$1)/10,0)*10,[1]Hugst!$R$4:$W$4,0))))</f>
        <v>0</v>
      </c>
      <c r="M270">
        <f ca="1">IF($C270-M$1&lt;År1,0,L269*(1-VLOOKUP($A270,[1]Hugst!$R$5:$W$9,MATCH(ROUNDUP((M$1)/10,0)*10,[1]Hugst!$R$4:$W$4,0))))</f>
        <v>0</v>
      </c>
      <c r="N270">
        <f ca="1">IF($C270-N$1&lt;År1,0,M269*(1-VLOOKUP($A270,[1]Hugst!$R$5:$W$9,MATCH(ROUNDUP((N$1)/10,0)*10,[1]Hugst!$R$4:$W$4,0))))</f>
        <v>0</v>
      </c>
      <c r="O270">
        <f ca="1">IF($C270-O$1&lt;År1,0,N269*(1-VLOOKUP($A270,[1]Hugst!$R$5:$W$9,MATCH(ROUNDUP((O$1)/10,0)*10,[1]Hugst!$R$4:$W$4,0))))</f>
        <v>0</v>
      </c>
      <c r="P270">
        <f ca="1">IF($C270-P$1&lt;År1,0,O269*(1-VLOOKUP($A270,[1]Hugst!$R$5:$W$9,MATCH(ROUNDUP((P$1)/10,0)*10,[1]Hugst!$R$4:$W$4,0))))</f>
        <v>0</v>
      </c>
      <c r="Q270">
        <f ca="1">IF($C270-Q$1&lt;År1,0,P269*(1-VLOOKUP($A270,[1]Hugst!$R$5:$W$9,MATCH(ROUNDUP((Q$1)/10,0)*10,[1]Hugst!$R$4:$W$4,0))))</f>
        <v>0</v>
      </c>
      <c r="R270">
        <f ca="1">IF($C270-R$1&lt;År1,0,Q269*(1-VLOOKUP($A270,[1]Hugst!$R$5:$W$9,MATCH(ROUNDUP((R$1)/10,0)*10,[1]Hugst!$R$4:$W$4,0))))</f>
        <v>0</v>
      </c>
      <c r="S270">
        <f ca="1">IF($C270-S$1&lt;År1,0,R269*(1-VLOOKUP($A270,[1]Hugst!$R$5:$W$9,MATCH(ROUNDUP((S$1)/10,0)*10,[1]Hugst!$R$4:$W$4,0))))</f>
        <v>0</v>
      </c>
      <c r="T270">
        <f ca="1">IF($C270-T$1&lt;År1,0,S269*(1-VLOOKUP($A270,[1]Hugst!$R$5:$W$9,MATCH(ROUNDUP((T$1)/10,0)*10,[1]Hugst!$R$4:$W$4,0))))</f>
        <v>0</v>
      </c>
      <c r="U270">
        <f ca="1">IF($C270-U$1&lt;År1,0,T269*(1-VLOOKUP($A270,[1]Hugst!$R$5:$W$9,MATCH(ROUNDUP((U$1)/10,0)*10,[1]Hugst!$R$4:$W$4,0))))</f>
        <v>0</v>
      </c>
      <c r="V270">
        <f ca="1">IF($C270-V$1&lt;År1,0,U269*(1-VLOOKUP($A270,[1]Hugst!$R$5:$W$9,MATCH(ROUNDUP((V$1)/10,0)*10,[1]Hugst!$R$4:$W$4,0))))</f>
        <v>0</v>
      </c>
      <c r="W270">
        <f ca="1">IF($C270-W$1&lt;År1,0,V269*(1-VLOOKUP($A270,[1]Hugst!$R$5:$W$9,MATCH(ROUNDUP((W$1)/10,0)*10,[1]Hugst!$R$4:$W$4,0))))</f>
        <v>0</v>
      </c>
      <c r="X270">
        <f ca="1">IF($C270-X$1&lt;År1,0,W269*(1-VLOOKUP($A270,[1]Hugst!$R$5:$W$9,MATCH(ROUNDUP((X$1)/10,0)*10,[1]Hugst!$R$4:$W$4,0))))</f>
        <v>0</v>
      </c>
      <c r="Y270">
        <f ca="1">IF($C270-Y$1&lt;År1,0,X269*(1-VLOOKUP($A270,[1]Hugst!$R$5:$W$9,MATCH(ROUNDUP((Y$1)/10,0)*10,[1]Hugst!$R$4:$W$4,0))))</f>
        <v>0</v>
      </c>
      <c r="Z270">
        <f ca="1">IF($C270-Z$1&lt;År1,0,Y269*(1-VLOOKUP($A270,[1]Hugst!$R$5:$W$9,MATCH(ROUNDUP((Z$1)/10,0)*10,[1]Hugst!$R$4:$W$4,0))))</f>
        <v>0</v>
      </c>
      <c r="AA270">
        <f>IF($C270-AA$1&lt;År1,0,Z269*(1-VLOOKUP($A270,[1]Hugst!$R$5:$W$9,MATCH(ROUNDUP((AA$1)/10,0)*10,[1]Hugst!$R$4:$W$4,0))))</f>
        <v>0</v>
      </c>
      <c r="AB270">
        <f>IF($C270-AB$1&lt;År1,0,AA269*(1-VLOOKUP($A270,[1]Hugst!$R$5:$W$9,MATCH(ROUNDUP((AB$1)/10,0)*10,[1]Hugst!$R$4:$W$4,0))))</f>
        <v>0</v>
      </c>
      <c r="AC270">
        <f>IF($C270-AC$1&lt;År1,0,AB269*(1-VLOOKUP($A270,[1]Hugst!$R$5:$W$9,MATCH(ROUNDUP((AC$1)/10,0)*10,[1]Hugst!$R$4:$W$4,0))))</f>
        <v>0</v>
      </c>
      <c r="AD270">
        <f>IF($C270-AD$1&lt;År1,0,AC269*(1-VLOOKUP($A270,[1]Hugst!$R$5:$W$9,MATCH(ROUNDUP((AD$1)/10,0)*10,[1]Hugst!$R$4:$W$4,0))))</f>
        <v>0</v>
      </c>
      <c r="AE270">
        <f>IF($C270-AE$1&lt;År1,0,AD269*(1-VLOOKUP($A270,[1]Hugst!$R$5:$W$9,MATCH(ROUNDUP((AE$1)/10,0)*10,[1]Hugst!$R$4:$W$4,0))))</f>
        <v>0</v>
      </c>
      <c r="AF270">
        <f>IF($C270-AF$1&lt;År1,0,AE269*(1-VLOOKUP($A270,[1]Hugst!$R$5:$W$9,MATCH(ROUNDUP((AF$1)/10,0)*10,[1]Hugst!$R$4:$W$4,0))))</f>
        <v>0</v>
      </c>
      <c r="AG270">
        <f>IF($C270-AG$1&lt;År1,0,AF269*(1-VLOOKUP($A270,[1]Hugst!$R$5:$W$9,MATCH(ROUNDUP((AG$1)/10,0)*10,[1]Hugst!$R$4:$W$4,0))))</f>
        <v>0</v>
      </c>
      <c r="AH270">
        <f>IF($C270-AH$1&lt;År1,0,AG269*(1-VLOOKUP($A270,[1]Hugst!$R$5:$W$9,MATCH(ROUNDUP((AH$1)/10,0)*10,[1]Hugst!$R$4:$W$4,0))))</f>
        <v>0</v>
      </c>
      <c r="AI270">
        <f>IF($C270-AI$1&lt;År1,0,AH269*(1-VLOOKUP($A270,[1]Hugst!$R$5:$W$9,MATCH(ROUNDUP((AI$1)/10,0)*10,[1]Hugst!$R$4:$W$4,0))))</f>
        <v>0</v>
      </c>
      <c r="AJ270">
        <f>IF($C270-AJ$1&lt;År1,0,AI269*(1-VLOOKUP($A270,[1]Hugst!$R$5:$W$9,MATCH(ROUNDUP((AJ$1)/10,0)*10,[1]Hugst!$R$4:$W$4,0))))</f>
        <v>0</v>
      </c>
    </row>
    <row r="271" spans="1:36" x14ac:dyDescent="0.25">
      <c r="A271" t="s">
        <v>180</v>
      </c>
      <c r="B271" t="s">
        <v>23</v>
      </c>
      <c r="C271">
        <v>2041</v>
      </c>
      <c r="D271" cm="1">
        <f t="array" ref="D271">(IF(B271="Vestdanmark",Skovbrug!$C$22-(Skovbrug!$C$22)*(1-Skovbrug!$C$9)^(C271-Skovbrug!$B$12),Skovbrug!$F$22-(Skovbrug!$F$22)*(1-Skovbrug!$C$9)^(C271-Skovbrug!$B$12)))*VLOOKUP(A271,Skovbrug!$A$13:$D$17,IF('Skovbrug-alder'!C271&lt;=År2,3,4),FALSE)
-IF(C271&gt;2020,SUM(INDEX($C$1:$D$311,MATCH(1,(2020=$C$1:$C$311)*(B271=$B$1:$B$311)*(A271=$A$1:$A$311),0),2):D270),0)</f>
        <v>0</v>
      </c>
      <c r="E271">
        <f t="shared" ca="1" si="6"/>
        <v>0</v>
      </c>
      <c r="F271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>
        <f ca="1">IF($C271-G$1&lt;År1,0,F270*(1-VLOOKUP($A271,[1]Hugst!$R$5:$W$9,MATCH(ROUNDUP((G$1)/10,0)*10,[1]Hugst!$R$4:$W$4,0))))</f>
        <v>0</v>
      </c>
      <c r="H271">
        <f ca="1">IF($C271-H$1&lt;År1,0,G270*(1-VLOOKUP($A271,[1]Hugst!$R$5:$W$9,MATCH(ROUNDUP((H$1)/10,0)*10,[1]Hugst!$R$4:$W$4,0))))</f>
        <v>0</v>
      </c>
      <c r="I271">
        <f ca="1">IF($C271-I$1&lt;År1,0,H270*(1-VLOOKUP($A271,[1]Hugst!$R$5:$W$9,MATCH(ROUNDUP((I$1)/10,0)*10,[1]Hugst!$R$4:$W$4,0))))</f>
        <v>0</v>
      </c>
      <c r="J271">
        <f ca="1">IF($C271-J$1&lt;År1,0,I270*(1-VLOOKUP($A271,[1]Hugst!$R$5:$W$9,MATCH(ROUNDUP((J$1)/10,0)*10,[1]Hugst!$R$4:$W$4,0))))</f>
        <v>0</v>
      </c>
      <c r="K271">
        <f ca="1">IF($C271-K$1&lt;År1,0,J270*(1-VLOOKUP($A271,[1]Hugst!$R$5:$W$9,MATCH(ROUNDUP((K$1)/10,0)*10,[1]Hugst!$R$4:$W$4,0))))</f>
        <v>0</v>
      </c>
      <c r="L271">
        <f ca="1">IF($C271-L$1&lt;År1,0,K270*(1-VLOOKUP($A271,[1]Hugst!$R$5:$W$9,MATCH(ROUNDUP((L$1)/10,0)*10,[1]Hugst!$R$4:$W$4,0))))</f>
        <v>0</v>
      </c>
      <c r="M271">
        <f ca="1">IF($C271-M$1&lt;År1,0,L270*(1-VLOOKUP($A271,[1]Hugst!$R$5:$W$9,MATCH(ROUNDUP((M$1)/10,0)*10,[1]Hugst!$R$4:$W$4,0))))</f>
        <v>0</v>
      </c>
      <c r="N271">
        <f ca="1">IF($C271-N$1&lt;År1,0,M270*(1-VLOOKUP($A271,[1]Hugst!$R$5:$W$9,MATCH(ROUNDUP((N$1)/10,0)*10,[1]Hugst!$R$4:$W$4,0))))</f>
        <v>0</v>
      </c>
      <c r="O271">
        <f ca="1">IF($C271-O$1&lt;År1,0,N270*(1-VLOOKUP($A271,[1]Hugst!$R$5:$W$9,MATCH(ROUNDUP((O$1)/10,0)*10,[1]Hugst!$R$4:$W$4,0))))</f>
        <v>0</v>
      </c>
      <c r="P271">
        <f ca="1">IF($C271-P$1&lt;År1,0,O270*(1-VLOOKUP($A271,[1]Hugst!$R$5:$W$9,MATCH(ROUNDUP((P$1)/10,0)*10,[1]Hugst!$R$4:$W$4,0))))</f>
        <v>0</v>
      </c>
      <c r="Q271">
        <f ca="1">IF($C271-Q$1&lt;År1,0,P270*(1-VLOOKUP($A271,[1]Hugst!$R$5:$W$9,MATCH(ROUNDUP((Q$1)/10,0)*10,[1]Hugst!$R$4:$W$4,0))))</f>
        <v>0</v>
      </c>
      <c r="R271">
        <f ca="1">IF($C271-R$1&lt;År1,0,Q270*(1-VLOOKUP($A271,[1]Hugst!$R$5:$W$9,MATCH(ROUNDUP((R$1)/10,0)*10,[1]Hugst!$R$4:$W$4,0))))</f>
        <v>0</v>
      </c>
      <c r="S271">
        <f ca="1">IF($C271-S$1&lt;År1,0,R270*(1-VLOOKUP($A271,[1]Hugst!$R$5:$W$9,MATCH(ROUNDUP((S$1)/10,0)*10,[1]Hugst!$R$4:$W$4,0))))</f>
        <v>0</v>
      </c>
      <c r="T271">
        <f ca="1">IF($C271-T$1&lt;År1,0,S270*(1-VLOOKUP($A271,[1]Hugst!$R$5:$W$9,MATCH(ROUNDUP((T$1)/10,0)*10,[1]Hugst!$R$4:$W$4,0))))</f>
        <v>0</v>
      </c>
      <c r="U271">
        <f ca="1">IF($C271-U$1&lt;År1,0,T270*(1-VLOOKUP($A271,[1]Hugst!$R$5:$W$9,MATCH(ROUNDUP((U$1)/10,0)*10,[1]Hugst!$R$4:$W$4,0))))</f>
        <v>0</v>
      </c>
      <c r="V271">
        <f ca="1">IF($C271-V$1&lt;År1,0,U270*(1-VLOOKUP($A271,[1]Hugst!$R$5:$W$9,MATCH(ROUNDUP((V$1)/10,0)*10,[1]Hugst!$R$4:$W$4,0))))</f>
        <v>0</v>
      </c>
      <c r="W271">
        <f ca="1">IF($C271-W$1&lt;År1,0,V270*(1-VLOOKUP($A271,[1]Hugst!$R$5:$W$9,MATCH(ROUNDUP((W$1)/10,0)*10,[1]Hugst!$R$4:$W$4,0))))</f>
        <v>0</v>
      </c>
      <c r="X271">
        <f ca="1">IF($C271-X$1&lt;År1,0,W270*(1-VLOOKUP($A271,[1]Hugst!$R$5:$W$9,MATCH(ROUNDUP((X$1)/10,0)*10,[1]Hugst!$R$4:$W$4,0))))</f>
        <v>0</v>
      </c>
      <c r="Y271">
        <f ca="1">IF($C271-Y$1&lt;År1,0,X270*(1-VLOOKUP($A271,[1]Hugst!$R$5:$W$9,MATCH(ROUNDUP((Y$1)/10,0)*10,[1]Hugst!$R$4:$W$4,0))))</f>
        <v>0</v>
      </c>
      <c r="Z271">
        <f ca="1">IF($C271-Z$1&lt;År1,0,Y270*(1-VLOOKUP($A271,[1]Hugst!$R$5:$W$9,MATCH(ROUNDUP((Z$1)/10,0)*10,[1]Hugst!$R$4:$W$4,0))))</f>
        <v>0</v>
      </c>
      <c r="AA271">
        <f ca="1">IF($C271-AA$1&lt;År1,0,Z270*(1-VLOOKUP($A271,[1]Hugst!$R$5:$W$9,MATCH(ROUNDUP((AA$1)/10,0)*10,[1]Hugst!$R$4:$W$4,0))))</f>
        <v>0</v>
      </c>
      <c r="AB271">
        <f>IF($C271-AB$1&lt;År1,0,AA270*(1-VLOOKUP($A271,[1]Hugst!$R$5:$W$9,MATCH(ROUNDUP((AB$1)/10,0)*10,[1]Hugst!$R$4:$W$4,0))))</f>
        <v>0</v>
      </c>
      <c r="AC271">
        <f>IF($C271-AC$1&lt;År1,0,AB270*(1-VLOOKUP($A271,[1]Hugst!$R$5:$W$9,MATCH(ROUNDUP((AC$1)/10,0)*10,[1]Hugst!$R$4:$W$4,0))))</f>
        <v>0</v>
      </c>
      <c r="AD271">
        <f>IF($C271-AD$1&lt;År1,0,AC270*(1-VLOOKUP($A271,[1]Hugst!$R$5:$W$9,MATCH(ROUNDUP((AD$1)/10,0)*10,[1]Hugst!$R$4:$W$4,0))))</f>
        <v>0</v>
      </c>
      <c r="AE271">
        <f>IF($C271-AE$1&lt;År1,0,AD270*(1-VLOOKUP($A271,[1]Hugst!$R$5:$W$9,MATCH(ROUNDUP((AE$1)/10,0)*10,[1]Hugst!$R$4:$W$4,0))))</f>
        <v>0</v>
      </c>
      <c r="AF271">
        <f>IF($C271-AF$1&lt;År1,0,AE270*(1-VLOOKUP($A271,[1]Hugst!$R$5:$W$9,MATCH(ROUNDUP((AF$1)/10,0)*10,[1]Hugst!$R$4:$W$4,0))))</f>
        <v>0</v>
      </c>
      <c r="AG271">
        <f>IF($C271-AG$1&lt;År1,0,AF270*(1-VLOOKUP($A271,[1]Hugst!$R$5:$W$9,MATCH(ROUNDUP((AG$1)/10,0)*10,[1]Hugst!$R$4:$W$4,0))))</f>
        <v>0</v>
      </c>
      <c r="AH271">
        <f>IF($C271-AH$1&lt;År1,0,AG270*(1-VLOOKUP($A271,[1]Hugst!$R$5:$W$9,MATCH(ROUNDUP((AH$1)/10,0)*10,[1]Hugst!$R$4:$W$4,0))))</f>
        <v>0</v>
      </c>
      <c r="AI271">
        <f>IF($C271-AI$1&lt;År1,0,AH270*(1-VLOOKUP($A271,[1]Hugst!$R$5:$W$9,MATCH(ROUNDUP((AI$1)/10,0)*10,[1]Hugst!$R$4:$W$4,0))))</f>
        <v>0</v>
      </c>
      <c r="AJ271">
        <f>IF($C271-AJ$1&lt;År1,0,AI270*(1-VLOOKUP($A271,[1]Hugst!$R$5:$W$9,MATCH(ROUNDUP((AJ$1)/10,0)*10,[1]Hugst!$R$4:$W$4,0))))</f>
        <v>0</v>
      </c>
    </row>
    <row r="272" spans="1:36" x14ac:dyDescent="0.25">
      <c r="A272" t="s">
        <v>180</v>
      </c>
      <c r="B272" t="s">
        <v>23</v>
      </c>
      <c r="C272">
        <v>2042</v>
      </c>
      <c r="D272" cm="1">
        <f t="array" ref="D272">(IF(B272="Vestdanmark",Skovbrug!$C$22-(Skovbrug!$C$22)*(1-Skovbrug!$C$9)^(C272-Skovbrug!$B$12),Skovbrug!$F$22-(Skovbrug!$F$22)*(1-Skovbrug!$C$9)^(C272-Skovbrug!$B$12)))*VLOOKUP(A272,Skovbrug!$A$13:$D$17,IF('Skovbrug-alder'!C272&lt;=År2,3,4),FALSE)
-IF(C272&gt;2020,SUM(INDEX($C$1:$D$311,MATCH(1,(2020=$C$1:$C$311)*(B272=$B$1:$B$311)*(A272=$A$1:$A$311),0),2):D271),0)</f>
        <v>0</v>
      </c>
      <c r="E272">
        <f t="shared" ca="1" si="6"/>
        <v>0</v>
      </c>
      <c r="F272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>
        <f ca="1">IF($C272-G$1&lt;År1,0,F271*(1-VLOOKUP($A272,[1]Hugst!$R$5:$W$9,MATCH(ROUNDUP((G$1)/10,0)*10,[1]Hugst!$R$4:$W$4,0))))</f>
        <v>0</v>
      </c>
      <c r="H272">
        <f ca="1">IF($C272-H$1&lt;År1,0,G271*(1-VLOOKUP($A272,[1]Hugst!$R$5:$W$9,MATCH(ROUNDUP((H$1)/10,0)*10,[1]Hugst!$R$4:$W$4,0))))</f>
        <v>0</v>
      </c>
      <c r="I272">
        <f ca="1">IF($C272-I$1&lt;År1,0,H271*(1-VLOOKUP($A272,[1]Hugst!$R$5:$W$9,MATCH(ROUNDUP((I$1)/10,0)*10,[1]Hugst!$R$4:$W$4,0))))</f>
        <v>0</v>
      </c>
      <c r="J272">
        <f ca="1">IF($C272-J$1&lt;År1,0,I271*(1-VLOOKUP($A272,[1]Hugst!$R$5:$W$9,MATCH(ROUNDUP((J$1)/10,0)*10,[1]Hugst!$R$4:$W$4,0))))</f>
        <v>0</v>
      </c>
      <c r="K272">
        <f ca="1">IF($C272-K$1&lt;År1,0,J271*(1-VLOOKUP($A272,[1]Hugst!$R$5:$W$9,MATCH(ROUNDUP((K$1)/10,0)*10,[1]Hugst!$R$4:$W$4,0))))</f>
        <v>0</v>
      </c>
      <c r="L272">
        <f ca="1">IF($C272-L$1&lt;År1,0,K271*(1-VLOOKUP($A272,[1]Hugst!$R$5:$W$9,MATCH(ROUNDUP((L$1)/10,0)*10,[1]Hugst!$R$4:$W$4,0))))</f>
        <v>0</v>
      </c>
      <c r="M272">
        <f ca="1">IF($C272-M$1&lt;År1,0,L271*(1-VLOOKUP($A272,[1]Hugst!$R$5:$W$9,MATCH(ROUNDUP((M$1)/10,0)*10,[1]Hugst!$R$4:$W$4,0))))</f>
        <v>0</v>
      </c>
      <c r="N272">
        <f ca="1">IF($C272-N$1&lt;År1,0,M271*(1-VLOOKUP($A272,[1]Hugst!$R$5:$W$9,MATCH(ROUNDUP((N$1)/10,0)*10,[1]Hugst!$R$4:$W$4,0))))</f>
        <v>0</v>
      </c>
      <c r="O272">
        <f ca="1">IF($C272-O$1&lt;År1,0,N271*(1-VLOOKUP($A272,[1]Hugst!$R$5:$W$9,MATCH(ROUNDUP((O$1)/10,0)*10,[1]Hugst!$R$4:$W$4,0))))</f>
        <v>0</v>
      </c>
      <c r="P272">
        <f ca="1">IF($C272-P$1&lt;År1,0,O271*(1-VLOOKUP($A272,[1]Hugst!$R$5:$W$9,MATCH(ROUNDUP((P$1)/10,0)*10,[1]Hugst!$R$4:$W$4,0))))</f>
        <v>0</v>
      </c>
      <c r="Q272">
        <f ca="1">IF($C272-Q$1&lt;År1,0,P271*(1-VLOOKUP($A272,[1]Hugst!$R$5:$W$9,MATCH(ROUNDUP((Q$1)/10,0)*10,[1]Hugst!$R$4:$W$4,0))))</f>
        <v>0</v>
      </c>
      <c r="R272">
        <f ca="1">IF($C272-R$1&lt;År1,0,Q271*(1-VLOOKUP($A272,[1]Hugst!$R$5:$W$9,MATCH(ROUNDUP((R$1)/10,0)*10,[1]Hugst!$R$4:$W$4,0))))</f>
        <v>0</v>
      </c>
      <c r="S272">
        <f ca="1">IF($C272-S$1&lt;År1,0,R271*(1-VLOOKUP($A272,[1]Hugst!$R$5:$W$9,MATCH(ROUNDUP((S$1)/10,0)*10,[1]Hugst!$R$4:$W$4,0))))</f>
        <v>0</v>
      </c>
      <c r="T272">
        <f ca="1">IF($C272-T$1&lt;År1,0,S271*(1-VLOOKUP($A272,[1]Hugst!$R$5:$W$9,MATCH(ROUNDUP((T$1)/10,0)*10,[1]Hugst!$R$4:$W$4,0))))</f>
        <v>0</v>
      </c>
      <c r="U272">
        <f ca="1">IF($C272-U$1&lt;År1,0,T271*(1-VLOOKUP($A272,[1]Hugst!$R$5:$W$9,MATCH(ROUNDUP((U$1)/10,0)*10,[1]Hugst!$R$4:$W$4,0))))</f>
        <v>0</v>
      </c>
      <c r="V272">
        <f ca="1">IF($C272-V$1&lt;År1,0,U271*(1-VLOOKUP($A272,[1]Hugst!$R$5:$W$9,MATCH(ROUNDUP((V$1)/10,0)*10,[1]Hugst!$R$4:$W$4,0))))</f>
        <v>0</v>
      </c>
      <c r="W272">
        <f ca="1">IF($C272-W$1&lt;År1,0,V271*(1-VLOOKUP($A272,[1]Hugst!$R$5:$W$9,MATCH(ROUNDUP((W$1)/10,0)*10,[1]Hugst!$R$4:$W$4,0))))</f>
        <v>0</v>
      </c>
      <c r="X272">
        <f ca="1">IF($C272-X$1&lt;År1,0,W271*(1-VLOOKUP($A272,[1]Hugst!$R$5:$W$9,MATCH(ROUNDUP((X$1)/10,0)*10,[1]Hugst!$R$4:$W$4,0))))</f>
        <v>0</v>
      </c>
      <c r="Y272">
        <f ca="1">IF($C272-Y$1&lt;År1,0,X271*(1-VLOOKUP($A272,[1]Hugst!$R$5:$W$9,MATCH(ROUNDUP((Y$1)/10,0)*10,[1]Hugst!$R$4:$W$4,0))))</f>
        <v>0</v>
      </c>
      <c r="Z272">
        <f ca="1">IF($C272-Z$1&lt;År1,0,Y271*(1-VLOOKUP($A272,[1]Hugst!$R$5:$W$9,MATCH(ROUNDUP((Z$1)/10,0)*10,[1]Hugst!$R$4:$W$4,0))))</f>
        <v>0</v>
      </c>
      <c r="AA272">
        <f ca="1">IF($C272-AA$1&lt;År1,0,Z271*(1-VLOOKUP($A272,[1]Hugst!$R$5:$W$9,MATCH(ROUNDUP((AA$1)/10,0)*10,[1]Hugst!$R$4:$W$4,0))))</f>
        <v>0</v>
      </c>
      <c r="AB272">
        <f ca="1">IF($C272-AB$1&lt;År1,0,AA271*(1-VLOOKUP($A272,[1]Hugst!$R$5:$W$9,MATCH(ROUNDUP((AB$1)/10,0)*10,[1]Hugst!$R$4:$W$4,0))))</f>
        <v>0</v>
      </c>
      <c r="AC272">
        <f>IF($C272-AC$1&lt;År1,0,AB271*(1-VLOOKUP($A272,[1]Hugst!$R$5:$W$9,MATCH(ROUNDUP((AC$1)/10,0)*10,[1]Hugst!$R$4:$W$4,0))))</f>
        <v>0</v>
      </c>
      <c r="AD272">
        <f>IF($C272-AD$1&lt;År1,0,AC271*(1-VLOOKUP($A272,[1]Hugst!$R$5:$W$9,MATCH(ROUNDUP((AD$1)/10,0)*10,[1]Hugst!$R$4:$W$4,0))))</f>
        <v>0</v>
      </c>
      <c r="AE272">
        <f>IF($C272-AE$1&lt;År1,0,AD271*(1-VLOOKUP($A272,[1]Hugst!$R$5:$W$9,MATCH(ROUNDUP((AE$1)/10,0)*10,[1]Hugst!$R$4:$W$4,0))))</f>
        <v>0</v>
      </c>
      <c r="AF272">
        <f>IF($C272-AF$1&lt;År1,0,AE271*(1-VLOOKUP($A272,[1]Hugst!$R$5:$W$9,MATCH(ROUNDUP((AF$1)/10,0)*10,[1]Hugst!$R$4:$W$4,0))))</f>
        <v>0</v>
      </c>
      <c r="AG272">
        <f>IF($C272-AG$1&lt;År1,0,AF271*(1-VLOOKUP($A272,[1]Hugst!$R$5:$W$9,MATCH(ROUNDUP((AG$1)/10,0)*10,[1]Hugst!$R$4:$W$4,0))))</f>
        <v>0</v>
      </c>
      <c r="AH272">
        <f>IF($C272-AH$1&lt;År1,0,AG271*(1-VLOOKUP($A272,[1]Hugst!$R$5:$W$9,MATCH(ROUNDUP((AH$1)/10,0)*10,[1]Hugst!$R$4:$W$4,0))))</f>
        <v>0</v>
      </c>
      <c r="AI272">
        <f>IF($C272-AI$1&lt;År1,0,AH271*(1-VLOOKUP($A272,[1]Hugst!$R$5:$W$9,MATCH(ROUNDUP((AI$1)/10,0)*10,[1]Hugst!$R$4:$W$4,0))))</f>
        <v>0</v>
      </c>
      <c r="AJ272">
        <f>IF($C272-AJ$1&lt;År1,0,AI271*(1-VLOOKUP($A272,[1]Hugst!$R$5:$W$9,MATCH(ROUNDUP((AJ$1)/10,0)*10,[1]Hugst!$R$4:$W$4,0))))</f>
        <v>0</v>
      </c>
    </row>
    <row r="273" spans="1:36" x14ac:dyDescent="0.25">
      <c r="A273" t="s">
        <v>180</v>
      </c>
      <c r="B273" t="s">
        <v>23</v>
      </c>
      <c r="C273">
        <v>2043</v>
      </c>
      <c r="D273" cm="1">
        <f t="array" ref="D273">(IF(B273="Vestdanmark",Skovbrug!$C$22-(Skovbrug!$C$22)*(1-Skovbrug!$C$9)^(C273-Skovbrug!$B$12),Skovbrug!$F$22-(Skovbrug!$F$22)*(1-Skovbrug!$C$9)^(C273-Skovbrug!$B$12)))*VLOOKUP(A273,Skovbrug!$A$13:$D$17,IF('Skovbrug-alder'!C273&lt;=År2,3,4),FALSE)
-IF(C273&gt;2020,SUM(INDEX($C$1:$D$311,MATCH(1,(2020=$C$1:$C$311)*(B273=$B$1:$B$311)*(A273=$A$1:$A$311),0),2):D272),0)</f>
        <v>0</v>
      </c>
      <c r="E273">
        <f t="shared" ca="1" si="6"/>
        <v>0</v>
      </c>
      <c r="F273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>
        <f ca="1">IF($C273-G$1&lt;År1,0,F272*(1-VLOOKUP($A273,[1]Hugst!$R$5:$W$9,MATCH(ROUNDUP((G$1)/10,0)*10,[1]Hugst!$R$4:$W$4,0))))</f>
        <v>0</v>
      </c>
      <c r="H273">
        <f ca="1">IF($C273-H$1&lt;År1,0,G272*(1-VLOOKUP($A273,[1]Hugst!$R$5:$W$9,MATCH(ROUNDUP((H$1)/10,0)*10,[1]Hugst!$R$4:$W$4,0))))</f>
        <v>0</v>
      </c>
      <c r="I273">
        <f ca="1">IF($C273-I$1&lt;År1,0,H272*(1-VLOOKUP($A273,[1]Hugst!$R$5:$W$9,MATCH(ROUNDUP((I$1)/10,0)*10,[1]Hugst!$R$4:$W$4,0))))</f>
        <v>0</v>
      </c>
      <c r="J273">
        <f ca="1">IF($C273-J$1&lt;År1,0,I272*(1-VLOOKUP($A273,[1]Hugst!$R$5:$W$9,MATCH(ROUNDUP((J$1)/10,0)*10,[1]Hugst!$R$4:$W$4,0))))</f>
        <v>0</v>
      </c>
      <c r="K273">
        <f ca="1">IF($C273-K$1&lt;År1,0,J272*(1-VLOOKUP($A273,[1]Hugst!$R$5:$W$9,MATCH(ROUNDUP((K$1)/10,0)*10,[1]Hugst!$R$4:$W$4,0))))</f>
        <v>0</v>
      </c>
      <c r="L273">
        <f ca="1">IF($C273-L$1&lt;År1,0,K272*(1-VLOOKUP($A273,[1]Hugst!$R$5:$W$9,MATCH(ROUNDUP((L$1)/10,0)*10,[1]Hugst!$R$4:$W$4,0))))</f>
        <v>0</v>
      </c>
      <c r="M273">
        <f ca="1">IF($C273-M$1&lt;År1,0,L272*(1-VLOOKUP($A273,[1]Hugst!$R$5:$W$9,MATCH(ROUNDUP((M$1)/10,0)*10,[1]Hugst!$R$4:$W$4,0))))</f>
        <v>0</v>
      </c>
      <c r="N273">
        <f ca="1">IF($C273-N$1&lt;År1,0,M272*(1-VLOOKUP($A273,[1]Hugst!$R$5:$W$9,MATCH(ROUNDUP((N$1)/10,0)*10,[1]Hugst!$R$4:$W$4,0))))</f>
        <v>0</v>
      </c>
      <c r="O273">
        <f ca="1">IF($C273-O$1&lt;År1,0,N272*(1-VLOOKUP($A273,[1]Hugst!$R$5:$W$9,MATCH(ROUNDUP((O$1)/10,0)*10,[1]Hugst!$R$4:$W$4,0))))</f>
        <v>0</v>
      </c>
      <c r="P273">
        <f ca="1">IF($C273-P$1&lt;År1,0,O272*(1-VLOOKUP($A273,[1]Hugst!$R$5:$W$9,MATCH(ROUNDUP((P$1)/10,0)*10,[1]Hugst!$R$4:$W$4,0))))</f>
        <v>0</v>
      </c>
      <c r="Q273">
        <f ca="1">IF($C273-Q$1&lt;År1,0,P272*(1-VLOOKUP($A273,[1]Hugst!$R$5:$W$9,MATCH(ROUNDUP((Q$1)/10,0)*10,[1]Hugst!$R$4:$W$4,0))))</f>
        <v>0</v>
      </c>
      <c r="R273">
        <f ca="1">IF($C273-R$1&lt;År1,0,Q272*(1-VLOOKUP($A273,[1]Hugst!$R$5:$W$9,MATCH(ROUNDUP((R$1)/10,0)*10,[1]Hugst!$R$4:$W$4,0))))</f>
        <v>0</v>
      </c>
      <c r="S273">
        <f ca="1">IF($C273-S$1&lt;År1,0,R272*(1-VLOOKUP($A273,[1]Hugst!$R$5:$W$9,MATCH(ROUNDUP((S$1)/10,0)*10,[1]Hugst!$R$4:$W$4,0))))</f>
        <v>0</v>
      </c>
      <c r="T273">
        <f ca="1">IF($C273-T$1&lt;År1,0,S272*(1-VLOOKUP($A273,[1]Hugst!$R$5:$W$9,MATCH(ROUNDUP((T$1)/10,0)*10,[1]Hugst!$R$4:$W$4,0))))</f>
        <v>0</v>
      </c>
      <c r="U273">
        <f ca="1">IF($C273-U$1&lt;År1,0,T272*(1-VLOOKUP($A273,[1]Hugst!$R$5:$W$9,MATCH(ROUNDUP((U$1)/10,0)*10,[1]Hugst!$R$4:$W$4,0))))</f>
        <v>0</v>
      </c>
      <c r="V273">
        <f ca="1">IF($C273-V$1&lt;År1,0,U272*(1-VLOOKUP($A273,[1]Hugst!$R$5:$W$9,MATCH(ROUNDUP((V$1)/10,0)*10,[1]Hugst!$R$4:$W$4,0))))</f>
        <v>0</v>
      </c>
      <c r="W273">
        <f ca="1">IF($C273-W$1&lt;År1,0,V272*(1-VLOOKUP($A273,[1]Hugst!$R$5:$W$9,MATCH(ROUNDUP((W$1)/10,0)*10,[1]Hugst!$R$4:$W$4,0))))</f>
        <v>0</v>
      </c>
      <c r="X273">
        <f ca="1">IF($C273-X$1&lt;År1,0,W272*(1-VLOOKUP($A273,[1]Hugst!$R$5:$W$9,MATCH(ROUNDUP((X$1)/10,0)*10,[1]Hugst!$R$4:$W$4,0))))</f>
        <v>0</v>
      </c>
      <c r="Y273">
        <f ca="1">IF($C273-Y$1&lt;År1,0,X272*(1-VLOOKUP($A273,[1]Hugst!$R$5:$W$9,MATCH(ROUNDUP((Y$1)/10,0)*10,[1]Hugst!$R$4:$W$4,0))))</f>
        <v>0</v>
      </c>
      <c r="Z273">
        <f ca="1">IF($C273-Z$1&lt;År1,0,Y272*(1-VLOOKUP($A273,[1]Hugst!$R$5:$W$9,MATCH(ROUNDUP((Z$1)/10,0)*10,[1]Hugst!$R$4:$W$4,0))))</f>
        <v>0</v>
      </c>
      <c r="AA273">
        <f ca="1">IF($C273-AA$1&lt;År1,0,Z272*(1-VLOOKUP($A273,[1]Hugst!$R$5:$W$9,MATCH(ROUNDUP((AA$1)/10,0)*10,[1]Hugst!$R$4:$W$4,0))))</f>
        <v>0</v>
      </c>
      <c r="AB273">
        <f ca="1">IF($C273-AB$1&lt;År1,0,AA272*(1-VLOOKUP($A273,[1]Hugst!$R$5:$W$9,MATCH(ROUNDUP((AB$1)/10,0)*10,[1]Hugst!$R$4:$W$4,0))))</f>
        <v>0</v>
      </c>
      <c r="AC273">
        <f ca="1">IF($C273-AC$1&lt;År1,0,AB272*(1-VLOOKUP($A273,[1]Hugst!$R$5:$W$9,MATCH(ROUNDUP((AC$1)/10,0)*10,[1]Hugst!$R$4:$W$4,0))))</f>
        <v>0</v>
      </c>
      <c r="AD273">
        <f>IF($C273-AD$1&lt;År1,0,AC272*(1-VLOOKUP($A273,[1]Hugst!$R$5:$W$9,MATCH(ROUNDUP((AD$1)/10,0)*10,[1]Hugst!$R$4:$W$4,0))))</f>
        <v>0</v>
      </c>
      <c r="AE273">
        <f>IF($C273-AE$1&lt;År1,0,AD272*(1-VLOOKUP($A273,[1]Hugst!$R$5:$W$9,MATCH(ROUNDUP((AE$1)/10,0)*10,[1]Hugst!$R$4:$W$4,0))))</f>
        <v>0</v>
      </c>
      <c r="AF273">
        <f>IF($C273-AF$1&lt;År1,0,AE272*(1-VLOOKUP($A273,[1]Hugst!$R$5:$W$9,MATCH(ROUNDUP((AF$1)/10,0)*10,[1]Hugst!$R$4:$W$4,0))))</f>
        <v>0</v>
      </c>
      <c r="AG273">
        <f>IF($C273-AG$1&lt;År1,0,AF272*(1-VLOOKUP($A273,[1]Hugst!$R$5:$W$9,MATCH(ROUNDUP((AG$1)/10,0)*10,[1]Hugst!$R$4:$W$4,0))))</f>
        <v>0</v>
      </c>
      <c r="AH273">
        <f>IF($C273-AH$1&lt;År1,0,AG272*(1-VLOOKUP($A273,[1]Hugst!$R$5:$W$9,MATCH(ROUNDUP((AH$1)/10,0)*10,[1]Hugst!$R$4:$W$4,0))))</f>
        <v>0</v>
      </c>
      <c r="AI273">
        <f>IF($C273-AI$1&lt;År1,0,AH272*(1-VLOOKUP($A273,[1]Hugst!$R$5:$W$9,MATCH(ROUNDUP((AI$1)/10,0)*10,[1]Hugst!$R$4:$W$4,0))))</f>
        <v>0</v>
      </c>
      <c r="AJ273">
        <f>IF($C273-AJ$1&lt;År1,0,AI272*(1-VLOOKUP($A273,[1]Hugst!$R$5:$W$9,MATCH(ROUNDUP((AJ$1)/10,0)*10,[1]Hugst!$R$4:$W$4,0))))</f>
        <v>0</v>
      </c>
    </row>
    <row r="274" spans="1:36" x14ac:dyDescent="0.25">
      <c r="A274" t="s">
        <v>180</v>
      </c>
      <c r="B274" t="s">
        <v>23</v>
      </c>
      <c r="C274">
        <v>2044</v>
      </c>
      <c r="D274" cm="1">
        <f t="array" ref="D274">(IF(B274="Vestdanmark",Skovbrug!$C$22-(Skovbrug!$C$22)*(1-Skovbrug!$C$9)^(C274-Skovbrug!$B$12),Skovbrug!$F$22-(Skovbrug!$F$22)*(1-Skovbrug!$C$9)^(C274-Skovbrug!$B$12)))*VLOOKUP(A274,Skovbrug!$A$13:$D$17,IF('Skovbrug-alder'!C274&lt;=År2,3,4),FALSE)
-IF(C274&gt;2020,SUM(INDEX($C$1:$D$311,MATCH(1,(2020=$C$1:$C$311)*(B274=$B$1:$B$311)*(A274=$A$1:$A$311),0),2):D273),0)</f>
        <v>0</v>
      </c>
      <c r="E274">
        <f t="shared" ca="1" si="6"/>
        <v>0</v>
      </c>
      <c r="F274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>
        <f ca="1">IF($C274-G$1&lt;År1,0,F273*(1-VLOOKUP($A274,[1]Hugst!$R$5:$W$9,MATCH(ROUNDUP((G$1)/10,0)*10,[1]Hugst!$R$4:$W$4,0))))</f>
        <v>0</v>
      </c>
      <c r="H274">
        <f ca="1">IF($C274-H$1&lt;År1,0,G273*(1-VLOOKUP($A274,[1]Hugst!$R$5:$W$9,MATCH(ROUNDUP((H$1)/10,0)*10,[1]Hugst!$R$4:$W$4,0))))</f>
        <v>0</v>
      </c>
      <c r="I274">
        <f ca="1">IF($C274-I$1&lt;År1,0,H273*(1-VLOOKUP($A274,[1]Hugst!$R$5:$W$9,MATCH(ROUNDUP((I$1)/10,0)*10,[1]Hugst!$R$4:$W$4,0))))</f>
        <v>0</v>
      </c>
      <c r="J274">
        <f ca="1">IF($C274-J$1&lt;År1,0,I273*(1-VLOOKUP($A274,[1]Hugst!$R$5:$W$9,MATCH(ROUNDUP((J$1)/10,0)*10,[1]Hugst!$R$4:$W$4,0))))</f>
        <v>0</v>
      </c>
      <c r="K274">
        <f ca="1">IF($C274-K$1&lt;År1,0,J273*(1-VLOOKUP($A274,[1]Hugst!$R$5:$W$9,MATCH(ROUNDUP((K$1)/10,0)*10,[1]Hugst!$R$4:$W$4,0))))</f>
        <v>0</v>
      </c>
      <c r="L274">
        <f ca="1">IF($C274-L$1&lt;År1,0,K273*(1-VLOOKUP($A274,[1]Hugst!$R$5:$W$9,MATCH(ROUNDUP((L$1)/10,0)*10,[1]Hugst!$R$4:$W$4,0))))</f>
        <v>0</v>
      </c>
      <c r="M274">
        <f ca="1">IF($C274-M$1&lt;År1,0,L273*(1-VLOOKUP($A274,[1]Hugst!$R$5:$W$9,MATCH(ROUNDUP((M$1)/10,0)*10,[1]Hugst!$R$4:$W$4,0))))</f>
        <v>0</v>
      </c>
      <c r="N274">
        <f ca="1">IF($C274-N$1&lt;År1,0,M273*(1-VLOOKUP($A274,[1]Hugst!$R$5:$W$9,MATCH(ROUNDUP((N$1)/10,0)*10,[1]Hugst!$R$4:$W$4,0))))</f>
        <v>0</v>
      </c>
      <c r="O274">
        <f ca="1">IF($C274-O$1&lt;År1,0,N273*(1-VLOOKUP($A274,[1]Hugst!$R$5:$W$9,MATCH(ROUNDUP((O$1)/10,0)*10,[1]Hugst!$R$4:$W$4,0))))</f>
        <v>0</v>
      </c>
      <c r="P274">
        <f ca="1">IF($C274-P$1&lt;År1,0,O273*(1-VLOOKUP($A274,[1]Hugst!$R$5:$W$9,MATCH(ROUNDUP((P$1)/10,0)*10,[1]Hugst!$R$4:$W$4,0))))</f>
        <v>0</v>
      </c>
      <c r="Q274">
        <f ca="1">IF($C274-Q$1&lt;År1,0,P273*(1-VLOOKUP($A274,[1]Hugst!$R$5:$W$9,MATCH(ROUNDUP((Q$1)/10,0)*10,[1]Hugst!$R$4:$W$4,0))))</f>
        <v>0</v>
      </c>
      <c r="R274">
        <f ca="1">IF($C274-R$1&lt;År1,0,Q273*(1-VLOOKUP($A274,[1]Hugst!$R$5:$W$9,MATCH(ROUNDUP((R$1)/10,0)*10,[1]Hugst!$R$4:$W$4,0))))</f>
        <v>0</v>
      </c>
      <c r="S274">
        <f ca="1">IF($C274-S$1&lt;År1,0,R273*(1-VLOOKUP($A274,[1]Hugst!$R$5:$W$9,MATCH(ROUNDUP((S$1)/10,0)*10,[1]Hugst!$R$4:$W$4,0))))</f>
        <v>0</v>
      </c>
      <c r="T274">
        <f ca="1">IF($C274-T$1&lt;År1,0,S273*(1-VLOOKUP($A274,[1]Hugst!$R$5:$W$9,MATCH(ROUNDUP((T$1)/10,0)*10,[1]Hugst!$R$4:$W$4,0))))</f>
        <v>0</v>
      </c>
      <c r="U274">
        <f ca="1">IF($C274-U$1&lt;År1,0,T273*(1-VLOOKUP($A274,[1]Hugst!$R$5:$W$9,MATCH(ROUNDUP((U$1)/10,0)*10,[1]Hugst!$R$4:$W$4,0))))</f>
        <v>0</v>
      </c>
      <c r="V274">
        <f ca="1">IF($C274-V$1&lt;År1,0,U273*(1-VLOOKUP($A274,[1]Hugst!$R$5:$W$9,MATCH(ROUNDUP((V$1)/10,0)*10,[1]Hugst!$R$4:$W$4,0))))</f>
        <v>0</v>
      </c>
      <c r="W274">
        <f ca="1">IF($C274-W$1&lt;År1,0,V273*(1-VLOOKUP($A274,[1]Hugst!$R$5:$W$9,MATCH(ROUNDUP((W$1)/10,0)*10,[1]Hugst!$R$4:$W$4,0))))</f>
        <v>0</v>
      </c>
      <c r="X274">
        <f ca="1">IF($C274-X$1&lt;År1,0,W273*(1-VLOOKUP($A274,[1]Hugst!$R$5:$W$9,MATCH(ROUNDUP((X$1)/10,0)*10,[1]Hugst!$R$4:$W$4,0))))</f>
        <v>0</v>
      </c>
      <c r="Y274">
        <f ca="1">IF($C274-Y$1&lt;År1,0,X273*(1-VLOOKUP($A274,[1]Hugst!$R$5:$W$9,MATCH(ROUNDUP((Y$1)/10,0)*10,[1]Hugst!$R$4:$W$4,0))))</f>
        <v>0</v>
      </c>
      <c r="Z274">
        <f ca="1">IF($C274-Z$1&lt;År1,0,Y273*(1-VLOOKUP($A274,[1]Hugst!$R$5:$W$9,MATCH(ROUNDUP((Z$1)/10,0)*10,[1]Hugst!$R$4:$W$4,0))))</f>
        <v>0</v>
      </c>
      <c r="AA274">
        <f ca="1">IF($C274-AA$1&lt;År1,0,Z273*(1-VLOOKUP($A274,[1]Hugst!$R$5:$W$9,MATCH(ROUNDUP((AA$1)/10,0)*10,[1]Hugst!$R$4:$W$4,0))))</f>
        <v>0</v>
      </c>
      <c r="AB274">
        <f ca="1">IF($C274-AB$1&lt;År1,0,AA273*(1-VLOOKUP($A274,[1]Hugst!$R$5:$W$9,MATCH(ROUNDUP((AB$1)/10,0)*10,[1]Hugst!$R$4:$W$4,0))))</f>
        <v>0</v>
      </c>
      <c r="AC274">
        <f ca="1">IF($C274-AC$1&lt;År1,0,AB273*(1-VLOOKUP($A274,[1]Hugst!$R$5:$W$9,MATCH(ROUNDUP((AC$1)/10,0)*10,[1]Hugst!$R$4:$W$4,0))))</f>
        <v>0</v>
      </c>
      <c r="AD274">
        <f ca="1">IF($C274-AD$1&lt;År1,0,AC273*(1-VLOOKUP($A274,[1]Hugst!$R$5:$W$9,MATCH(ROUNDUP((AD$1)/10,0)*10,[1]Hugst!$R$4:$W$4,0))))</f>
        <v>0</v>
      </c>
      <c r="AE274">
        <f>IF($C274-AE$1&lt;År1,0,AD273*(1-VLOOKUP($A274,[1]Hugst!$R$5:$W$9,MATCH(ROUNDUP((AE$1)/10,0)*10,[1]Hugst!$R$4:$W$4,0))))</f>
        <v>0</v>
      </c>
      <c r="AF274">
        <f>IF($C274-AF$1&lt;År1,0,AE273*(1-VLOOKUP($A274,[1]Hugst!$R$5:$W$9,MATCH(ROUNDUP((AF$1)/10,0)*10,[1]Hugst!$R$4:$W$4,0))))</f>
        <v>0</v>
      </c>
      <c r="AG274">
        <f>IF($C274-AG$1&lt;År1,0,AF273*(1-VLOOKUP($A274,[1]Hugst!$R$5:$W$9,MATCH(ROUNDUP((AG$1)/10,0)*10,[1]Hugst!$R$4:$W$4,0))))</f>
        <v>0</v>
      </c>
      <c r="AH274">
        <f>IF($C274-AH$1&lt;År1,0,AG273*(1-VLOOKUP($A274,[1]Hugst!$R$5:$W$9,MATCH(ROUNDUP((AH$1)/10,0)*10,[1]Hugst!$R$4:$W$4,0))))</f>
        <v>0</v>
      </c>
      <c r="AI274">
        <f>IF($C274-AI$1&lt;År1,0,AH273*(1-VLOOKUP($A274,[1]Hugst!$R$5:$W$9,MATCH(ROUNDUP((AI$1)/10,0)*10,[1]Hugst!$R$4:$W$4,0))))</f>
        <v>0</v>
      </c>
      <c r="AJ274">
        <f>IF($C274-AJ$1&lt;År1,0,AI273*(1-VLOOKUP($A274,[1]Hugst!$R$5:$W$9,MATCH(ROUNDUP((AJ$1)/10,0)*10,[1]Hugst!$R$4:$W$4,0))))</f>
        <v>0</v>
      </c>
    </row>
    <row r="275" spans="1:36" x14ac:dyDescent="0.25">
      <c r="A275" t="s">
        <v>180</v>
      </c>
      <c r="B275" t="s">
        <v>23</v>
      </c>
      <c r="C275">
        <v>2045</v>
      </c>
      <c r="D275" cm="1">
        <f t="array" ref="D275">(IF(B275="Vestdanmark",Skovbrug!$C$22-(Skovbrug!$C$22)*(1-Skovbrug!$C$9)^(C275-Skovbrug!$B$12),Skovbrug!$F$22-(Skovbrug!$F$22)*(1-Skovbrug!$C$9)^(C275-Skovbrug!$B$12)))*VLOOKUP(A275,Skovbrug!$A$13:$D$17,IF('Skovbrug-alder'!C275&lt;=År2,3,4),FALSE)
-IF(C275&gt;2020,SUM(INDEX($C$1:$D$311,MATCH(1,(2020=$C$1:$C$311)*(B275=$B$1:$B$311)*(A275=$A$1:$A$311),0),2):D274),0)</f>
        <v>0</v>
      </c>
      <c r="E275">
        <f t="shared" ca="1" si="6"/>
        <v>0</v>
      </c>
      <c r="F275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>
        <f ca="1">IF($C275-G$1&lt;År1,0,F274*(1-VLOOKUP($A275,[1]Hugst!$R$5:$W$9,MATCH(ROUNDUP((G$1)/10,0)*10,[1]Hugst!$R$4:$W$4,0))))</f>
        <v>0</v>
      </c>
      <c r="H275">
        <f ca="1">IF($C275-H$1&lt;År1,0,G274*(1-VLOOKUP($A275,[1]Hugst!$R$5:$W$9,MATCH(ROUNDUP((H$1)/10,0)*10,[1]Hugst!$R$4:$W$4,0))))</f>
        <v>0</v>
      </c>
      <c r="I275">
        <f ca="1">IF($C275-I$1&lt;År1,0,H274*(1-VLOOKUP($A275,[1]Hugst!$R$5:$W$9,MATCH(ROUNDUP((I$1)/10,0)*10,[1]Hugst!$R$4:$W$4,0))))</f>
        <v>0</v>
      </c>
      <c r="J275">
        <f ca="1">IF($C275-J$1&lt;År1,0,I274*(1-VLOOKUP($A275,[1]Hugst!$R$5:$W$9,MATCH(ROUNDUP((J$1)/10,0)*10,[1]Hugst!$R$4:$W$4,0))))</f>
        <v>0</v>
      </c>
      <c r="K275">
        <f ca="1">IF($C275-K$1&lt;År1,0,J274*(1-VLOOKUP($A275,[1]Hugst!$R$5:$W$9,MATCH(ROUNDUP((K$1)/10,0)*10,[1]Hugst!$R$4:$W$4,0))))</f>
        <v>0</v>
      </c>
      <c r="L275">
        <f ca="1">IF($C275-L$1&lt;År1,0,K274*(1-VLOOKUP($A275,[1]Hugst!$R$5:$W$9,MATCH(ROUNDUP((L$1)/10,0)*10,[1]Hugst!$R$4:$W$4,0))))</f>
        <v>0</v>
      </c>
      <c r="M275">
        <f ca="1">IF($C275-M$1&lt;År1,0,L274*(1-VLOOKUP($A275,[1]Hugst!$R$5:$W$9,MATCH(ROUNDUP((M$1)/10,0)*10,[1]Hugst!$R$4:$W$4,0))))</f>
        <v>0</v>
      </c>
      <c r="N275">
        <f ca="1">IF($C275-N$1&lt;År1,0,M274*(1-VLOOKUP($A275,[1]Hugst!$R$5:$W$9,MATCH(ROUNDUP((N$1)/10,0)*10,[1]Hugst!$R$4:$W$4,0))))</f>
        <v>0</v>
      </c>
      <c r="O275">
        <f ca="1">IF($C275-O$1&lt;År1,0,N274*(1-VLOOKUP($A275,[1]Hugst!$R$5:$W$9,MATCH(ROUNDUP((O$1)/10,0)*10,[1]Hugst!$R$4:$W$4,0))))</f>
        <v>0</v>
      </c>
      <c r="P275">
        <f ca="1">IF($C275-P$1&lt;År1,0,O274*(1-VLOOKUP($A275,[1]Hugst!$R$5:$W$9,MATCH(ROUNDUP((P$1)/10,0)*10,[1]Hugst!$R$4:$W$4,0))))</f>
        <v>0</v>
      </c>
      <c r="Q275">
        <f ca="1">IF($C275-Q$1&lt;År1,0,P274*(1-VLOOKUP($A275,[1]Hugst!$R$5:$W$9,MATCH(ROUNDUP((Q$1)/10,0)*10,[1]Hugst!$R$4:$W$4,0))))</f>
        <v>0</v>
      </c>
      <c r="R275">
        <f ca="1">IF($C275-R$1&lt;År1,0,Q274*(1-VLOOKUP($A275,[1]Hugst!$R$5:$W$9,MATCH(ROUNDUP((R$1)/10,0)*10,[1]Hugst!$R$4:$W$4,0))))</f>
        <v>0</v>
      </c>
      <c r="S275">
        <f ca="1">IF($C275-S$1&lt;År1,0,R274*(1-VLOOKUP($A275,[1]Hugst!$R$5:$W$9,MATCH(ROUNDUP((S$1)/10,0)*10,[1]Hugst!$R$4:$W$4,0))))</f>
        <v>0</v>
      </c>
      <c r="T275">
        <f ca="1">IF($C275-T$1&lt;År1,0,S274*(1-VLOOKUP($A275,[1]Hugst!$R$5:$W$9,MATCH(ROUNDUP((T$1)/10,0)*10,[1]Hugst!$R$4:$W$4,0))))</f>
        <v>0</v>
      </c>
      <c r="U275">
        <f ca="1">IF($C275-U$1&lt;År1,0,T274*(1-VLOOKUP($A275,[1]Hugst!$R$5:$W$9,MATCH(ROUNDUP((U$1)/10,0)*10,[1]Hugst!$R$4:$W$4,0))))</f>
        <v>0</v>
      </c>
      <c r="V275">
        <f ca="1">IF($C275-V$1&lt;År1,0,U274*(1-VLOOKUP($A275,[1]Hugst!$R$5:$W$9,MATCH(ROUNDUP((V$1)/10,0)*10,[1]Hugst!$R$4:$W$4,0))))</f>
        <v>0</v>
      </c>
      <c r="W275">
        <f ca="1">IF($C275-W$1&lt;År1,0,V274*(1-VLOOKUP($A275,[1]Hugst!$R$5:$W$9,MATCH(ROUNDUP((W$1)/10,0)*10,[1]Hugst!$R$4:$W$4,0))))</f>
        <v>0</v>
      </c>
      <c r="X275">
        <f ca="1">IF($C275-X$1&lt;År1,0,W274*(1-VLOOKUP($A275,[1]Hugst!$R$5:$W$9,MATCH(ROUNDUP((X$1)/10,0)*10,[1]Hugst!$R$4:$W$4,0))))</f>
        <v>0</v>
      </c>
      <c r="Y275">
        <f ca="1">IF($C275-Y$1&lt;År1,0,X274*(1-VLOOKUP($A275,[1]Hugst!$R$5:$W$9,MATCH(ROUNDUP((Y$1)/10,0)*10,[1]Hugst!$R$4:$W$4,0))))</f>
        <v>0</v>
      </c>
      <c r="Z275">
        <f ca="1">IF($C275-Z$1&lt;År1,0,Y274*(1-VLOOKUP($A275,[1]Hugst!$R$5:$W$9,MATCH(ROUNDUP((Z$1)/10,0)*10,[1]Hugst!$R$4:$W$4,0))))</f>
        <v>0</v>
      </c>
      <c r="AA275">
        <f ca="1">IF($C275-AA$1&lt;År1,0,Z274*(1-VLOOKUP($A275,[1]Hugst!$R$5:$W$9,MATCH(ROUNDUP((AA$1)/10,0)*10,[1]Hugst!$R$4:$W$4,0))))</f>
        <v>0</v>
      </c>
      <c r="AB275">
        <f ca="1">IF($C275-AB$1&lt;År1,0,AA274*(1-VLOOKUP($A275,[1]Hugst!$R$5:$W$9,MATCH(ROUNDUP((AB$1)/10,0)*10,[1]Hugst!$R$4:$W$4,0))))</f>
        <v>0</v>
      </c>
      <c r="AC275">
        <f ca="1">IF($C275-AC$1&lt;År1,0,AB274*(1-VLOOKUP($A275,[1]Hugst!$R$5:$W$9,MATCH(ROUNDUP((AC$1)/10,0)*10,[1]Hugst!$R$4:$W$4,0))))</f>
        <v>0</v>
      </c>
      <c r="AD275">
        <f ca="1">IF($C275-AD$1&lt;År1,0,AC274*(1-VLOOKUP($A275,[1]Hugst!$R$5:$W$9,MATCH(ROUNDUP((AD$1)/10,0)*10,[1]Hugst!$R$4:$W$4,0))))</f>
        <v>0</v>
      </c>
      <c r="AE275">
        <f ca="1">IF($C275-AE$1&lt;År1,0,AD274*(1-VLOOKUP($A275,[1]Hugst!$R$5:$W$9,MATCH(ROUNDUP((AE$1)/10,0)*10,[1]Hugst!$R$4:$W$4,0))))</f>
        <v>0</v>
      </c>
      <c r="AF275">
        <f>IF($C275-AF$1&lt;År1,0,AE274*(1-VLOOKUP($A275,[1]Hugst!$R$5:$W$9,MATCH(ROUNDUP((AF$1)/10,0)*10,[1]Hugst!$R$4:$W$4,0))))</f>
        <v>0</v>
      </c>
      <c r="AG275">
        <f>IF($C275-AG$1&lt;År1,0,AF274*(1-VLOOKUP($A275,[1]Hugst!$R$5:$W$9,MATCH(ROUNDUP((AG$1)/10,0)*10,[1]Hugst!$R$4:$W$4,0))))</f>
        <v>0</v>
      </c>
      <c r="AH275">
        <f>IF($C275-AH$1&lt;År1,0,AG274*(1-VLOOKUP($A275,[1]Hugst!$R$5:$W$9,MATCH(ROUNDUP((AH$1)/10,0)*10,[1]Hugst!$R$4:$W$4,0))))</f>
        <v>0</v>
      </c>
      <c r="AI275">
        <f>IF($C275-AI$1&lt;År1,0,AH274*(1-VLOOKUP($A275,[1]Hugst!$R$5:$W$9,MATCH(ROUNDUP((AI$1)/10,0)*10,[1]Hugst!$R$4:$W$4,0))))</f>
        <v>0</v>
      </c>
      <c r="AJ275">
        <f>IF($C275-AJ$1&lt;År1,0,AI274*(1-VLOOKUP($A275,[1]Hugst!$R$5:$W$9,MATCH(ROUNDUP((AJ$1)/10,0)*10,[1]Hugst!$R$4:$W$4,0))))</f>
        <v>0</v>
      </c>
    </row>
    <row r="276" spans="1:36" x14ac:dyDescent="0.25">
      <c r="A276" t="s">
        <v>180</v>
      </c>
      <c r="B276" t="s">
        <v>23</v>
      </c>
      <c r="C276">
        <v>2046</v>
      </c>
      <c r="D276" cm="1">
        <f t="array" ref="D276">(IF(B276="Vestdanmark",Skovbrug!$C$22-(Skovbrug!$C$22)*(1-Skovbrug!$C$9)^(C276-Skovbrug!$B$12),Skovbrug!$F$22-(Skovbrug!$F$22)*(1-Skovbrug!$C$9)^(C276-Skovbrug!$B$12)))*VLOOKUP(A276,Skovbrug!$A$13:$D$17,IF('Skovbrug-alder'!C276&lt;=År2,3,4),FALSE)
-IF(C276&gt;2020,SUM(INDEX($C$1:$D$311,MATCH(1,(2020=$C$1:$C$311)*(B276=$B$1:$B$311)*(A276=$A$1:$A$311),0),2):D275),0)</f>
        <v>0</v>
      </c>
      <c r="E276">
        <f t="shared" ca="1" si="6"/>
        <v>0</v>
      </c>
      <c r="F276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>
        <f ca="1">IF($C276-G$1&lt;År1,0,F275*(1-VLOOKUP($A276,[1]Hugst!$R$5:$W$9,MATCH(ROUNDUP((G$1)/10,0)*10,[1]Hugst!$R$4:$W$4,0))))</f>
        <v>0</v>
      </c>
      <c r="H276">
        <f ca="1">IF($C276-H$1&lt;År1,0,G275*(1-VLOOKUP($A276,[1]Hugst!$R$5:$W$9,MATCH(ROUNDUP((H$1)/10,0)*10,[1]Hugst!$R$4:$W$4,0))))</f>
        <v>0</v>
      </c>
      <c r="I276">
        <f ca="1">IF($C276-I$1&lt;År1,0,H275*(1-VLOOKUP($A276,[1]Hugst!$R$5:$W$9,MATCH(ROUNDUP((I$1)/10,0)*10,[1]Hugst!$R$4:$W$4,0))))</f>
        <v>0</v>
      </c>
      <c r="J276">
        <f ca="1">IF($C276-J$1&lt;År1,0,I275*(1-VLOOKUP($A276,[1]Hugst!$R$5:$W$9,MATCH(ROUNDUP((J$1)/10,0)*10,[1]Hugst!$R$4:$W$4,0))))</f>
        <v>0</v>
      </c>
      <c r="K276">
        <f ca="1">IF($C276-K$1&lt;År1,0,J275*(1-VLOOKUP($A276,[1]Hugst!$R$5:$W$9,MATCH(ROUNDUP((K$1)/10,0)*10,[1]Hugst!$R$4:$W$4,0))))</f>
        <v>0</v>
      </c>
      <c r="L276">
        <f ca="1">IF($C276-L$1&lt;År1,0,K275*(1-VLOOKUP($A276,[1]Hugst!$R$5:$W$9,MATCH(ROUNDUP((L$1)/10,0)*10,[1]Hugst!$R$4:$W$4,0))))</f>
        <v>0</v>
      </c>
      <c r="M276">
        <f ca="1">IF($C276-M$1&lt;År1,0,L275*(1-VLOOKUP($A276,[1]Hugst!$R$5:$W$9,MATCH(ROUNDUP((M$1)/10,0)*10,[1]Hugst!$R$4:$W$4,0))))</f>
        <v>0</v>
      </c>
      <c r="N276">
        <f ca="1">IF($C276-N$1&lt;År1,0,M275*(1-VLOOKUP($A276,[1]Hugst!$R$5:$W$9,MATCH(ROUNDUP((N$1)/10,0)*10,[1]Hugst!$R$4:$W$4,0))))</f>
        <v>0</v>
      </c>
      <c r="O276">
        <f ca="1">IF($C276-O$1&lt;År1,0,N275*(1-VLOOKUP($A276,[1]Hugst!$R$5:$W$9,MATCH(ROUNDUP((O$1)/10,0)*10,[1]Hugst!$R$4:$W$4,0))))</f>
        <v>0</v>
      </c>
      <c r="P276">
        <f ca="1">IF($C276-P$1&lt;År1,0,O275*(1-VLOOKUP($A276,[1]Hugst!$R$5:$W$9,MATCH(ROUNDUP((P$1)/10,0)*10,[1]Hugst!$R$4:$W$4,0))))</f>
        <v>0</v>
      </c>
      <c r="Q276">
        <f ca="1">IF($C276-Q$1&lt;År1,0,P275*(1-VLOOKUP($A276,[1]Hugst!$R$5:$W$9,MATCH(ROUNDUP((Q$1)/10,0)*10,[1]Hugst!$R$4:$W$4,0))))</f>
        <v>0</v>
      </c>
      <c r="R276">
        <f ca="1">IF($C276-R$1&lt;År1,0,Q275*(1-VLOOKUP($A276,[1]Hugst!$R$5:$W$9,MATCH(ROUNDUP((R$1)/10,0)*10,[1]Hugst!$R$4:$W$4,0))))</f>
        <v>0</v>
      </c>
      <c r="S276">
        <f ca="1">IF($C276-S$1&lt;År1,0,R275*(1-VLOOKUP($A276,[1]Hugst!$R$5:$W$9,MATCH(ROUNDUP((S$1)/10,0)*10,[1]Hugst!$R$4:$W$4,0))))</f>
        <v>0</v>
      </c>
      <c r="T276">
        <f ca="1">IF($C276-T$1&lt;År1,0,S275*(1-VLOOKUP($A276,[1]Hugst!$R$5:$W$9,MATCH(ROUNDUP((T$1)/10,0)*10,[1]Hugst!$R$4:$W$4,0))))</f>
        <v>0</v>
      </c>
      <c r="U276">
        <f ca="1">IF($C276-U$1&lt;År1,0,T275*(1-VLOOKUP($A276,[1]Hugst!$R$5:$W$9,MATCH(ROUNDUP((U$1)/10,0)*10,[1]Hugst!$R$4:$W$4,0))))</f>
        <v>0</v>
      </c>
      <c r="V276">
        <f ca="1">IF($C276-V$1&lt;År1,0,U275*(1-VLOOKUP($A276,[1]Hugst!$R$5:$W$9,MATCH(ROUNDUP((V$1)/10,0)*10,[1]Hugst!$R$4:$W$4,0))))</f>
        <v>0</v>
      </c>
      <c r="W276">
        <f ca="1">IF($C276-W$1&lt;År1,0,V275*(1-VLOOKUP($A276,[1]Hugst!$R$5:$W$9,MATCH(ROUNDUP((W$1)/10,0)*10,[1]Hugst!$R$4:$W$4,0))))</f>
        <v>0</v>
      </c>
      <c r="X276">
        <f ca="1">IF($C276-X$1&lt;År1,0,W275*(1-VLOOKUP($A276,[1]Hugst!$R$5:$W$9,MATCH(ROUNDUP((X$1)/10,0)*10,[1]Hugst!$R$4:$W$4,0))))</f>
        <v>0</v>
      </c>
      <c r="Y276">
        <f ca="1">IF($C276-Y$1&lt;År1,0,X275*(1-VLOOKUP($A276,[1]Hugst!$R$5:$W$9,MATCH(ROUNDUP((Y$1)/10,0)*10,[1]Hugst!$R$4:$W$4,0))))</f>
        <v>0</v>
      </c>
      <c r="Z276">
        <f ca="1">IF($C276-Z$1&lt;År1,0,Y275*(1-VLOOKUP($A276,[1]Hugst!$R$5:$W$9,MATCH(ROUNDUP((Z$1)/10,0)*10,[1]Hugst!$R$4:$W$4,0))))</f>
        <v>0</v>
      </c>
      <c r="AA276">
        <f ca="1">IF($C276-AA$1&lt;År1,0,Z275*(1-VLOOKUP($A276,[1]Hugst!$R$5:$W$9,MATCH(ROUNDUP((AA$1)/10,0)*10,[1]Hugst!$R$4:$W$4,0))))</f>
        <v>0</v>
      </c>
      <c r="AB276">
        <f ca="1">IF($C276-AB$1&lt;År1,0,AA275*(1-VLOOKUP($A276,[1]Hugst!$R$5:$W$9,MATCH(ROUNDUP((AB$1)/10,0)*10,[1]Hugst!$R$4:$W$4,0))))</f>
        <v>0</v>
      </c>
      <c r="AC276">
        <f ca="1">IF($C276-AC$1&lt;År1,0,AB275*(1-VLOOKUP($A276,[1]Hugst!$R$5:$W$9,MATCH(ROUNDUP((AC$1)/10,0)*10,[1]Hugst!$R$4:$W$4,0))))</f>
        <v>0</v>
      </c>
      <c r="AD276">
        <f ca="1">IF($C276-AD$1&lt;År1,0,AC275*(1-VLOOKUP($A276,[1]Hugst!$R$5:$W$9,MATCH(ROUNDUP((AD$1)/10,0)*10,[1]Hugst!$R$4:$W$4,0))))</f>
        <v>0</v>
      </c>
      <c r="AE276">
        <f ca="1">IF($C276-AE$1&lt;År1,0,AD275*(1-VLOOKUP($A276,[1]Hugst!$R$5:$W$9,MATCH(ROUNDUP((AE$1)/10,0)*10,[1]Hugst!$R$4:$W$4,0))))</f>
        <v>0</v>
      </c>
      <c r="AF276">
        <f ca="1">IF($C276-AF$1&lt;År1,0,AE275*(1-VLOOKUP($A276,[1]Hugst!$R$5:$W$9,MATCH(ROUNDUP((AF$1)/10,0)*10,[1]Hugst!$R$4:$W$4,0))))</f>
        <v>0</v>
      </c>
      <c r="AG276">
        <f>IF($C276-AG$1&lt;År1,0,AF275*(1-VLOOKUP($A276,[1]Hugst!$R$5:$W$9,MATCH(ROUNDUP((AG$1)/10,0)*10,[1]Hugst!$R$4:$W$4,0))))</f>
        <v>0</v>
      </c>
      <c r="AH276">
        <f>IF($C276-AH$1&lt;År1,0,AG275*(1-VLOOKUP($A276,[1]Hugst!$R$5:$W$9,MATCH(ROUNDUP((AH$1)/10,0)*10,[1]Hugst!$R$4:$W$4,0))))</f>
        <v>0</v>
      </c>
      <c r="AI276">
        <f>IF($C276-AI$1&lt;År1,0,AH275*(1-VLOOKUP($A276,[1]Hugst!$R$5:$W$9,MATCH(ROUNDUP((AI$1)/10,0)*10,[1]Hugst!$R$4:$W$4,0))))</f>
        <v>0</v>
      </c>
      <c r="AJ276">
        <f>IF($C276-AJ$1&lt;År1,0,AI275*(1-VLOOKUP($A276,[1]Hugst!$R$5:$W$9,MATCH(ROUNDUP((AJ$1)/10,0)*10,[1]Hugst!$R$4:$W$4,0))))</f>
        <v>0</v>
      </c>
    </row>
    <row r="277" spans="1:36" x14ac:dyDescent="0.25">
      <c r="A277" t="s">
        <v>180</v>
      </c>
      <c r="B277" t="s">
        <v>23</v>
      </c>
      <c r="C277">
        <v>2047</v>
      </c>
      <c r="D277" cm="1">
        <f t="array" ref="D277">(IF(B277="Vestdanmark",Skovbrug!$C$22-(Skovbrug!$C$22)*(1-Skovbrug!$C$9)^(C277-Skovbrug!$B$12),Skovbrug!$F$22-(Skovbrug!$F$22)*(1-Skovbrug!$C$9)^(C277-Skovbrug!$B$12)))*VLOOKUP(A277,Skovbrug!$A$13:$D$17,IF('Skovbrug-alder'!C277&lt;=År2,3,4),FALSE)
-IF(C277&gt;2020,SUM(INDEX($C$1:$D$311,MATCH(1,(2020=$C$1:$C$311)*(B277=$B$1:$B$311)*(A277=$A$1:$A$311),0),2):D276),0)</f>
        <v>0</v>
      </c>
      <c r="E277">
        <f t="shared" ca="1" si="6"/>
        <v>0</v>
      </c>
      <c r="F277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>
        <f ca="1">IF($C277-G$1&lt;År1,0,F276*(1-VLOOKUP($A277,[1]Hugst!$R$5:$W$9,MATCH(ROUNDUP((G$1)/10,0)*10,[1]Hugst!$R$4:$W$4,0))))</f>
        <v>0</v>
      </c>
      <c r="H277">
        <f ca="1">IF($C277-H$1&lt;År1,0,G276*(1-VLOOKUP($A277,[1]Hugst!$R$5:$W$9,MATCH(ROUNDUP((H$1)/10,0)*10,[1]Hugst!$R$4:$W$4,0))))</f>
        <v>0</v>
      </c>
      <c r="I277">
        <f ca="1">IF($C277-I$1&lt;År1,0,H276*(1-VLOOKUP($A277,[1]Hugst!$R$5:$W$9,MATCH(ROUNDUP((I$1)/10,0)*10,[1]Hugst!$R$4:$W$4,0))))</f>
        <v>0</v>
      </c>
      <c r="J277">
        <f ca="1">IF($C277-J$1&lt;År1,0,I276*(1-VLOOKUP($A277,[1]Hugst!$R$5:$W$9,MATCH(ROUNDUP((J$1)/10,0)*10,[1]Hugst!$R$4:$W$4,0))))</f>
        <v>0</v>
      </c>
      <c r="K277">
        <f ca="1">IF($C277-K$1&lt;År1,0,J276*(1-VLOOKUP($A277,[1]Hugst!$R$5:$W$9,MATCH(ROUNDUP((K$1)/10,0)*10,[1]Hugst!$R$4:$W$4,0))))</f>
        <v>0</v>
      </c>
      <c r="L277">
        <f ca="1">IF($C277-L$1&lt;År1,0,K276*(1-VLOOKUP($A277,[1]Hugst!$R$5:$W$9,MATCH(ROUNDUP((L$1)/10,0)*10,[1]Hugst!$R$4:$W$4,0))))</f>
        <v>0</v>
      </c>
      <c r="M277">
        <f ca="1">IF($C277-M$1&lt;År1,0,L276*(1-VLOOKUP($A277,[1]Hugst!$R$5:$W$9,MATCH(ROUNDUP((M$1)/10,0)*10,[1]Hugst!$R$4:$W$4,0))))</f>
        <v>0</v>
      </c>
      <c r="N277">
        <f ca="1">IF($C277-N$1&lt;År1,0,M276*(1-VLOOKUP($A277,[1]Hugst!$R$5:$W$9,MATCH(ROUNDUP((N$1)/10,0)*10,[1]Hugst!$R$4:$W$4,0))))</f>
        <v>0</v>
      </c>
      <c r="O277">
        <f ca="1">IF($C277-O$1&lt;År1,0,N276*(1-VLOOKUP($A277,[1]Hugst!$R$5:$W$9,MATCH(ROUNDUP((O$1)/10,0)*10,[1]Hugst!$R$4:$W$4,0))))</f>
        <v>0</v>
      </c>
      <c r="P277">
        <f ca="1">IF($C277-P$1&lt;År1,0,O276*(1-VLOOKUP($A277,[1]Hugst!$R$5:$W$9,MATCH(ROUNDUP((P$1)/10,0)*10,[1]Hugst!$R$4:$W$4,0))))</f>
        <v>0</v>
      </c>
      <c r="Q277">
        <f ca="1">IF($C277-Q$1&lt;År1,0,P276*(1-VLOOKUP($A277,[1]Hugst!$R$5:$W$9,MATCH(ROUNDUP((Q$1)/10,0)*10,[1]Hugst!$R$4:$W$4,0))))</f>
        <v>0</v>
      </c>
      <c r="R277">
        <f ca="1">IF($C277-R$1&lt;År1,0,Q276*(1-VLOOKUP($A277,[1]Hugst!$R$5:$W$9,MATCH(ROUNDUP((R$1)/10,0)*10,[1]Hugst!$R$4:$W$4,0))))</f>
        <v>0</v>
      </c>
      <c r="S277">
        <f ca="1">IF($C277-S$1&lt;År1,0,R276*(1-VLOOKUP($A277,[1]Hugst!$R$5:$W$9,MATCH(ROUNDUP((S$1)/10,0)*10,[1]Hugst!$R$4:$W$4,0))))</f>
        <v>0</v>
      </c>
      <c r="T277">
        <f ca="1">IF($C277-T$1&lt;År1,0,S276*(1-VLOOKUP($A277,[1]Hugst!$R$5:$W$9,MATCH(ROUNDUP((T$1)/10,0)*10,[1]Hugst!$R$4:$W$4,0))))</f>
        <v>0</v>
      </c>
      <c r="U277">
        <f ca="1">IF($C277-U$1&lt;År1,0,T276*(1-VLOOKUP($A277,[1]Hugst!$R$5:$W$9,MATCH(ROUNDUP((U$1)/10,0)*10,[1]Hugst!$R$4:$W$4,0))))</f>
        <v>0</v>
      </c>
      <c r="V277">
        <f ca="1">IF($C277-V$1&lt;År1,0,U276*(1-VLOOKUP($A277,[1]Hugst!$R$5:$W$9,MATCH(ROUNDUP((V$1)/10,0)*10,[1]Hugst!$R$4:$W$4,0))))</f>
        <v>0</v>
      </c>
      <c r="W277">
        <f ca="1">IF($C277-W$1&lt;År1,0,V276*(1-VLOOKUP($A277,[1]Hugst!$R$5:$W$9,MATCH(ROUNDUP((W$1)/10,0)*10,[1]Hugst!$R$4:$W$4,0))))</f>
        <v>0</v>
      </c>
      <c r="X277">
        <f ca="1">IF($C277-X$1&lt;År1,0,W276*(1-VLOOKUP($A277,[1]Hugst!$R$5:$W$9,MATCH(ROUNDUP((X$1)/10,0)*10,[1]Hugst!$R$4:$W$4,0))))</f>
        <v>0</v>
      </c>
      <c r="Y277">
        <f ca="1">IF($C277-Y$1&lt;År1,0,X276*(1-VLOOKUP($A277,[1]Hugst!$R$5:$W$9,MATCH(ROUNDUP((Y$1)/10,0)*10,[1]Hugst!$R$4:$W$4,0))))</f>
        <v>0</v>
      </c>
      <c r="Z277">
        <f ca="1">IF($C277-Z$1&lt;År1,0,Y276*(1-VLOOKUP($A277,[1]Hugst!$R$5:$W$9,MATCH(ROUNDUP((Z$1)/10,0)*10,[1]Hugst!$R$4:$W$4,0))))</f>
        <v>0</v>
      </c>
      <c r="AA277">
        <f ca="1">IF($C277-AA$1&lt;År1,0,Z276*(1-VLOOKUP($A277,[1]Hugst!$R$5:$W$9,MATCH(ROUNDUP((AA$1)/10,0)*10,[1]Hugst!$R$4:$W$4,0))))</f>
        <v>0</v>
      </c>
      <c r="AB277">
        <f ca="1">IF($C277-AB$1&lt;År1,0,AA276*(1-VLOOKUP($A277,[1]Hugst!$R$5:$W$9,MATCH(ROUNDUP((AB$1)/10,0)*10,[1]Hugst!$R$4:$W$4,0))))</f>
        <v>0</v>
      </c>
      <c r="AC277">
        <f ca="1">IF($C277-AC$1&lt;År1,0,AB276*(1-VLOOKUP($A277,[1]Hugst!$R$5:$W$9,MATCH(ROUNDUP((AC$1)/10,0)*10,[1]Hugst!$R$4:$W$4,0))))</f>
        <v>0</v>
      </c>
      <c r="AD277">
        <f ca="1">IF($C277-AD$1&lt;År1,0,AC276*(1-VLOOKUP($A277,[1]Hugst!$R$5:$W$9,MATCH(ROUNDUP((AD$1)/10,0)*10,[1]Hugst!$R$4:$W$4,0))))</f>
        <v>0</v>
      </c>
      <c r="AE277">
        <f ca="1">IF($C277-AE$1&lt;År1,0,AD276*(1-VLOOKUP($A277,[1]Hugst!$R$5:$W$9,MATCH(ROUNDUP((AE$1)/10,0)*10,[1]Hugst!$R$4:$W$4,0))))</f>
        <v>0</v>
      </c>
      <c r="AF277">
        <f ca="1">IF($C277-AF$1&lt;År1,0,AE276*(1-VLOOKUP($A277,[1]Hugst!$R$5:$W$9,MATCH(ROUNDUP((AF$1)/10,0)*10,[1]Hugst!$R$4:$W$4,0))))</f>
        <v>0</v>
      </c>
      <c r="AG277">
        <f ca="1">IF($C277-AG$1&lt;År1,0,AF276*(1-VLOOKUP($A277,[1]Hugst!$R$5:$W$9,MATCH(ROUNDUP((AG$1)/10,0)*10,[1]Hugst!$R$4:$W$4,0))))</f>
        <v>0</v>
      </c>
      <c r="AH277">
        <f>IF($C277-AH$1&lt;År1,0,AG276*(1-VLOOKUP($A277,[1]Hugst!$R$5:$W$9,MATCH(ROUNDUP((AH$1)/10,0)*10,[1]Hugst!$R$4:$W$4,0))))</f>
        <v>0</v>
      </c>
      <c r="AI277">
        <f>IF($C277-AI$1&lt;År1,0,AH276*(1-VLOOKUP($A277,[1]Hugst!$R$5:$W$9,MATCH(ROUNDUP((AI$1)/10,0)*10,[1]Hugst!$R$4:$W$4,0))))</f>
        <v>0</v>
      </c>
      <c r="AJ277">
        <f>IF($C277-AJ$1&lt;År1,0,AI276*(1-VLOOKUP($A277,[1]Hugst!$R$5:$W$9,MATCH(ROUNDUP((AJ$1)/10,0)*10,[1]Hugst!$R$4:$W$4,0))))</f>
        <v>0</v>
      </c>
    </row>
    <row r="278" spans="1:36" x14ac:dyDescent="0.25">
      <c r="A278" t="s">
        <v>180</v>
      </c>
      <c r="B278" t="s">
        <v>23</v>
      </c>
      <c r="C278">
        <v>2048</v>
      </c>
      <c r="D278" cm="1">
        <f t="array" ref="D278">(IF(B278="Vestdanmark",Skovbrug!$C$22-(Skovbrug!$C$22)*(1-Skovbrug!$C$9)^(C278-Skovbrug!$B$12),Skovbrug!$F$22-(Skovbrug!$F$22)*(1-Skovbrug!$C$9)^(C278-Skovbrug!$B$12)))*VLOOKUP(A278,Skovbrug!$A$13:$D$17,IF('Skovbrug-alder'!C278&lt;=År2,3,4),FALSE)
-IF(C278&gt;2020,SUM(INDEX($C$1:$D$311,MATCH(1,(2020=$C$1:$C$311)*(B278=$B$1:$B$311)*(A278=$A$1:$A$311),0),2):D277),0)</f>
        <v>0</v>
      </c>
      <c r="E278">
        <f t="shared" ca="1" si="6"/>
        <v>0</v>
      </c>
      <c r="F27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>
        <f ca="1">IF($C278-G$1&lt;År1,0,F277*(1-VLOOKUP($A278,[1]Hugst!$R$5:$W$9,MATCH(ROUNDUP((G$1)/10,0)*10,[1]Hugst!$R$4:$W$4,0))))</f>
        <v>0</v>
      </c>
      <c r="H278">
        <f ca="1">IF($C278-H$1&lt;År1,0,G277*(1-VLOOKUP($A278,[1]Hugst!$R$5:$W$9,MATCH(ROUNDUP((H$1)/10,0)*10,[1]Hugst!$R$4:$W$4,0))))</f>
        <v>0</v>
      </c>
      <c r="I278">
        <f ca="1">IF($C278-I$1&lt;År1,0,H277*(1-VLOOKUP($A278,[1]Hugst!$R$5:$W$9,MATCH(ROUNDUP((I$1)/10,0)*10,[1]Hugst!$R$4:$W$4,0))))</f>
        <v>0</v>
      </c>
      <c r="J278">
        <f ca="1">IF($C278-J$1&lt;År1,0,I277*(1-VLOOKUP($A278,[1]Hugst!$R$5:$W$9,MATCH(ROUNDUP((J$1)/10,0)*10,[1]Hugst!$R$4:$W$4,0))))</f>
        <v>0</v>
      </c>
      <c r="K278">
        <f ca="1">IF($C278-K$1&lt;År1,0,J277*(1-VLOOKUP($A278,[1]Hugst!$R$5:$W$9,MATCH(ROUNDUP((K$1)/10,0)*10,[1]Hugst!$R$4:$W$4,0))))</f>
        <v>0</v>
      </c>
      <c r="L278">
        <f ca="1">IF($C278-L$1&lt;År1,0,K277*(1-VLOOKUP($A278,[1]Hugst!$R$5:$W$9,MATCH(ROUNDUP((L$1)/10,0)*10,[1]Hugst!$R$4:$W$4,0))))</f>
        <v>0</v>
      </c>
      <c r="M278">
        <f ca="1">IF($C278-M$1&lt;År1,0,L277*(1-VLOOKUP($A278,[1]Hugst!$R$5:$W$9,MATCH(ROUNDUP((M$1)/10,0)*10,[1]Hugst!$R$4:$W$4,0))))</f>
        <v>0</v>
      </c>
      <c r="N278">
        <f ca="1">IF($C278-N$1&lt;År1,0,M277*(1-VLOOKUP($A278,[1]Hugst!$R$5:$W$9,MATCH(ROUNDUP((N$1)/10,0)*10,[1]Hugst!$R$4:$W$4,0))))</f>
        <v>0</v>
      </c>
      <c r="O278">
        <f ca="1">IF($C278-O$1&lt;År1,0,N277*(1-VLOOKUP($A278,[1]Hugst!$R$5:$W$9,MATCH(ROUNDUP((O$1)/10,0)*10,[1]Hugst!$R$4:$W$4,0))))</f>
        <v>0</v>
      </c>
      <c r="P278">
        <f ca="1">IF($C278-P$1&lt;År1,0,O277*(1-VLOOKUP($A278,[1]Hugst!$R$5:$W$9,MATCH(ROUNDUP((P$1)/10,0)*10,[1]Hugst!$R$4:$W$4,0))))</f>
        <v>0</v>
      </c>
      <c r="Q278">
        <f ca="1">IF($C278-Q$1&lt;År1,0,P277*(1-VLOOKUP($A278,[1]Hugst!$R$5:$W$9,MATCH(ROUNDUP((Q$1)/10,0)*10,[1]Hugst!$R$4:$W$4,0))))</f>
        <v>0</v>
      </c>
      <c r="R278">
        <f ca="1">IF($C278-R$1&lt;År1,0,Q277*(1-VLOOKUP($A278,[1]Hugst!$R$5:$W$9,MATCH(ROUNDUP((R$1)/10,0)*10,[1]Hugst!$R$4:$W$4,0))))</f>
        <v>0</v>
      </c>
      <c r="S278">
        <f ca="1">IF($C278-S$1&lt;År1,0,R277*(1-VLOOKUP($A278,[1]Hugst!$R$5:$W$9,MATCH(ROUNDUP((S$1)/10,0)*10,[1]Hugst!$R$4:$W$4,0))))</f>
        <v>0</v>
      </c>
      <c r="T278">
        <f ca="1">IF($C278-T$1&lt;År1,0,S277*(1-VLOOKUP($A278,[1]Hugst!$R$5:$W$9,MATCH(ROUNDUP((T$1)/10,0)*10,[1]Hugst!$R$4:$W$4,0))))</f>
        <v>0</v>
      </c>
      <c r="U278">
        <f ca="1">IF($C278-U$1&lt;År1,0,T277*(1-VLOOKUP($A278,[1]Hugst!$R$5:$W$9,MATCH(ROUNDUP((U$1)/10,0)*10,[1]Hugst!$R$4:$W$4,0))))</f>
        <v>0</v>
      </c>
      <c r="V278">
        <f ca="1">IF($C278-V$1&lt;År1,0,U277*(1-VLOOKUP($A278,[1]Hugst!$R$5:$W$9,MATCH(ROUNDUP((V$1)/10,0)*10,[1]Hugst!$R$4:$W$4,0))))</f>
        <v>0</v>
      </c>
      <c r="W278">
        <f ca="1">IF($C278-W$1&lt;År1,0,V277*(1-VLOOKUP($A278,[1]Hugst!$R$5:$W$9,MATCH(ROUNDUP((W$1)/10,0)*10,[1]Hugst!$R$4:$W$4,0))))</f>
        <v>0</v>
      </c>
      <c r="X278">
        <f ca="1">IF($C278-X$1&lt;År1,0,W277*(1-VLOOKUP($A278,[1]Hugst!$R$5:$W$9,MATCH(ROUNDUP((X$1)/10,0)*10,[1]Hugst!$R$4:$W$4,0))))</f>
        <v>0</v>
      </c>
      <c r="Y278">
        <f ca="1">IF($C278-Y$1&lt;År1,0,X277*(1-VLOOKUP($A278,[1]Hugst!$R$5:$W$9,MATCH(ROUNDUP((Y$1)/10,0)*10,[1]Hugst!$R$4:$W$4,0))))</f>
        <v>0</v>
      </c>
      <c r="Z278">
        <f ca="1">IF($C278-Z$1&lt;År1,0,Y277*(1-VLOOKUP($A278,[1]Hugst!$R$5:$W$9,MATCH(ROUNDUP((Z$1)/10,0)*10,[1]Hugst!$R$4:$W$4,0))))</f>
        <v>0</v>
      </c>
      <c r="AA278">
        <f ca="1">IF($C278-AA$1&lt;År1,0,Z277*(1-VLOOKUP($A278,[1]Hugst!$R$5:$W$9,MATCH(ROUNDUP((AA$1)/10,0)*10,[1]Hugst!$R$4:$W$4,0))))</f>
        <v>0</v>
      </c>
      <c r="AB278">
        <f ca="1">IF($C278-AB$1&lt;År1,0,AA277*(1-VLOOKUP($A278,[1]Hugst!$R$5:$W$9,MATCH(ROUNDUP((AB$1)/10,0)*10,[1]Hugst!$R$4:$W$4,0))))</f>
        <v>0</v>
      </c>
      <c r="AC278">
        <f ca="1">IF($C278-AC$1&lt;År1,0,AB277*(1-VLOOKUP($A278,[1]Hugst!$R$5:$W$9,MATCH(ROUNDUP((AC$1)/10,0)*10,[1]Hugst!$R$4:$W$4,0))))</f>
        <v>0</v>
      </c>
      <c r="AD278">
        <f ca="1">IF($C278-AD$1&lt;År1,0,AC277*(1-VLOOKUP($A278,[1]Hugst!$R$5:$W$9,MATCH(ROUNDUP((AD$1)/10,0)*10,[1]Hugst!$R$4:$W$4,0))))</f>
        <v>0</v>
      </c>
      <c r="AE278">
        <f ca="1">IF($C278-AE$1&lt;År1,0,AD277*(1-VLOOKUP($A278,[1]Hugst!$R$5:$W$9,MATCH(ROUNDUP((AE$1)/10,0)*10,[1]Hugst!$R$4:$W$4,0))))</f>
        <v>0</v>
      </c>
      <c r="AF278">
        <f ca="1">IF($C278-AF$1&lt;År1,0,AE277*(1-VLOOKUP($A278,[1]Hugst!$R$5:$W$9,MATCH(ROUNDUP((AF$1)/10,0)*10,[1]Hugst!$R$4:$W$4,0))))</f>
        <v>0</v>
      </c>
      <c r="AG278">
        <f ca="1">IF($C278-AG$1&lt;År1,0,AF277*(1-VLOOKUP($A278,[1]Hugst!$R$5:$W$9,MATCH(ROUNDUP((AG$1)/10,0)*10,[1]Hugst!$R$4:$W$4,0))))</f>
        <v>0</v>
      </c>
      <c r="AH278">
        <f ca="1">IF($C278-AH$1&lt;År1,0,AG277*(1-VLOOKUP($A278,[1]Hugst!$R$5:$W$9,MATCH(ROUNDUP((AH$1)/10,0)*10,[1]Hugst!$R$4:$W$4,0))))</f>
        <v>0</v>
      </c>
      <c r="AI278">
        <f>IF($C278-AI$1&lt;År1,0,AH277*(1-VLOOKUP($A278,[1]Hugst!$R$5:$W$9,MATCH(ROUNDUP((AI$1)/10,0)*10,[1]Hugst!$R$4:$W$4,0))))</f>
        <v>0</v>
      </c>
      <c r="AJ278">
        <f>IF($C278-AJ$1&lt;År1,0,AI277*(1-VLOOKUP($A278,[1]Hugst!$R$5:$W$9,MATCH(ROUNDUP((AJ$1)/10,0)*10,[1]Hugst!$R$4:$W$4,0))))</f>
        <v>0</v>
      </c>
    </row>
    <row r="279" spans="1:36" x14ac:dyDescent="0.25">
      <c r="A279" t="s">
        <v>180</v>
      </c>
      <c r="B279" t="s">
        <v>23</v>
      </c>
      <c r="C279">
        <v>2049</v>
      </c>
      <c r="D279" cm="1">
        <f t="array" ref="D279">(IF(B279="Vestdanmark",Skovbrug!$C$22-(Skovbrug!$C$22)*(1-Skovbrug!$C$9)^(C279-Skovbrug!$B$12),Skovbrug!$F$22-(Skovbrug!$F$22)*(1-Skovbrug!$C$9)^(C279-Skovbrug!$B$12)))*VLOOKUP(A279,Skovbrug!$A$13:$D$17,IF('Skovbrug-alder'!C279&lt;=År2,3,4),FALSE)
-IF(C279&gt;2020,SUM(INDEX($C$1:$D$311,MATCH(1,(2020=$C$1:$C$311)*(B279=$B$1:$B$311)*(A279=$A$1:$A$311),0),2):D278),0)</f>
        <v>0</v>
      </c>
      <c r="E279">
        <f t="shared" ca="1" si="6"/>
        <v>0</v>
      </c>
      <c r="F279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>
        <f ca="1">IF($C279-G$1&lt;År1,0,F278*(1-VLOOKUP($A279,[1]Hugst!$R$5:$W$9,MATCH(ROUNDUP((G$1)/10,0)*10,[1]Hugst!$R$4:$W$4,0))))</f>
        <v>0</v>
      </c>
      <c r="H279">
        <f ca="1">IF($C279-H$1&lt;År1,0,G278*(1-VLOOKUP($A279,[1]Hugst!$R$5:$W$9,MATCH(ROUNDUP((H$1)/10,0)*10,[1]Hugst!$R$4:$W$4,0))))</f>
        <v>0</v>
      </c>
      <c r="I279">
        <f ca="1">IF($C279-I$1&lt;År1,0,H278*(1-VLOOKUP($A279,[1]Hugst!$R$5:$W$9,MATCH(ROUNDUP((I$1)/10,0)*10,[1]Hugst!$R$4:$W$4,0))))</f>
        <v>0</v>
      </c>
      <c r="J279">
        <f ca="1">IF($C279-J$1&lt;År1,0,I278*(1-VLOOKUP($A279,[1]Hugst!$R$5:$W$9,MATCH(ROUNDUP((J$1)/10,0)*10,[1]Hugst!$R$4:$W$4,0))))</f>
        <v>0</v>
      </c>
      <c r="K279">
        <f ca="1">IF($C279-K$1&lt;År1,0,J278*(1-VLOOKUP($A279,[1]Hugst!$R$5:$W$9,MATCH(ROUNDUP((K$1)/10,0)*10,[1]Hugst!$R$4:$W$4,0))))</f>
        <v>0</v>
      </c>
      <c r="L279">
        <f ca="1">IF($C279-L$1&lt;År1,0,K278*(1-VLOOKUP($A279,[1]Hugst!$R$5:$W$9,MATCH(ROUNDUP((L$1)/10,0)*10,[1]Hugst!$R$4:$W$4,0))))</f>
        <v>0</v>
      </c>
      <c r="M279">
        <f ca="1">IF($C279-M$1&lt;År1,0,L278*(1-VLOOKUP($A279,[1]Hugst!$R$5:$W$9,MATCH(ROUNDUP((M$1)/10,0)*10,[1]Hugst!$R$4:$W$4,0))))</f>
        <v>0</v>
      </c>
      <c r="N279">
        <f ca="1">IF($C279-N$1&lt;År1,0,M278*(1-VLOOKUP($A279,[1]Hugst!$R$5:$W$9,MATCH(ROUNDUP((N$1)/10,0)*10,[1]Hugst!$R$4:$W$4,0))))</f>
        <v>0</v>
      </c>
      <c r="O279">
        <f ca="1">IF($C279-O$1&lt;År1,0,N278*(1-VLOOKUP($A279,[1]Hugst!$R$5:$W$9,MATCH(ROUNDUP((O$1)/10,0)*10,[1]Hugst!$R$4:$W$4,0))))</f>
        <v>0</v>
      </c>
      <c r="P279">
        <f ca="1">IF($C279-P$1&lt;År1,0,O278*(1-VLOOKUP($A279,[1]Hugst!$R$5:$W$9,MATCH(ROUNDUP((P$1)/10,0)*10,[1]Hugst!$R$4:$W$4,0))))</f>
        <v>0</v>
      </c>
      <c r="Q279">
        <f ca="1">IF($C279-Q$1&lt;År1,0,P278*(1-VLOOKUP($A279,[1]Hugst!$R$5:$W$9,MATCH(ROUNDUP((Q$1)/10,0)*10,[1]Hugst!$R$4:$W$4,0))))</f>
        <v>0</v>
      </c>
      <c r="R279">
        <f ca="1">IF($C279-R$1&lt;År1,0,Q278*(1-VLOOKUP($A279,[1]Hugst!$R$5:$W$9,MATCH(ROUNDUP((R$1)/10,0)*10,[1]Hugst!$R$4:$W$4,0))))</f>
        <v>0</v>
      </c>
      <c r="S279">
        <f ca="1">IF($C279-S$1&lt;År1,0,R278*(1-VLOOKUP($A279,[1]Hugst!$R$5:$W$9,MATCH(ROUNDUP((S$1)/10,0)*10,[1]Hugst!$R$4:$W$4,0))))</f>
        <v>0</v>
      </c>
      <c r="T279">
        <f ca="1">IF($C279-T$1&lt;År1,0,S278*(1-VLOOKUP($A279,[1]Hugst!$R$5:$W$9,MATCH(ROUNDUP((T$1)/10,0)*10,[1]Hugst!$R$4:$W$4,0))))</f>
        <v>0</v>
      </c>
      <c r="U279">
        <f ca="1">IF($C279-U$1&lt;År1,0,T278*(1-VLOOKUP($A279,[1]Hugst!$R$5:$W$9,MATCH(ROUNDUP((U$1)/10,0)*10,[1]Hugst!$R$4:$W$4,0))))</f>
        <v>0</v>
      </c>
      <c r="V279">
        <f ca="1">IF($C279-V$1&lt;År1,0,U278*(1-VLOOKUP($A279,[1]Hugst!$R$5:$W$9,MATCH(ROUNDUP((V$1)/10,0)*10,[1]Hugst!$R$4:$W$4,0))))</f>
        <v>0</v>
      </c>
      <c r="W279">
        <f ca="1">IF($C279-W$1&lt;År1,0,V278*(1-VLOOKUP($A279,[1]Hugst!$R$5:$W$9,MATCH(ROUNDUP((W$1)/10,0)*10,[1]Hugst!$R$4:$W$4,0))))</f>
        <v>0</v>
      </c>
      <c r="X279">
        <f ca="1">IF($C279-X$1&lt;År1,0,W278*(1-VLOOKUP($A279,[1]Hugst!$R$5:$W$9,MATCH(ROUNDUP((X$1)/10,0)*10,[1]Hugst!$R$4:$W$4,0))))</f>
        <v>0</v>
      </c>
      <c r="Y279">
        <f ca="1">IF($C279-Y$1&lt;År1,0,X278*(1-VLOOKUP($A279,[1]Hugst!$R$5:$W$9,MATCH(ROUNDUP((Y$1)/10,0)*10,[1]Hugst!$R$4:$W$4,0))))</f>
        <v>0</v>
      </c>
      <c r="Z279">
        <f ca="1">IF($C279-Z$1&lt;År1,0,Y278*(1-VLOOKUP($A279,[1]Hugst!$R$5:$W$9,MATCH(ROUNDUP((Z$1)/10,0)*10,[1]Hugst!$R$4:$W$4,0))))</f>
        <v>0</v>
      </c>
      <c r="AA279">
        <f ca="1">IF($C279-AA$1&lt;År1,0,Z278*(1-VLOOKUP($A279,[1]Hugst!$R$5:$W$9,MATCH(ROUNDUP((AA$1)/10,0)*10,[1]Hugst!$R$4:$W$4,0))))</f>
        <v>0</v>
      </c>
      <c r="AB279">
        <f ca="1">IF($C279-AB$1&lt;År1,0,AA278*(1-VLOOKUP($A279,[1]Hugst!$R$5:$W$9,MATCH(ROUNDUP((AB$1)/10,0)*10,[1]Hugst!$R$4:$W$4,0))))</f>
        <v>0</v>
      </c>
      <c r="AC279">
        <f ca="1">IF($C279-AC$1&lt;År1,0,AB278*(1-VLOOKUP($A279,[1]Hugst!$R$5:$W$9,MATCH(ROUNDUP((AC$1)/10,0)*10,[1]Hugst!$R$4:$W$4,0))))</f>
        <v>0</v>
      </c>
      <c r="AD279">
        <f ca="1">IF($C279-AD$1&lt;År1,0,AC278*(1-VLOOKUP($A279,[1]Hugst!$R$5:$W$9,MATCH(ROUNDUP((AD$1)/10,0)*10,[1]Hugst!$R$4:$W$4,0))))</f>
        <v>0</v>
      </c>
      <c r="AE279">
        <f ca="1">IF($C279-AE$1&lt;År1,0,AD278*(1-VLOOKUP($A279,[1]Hugst!$R$5:$W$9,MATCH(ROUNDUP((AE$1)/10,0)*10,[1]Hugst!$R$4:$W$4,0))))</f>
        <v>0</v>
      </c>
      <c r="AF279">
        <f ca="1">IF($C279-AF$1&lt;År1,0,AE278*(1-VLOOKUP($A279,[1]Hugst!$R$5:$W$9,MATCH(ROUNDUP((AF$1)/10,0)*10,[1]Hugst!$R$4:$W$4,0))))</f>
        <v>0</v>
      </c>
      <c r="AG279">
        <f ca="1">IF($C279-AG$1&lt;År1,0,AF278*(1-VLOOKUP($A279,[1]Hugst!$R$5:$W$9,MATCH(ROUNDUP((AG$1)/10,0)*10,[1]Hugst!$R$4:$W$4,0))))</f>
        <v>0</v>
      </c>
      <c r="AH279">
        <f ca="1">IF($C279-AH$1&lt;År1,0,AG278*(1-VLOOKUP($A279,[1]Hugst!$R$5:$W$9,MATCH(ROUNDUP((AH$1)/10,0)*10,[1]Hugst!$R$4:$W$4,0))))</f>
        <v>0</v>
      </c>
      <c r="AI279">
        <f ca="1">IF($C279-AI$1&lt;År1,0,AH278*(1-VLOOKUP($A279,[1]Hugst!$R$5:$W$9,MATCH(ROUNDUP((AI$1)/10,0)*10,[1]Hugst!$R$4:$W$4,0))))</f>
        <v>0</v>
      </c>
      <c r="AJ279">
        <f>IF($C279-AJ$1&lt;År1,0,AI278*(1-VLOOKUP($A279,[1]Hugst!$R$5:$W$9,MATCH(ROUNDUP((AJ$1)/10,0)*10,[1]Hugst!$R$4:$W$4,0))))</f>
        <v>0</v>
      </c>
    </row>
    <row r="280" spans="1:36" x14ac:dyDescent="0.25">
      <c r="A280" t="s">
        <v>180</v>
      </c>
      <c r="B280" t="s">
        <v>23</v>
      </c>
      <c r="C280">
        <v>2050</v>
      </c>
      <c r="D280" cm="1">
        <f t="array" ref="D280">(IF(B280="Vestdanmark",Skovbrug!$C$22-(Skovbrug!$C$22)*(1-Skovbrug!$C$9)^(C280-Skovbrug!$B$12),Skovbrug!$F$22-(Skovbrug!$F$22)*(1-Skovbrug!$C$9)^(C280-Skovbrug!$B$12)))*VLOOKUP(A280,Skovbrug!$A$13:$D$17,IF('Skovbrug-alder'!C280&lt;=År2,3,4),FALSE)
-IF(C280&gt;2020,SUM(INDEX($C$1:$D$311,MATCH(1,(2020=$C$1:$C$311)*(B280=$B$1:$B$311)*(A280=$A$1:$A$311),0),2):D279),0)</f>
        <v>0</v>
      </c>
      <c r="E280">
        <f t="shared" ca="1" si="6"/>
        <v>0</v>
      </c>
      <c r="F280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>
        <f ca="1">IF($C280-G$1&lt;År1,0,F279*(1-VLOOKUP($A280,[1]Hugst!$R$5:$W$9,MATCH(ROUNDUP((G$1)/10,0)*10,[1]Hugst!$R$4:$W$4,0))))</f>
        <v>0</v>
      </c>
      <c r="H280">
        <f ca="1">IF($C280-H$1&lt;År1,0,G279*(1-VLOOKUP($A280,[1]Hugst!$R$5:$W$9,MATCH(ROUNDUP((H$1)/10,0)*10,[1]Hugst!$R$4:$W$4,0))))</f>
        <v>0</v>
      </c>
      <c r="I280">
        <f ca="1">IF($C280-I$1&lt;År1,0,H279*(1-VLOOKUP($A280,[1]Hugst!$R$5:$W$9,MATCH(ROUNDUP((I$1)/10,0)*10,[1]Hugst!$R$4:$W$4,0))))</f>
        <v>0</v>
      </c>
      <c r="J280">
        <f ca="1">IF($C280-J$1&lt;År1,0,I279*(1-VLOOKUP($A280,[1]Hugst!$R$5:$W$9,MATCH(ROUNDUP((J$1)/10,0)*10,[1]Hugst!$R$4:$W$4,0))))</f>
        <v>0</v>
      </c>
      <c r="K280">
        <f ca="1">IF($C280-K$1&lt;År1,0,J279*(1-VLOOKUP($A280,[1]Hugst!$R$5:$W$9,MATCH(ROUNDUP((K$1)/10,0)*10,[1]Hugst!$R$4:$W$4,0))))</f>
        <v>0</v>
      </c>
      <c r="L280">
        <f ca="1">IF($C280-L$1&lt;År1,0,K279*(1-VLOOKUP($A280,[1]Hugst!$R$5:$W$9,MATCH(ROUNDUP((L$1)/10,0)*10,[1]Hugst!$R$4:$W$4,0))))</f>
        <v>0</v>
      </c>
      <c r="M280">
        <f ca="1">IF($C280-M$1&lt;År1,0,L279*(1-VLOOKUP($A280,[1]Hugst!$R$5:$W$9,MATCH(ROUNDUP((M$1)/10,0)*10,[1]Hugst!$R$4:$W$4,0))))</f>
        <v>0</v>
      </c>
      <c r="N280">
        <f ca="1">IF($C280-N$1&lt;År1,0,M279*(1-VLOOKUP($A280,[1]Hugst!$R$5:$W$9,MATCH(ROUNDUP((N$1)/10,0)*10,[1]Hugst!$R$4:$W$4,0))))</f>
        <v>0</v>
      </c>
      <c r="O280">
        <f ca="1">IF($C280-O$1&lt;År1,0,N279*(1-VLOOKUP($A280,[1]Hugst!$R$5:$W$9,MATCH(ROUNDUP((O$1)/10,0)*10,[1]Hugst!$R$4:$W$4,0))))</f>
        <v>0</v>
      </c>
      <c r="P280">
        <f ca="1">IF($C280-P$1&lt;År1,0,O279*(1-VLOOKUP($A280,[1]Hugst!$R$5:$W$9,MATCH(ROUNDUP((P$1)/10,0)*10,[1]Hugst!$R$4:$W$4,0))))</f>
        <v>0</v>
      </c>
      <c r="Q280">
        <f ca="1">IF($C280-Q$1&lt;År1,0,P279*(1-VLOOKUP($A280,[1]Hugst!$R$5:$W$9,MATCH(ROUNDUP((Q$1)/10,0)*10,[1]Hugst!$R$4:$W$4,0))))</f>
        <v>0</v>
      </c>
      <c r="R280">
        <f ca="1">IF($C280-R$1&lt;År1,0,Q279*(1-VLOOKUP($A280,[1]Hugst!$R$5:$W$9,MATCH(ROUNDUP((R$1)/10,0)*10,[1]Hugst!$R$4:$W$4,0))))</f>
        <v>0</v>
      </c>
      <c r="S280">
        <f ca="1">IF($C280-S$1&lt;År1,0,R279*(1-VLOOKUP($A280,[1]Hugst!$R$5:$W$9,MATCH(ROUNDUP((S$1)/10,0)*10,[1]Hugst!$R$4:$W$4,0))))</f>
        <v>0</v>
      </c>
      <c r="T280">
        <f ca="1">IF($C280-T$1&lt;År1,0,S279*(1-VLOOKUP($A280,[1]Hugst!$R$5:$W$9,MATCH(ROUNDUP((T$1)/10,0)*10,[1]Hugst!$R$4:$W$4,0))))</f>
        <v>0</v>
      </c>
      <c r="U280">
        <f ca="1">IF($C280-U$1&lt;År1,0,T279*(1-VLOOKUP($A280,[1]Hugst!$R$5:$W$9,MATCH(ROUNDUP((U$1)/10,0)*10,[1]Hugst!$R$4:$W$4,0))))</f>
        <v>0</v>
      </c>
      <c r="V280">
        <f ca="1">IF($C280-V$1&lt;År1,0,U279*(1-VLOOKUP($A280,[1]Hugst!$R$5:$W$9,MATCH(ROUNDUP((V$1)/10,0)*10,[1]Hugst!$R$4:$W$4,0))))</f>
        <v>0</v>
      </c>
      <c r="W280">
        <f ca="1">IF($C280-W$1&lt;År1,0,V279*(1-VLOOKUP($A280,[1]Hugst!$R$5:$W$9,MATCH(ROUNDUP((W$1)/10,0)*10,[1]Hugst!$R$4:$W$4,0))))</f>
        <v>0</v>
      </c>
      <c r="X280">
        <f ca="1">IF($C280-X$1&lt;År1,0,W279*(1-VLOOKUP($A280,[1]Hugst!$R$5:$W$9,MATCH(ROUNDUP((X$1)/10,0)*10,[1]Hugst!$R$4:$W$4,0))))</f>
        <v>0</v>
      </c>
      <c r="Y280">
        <f ca="1">IF($C280-Y$1&lt;År1,0,X279*(1-VLOOKUP($A280,[1]Hugst!$R$5:$W$9,MATCH(ROUNDUP((Y$1)/10,0)*10,[1]Hugst!$R$4:$W$4,0))))</f>
        <v>0</v>
      </c>
      <c r="Z280">
        <f ca="1">IF($C280-Z$1&lt;År1,0,Y279*(1-VLOOKUP($A280,[1]Hugst!$R$5:$W$9,MATCH(ROUNDUP((Z$1)/10,0)*10,[1]Hugst!$R$4:$W$4,0))))</f>
        <v>0</v>
      </c>
      <c r="AA280">
        <f ca="1">IF($C280-AA$1&lt;År1,0,Z279*(1-VLOOKUP($A280,[1]Hugst!$R$5:$W$9,MATCH(ROUNDUP((AA$1)/10,0)*10,[1]Hugst!$R$4:$W$4,0))))</f>
        <v>0</v>
      </c>
      <c r="AB280">
        <f ca="1">IF($C280-AB$1&lt;År1,0,AA279*(1-VLOOKUP($A280,[1]Hugst!$R$5:$W$9,MATCH(ROUNDUP((AB$1)/10,0)*10,[1]Hugst!$R$4:$W$4,0))))</f>
        <v>0</v>
      </c>
      <c r="AC280">
        <f ca="1">IF($C280-AC$1&lt;År1,0,AB279*(1-VLOOKUP($A280,[1]Hugst!$R$5:$W$9,MATCH(ROUNDUP((AC$1)/10,0)*10,[1]Hugst!$R$4:$W$4,0))))</f>
        <v>0</v>
      </c>
      <c r="AD280">
        <f ca="1">IF($C280-AD$1&lt;År1,0,AC279*(1-VLOOKUP($A280,[1]Hugst!$R$5:$W$9,MATCH(ROUNDUP((AD$1)/10,0)*10,[1]Hugst!$R$4:$W$4,0))))</f>
        <v>0</v>
      </c>
      <c r="AE280">
        <f ca="1">IF($C280-AE$1&lt;År1,0,AD279*(1-VLOOKUP($A280,[1]Hugst!$R$5:$W$9,MATCH(ROUNDUP((AE$1)/10,0)*10,[1]Hugst!$R$4:$W$4,0))))</f>
        <v>0</v>
      </c>
      <c r="AF280">
        <f ca="1">IF($C280-AF$1&lt;År1,0,AE279*(1-VLOOKUP($A280,[1]Hugst!$R$5:$W$9,MATCH(ROUNDUP((AF$1)/10,0)*10,[1]Hugst!$R$4:$W$4,0))))</f>
        <v>0</v>
      </c>
      <c r="AG280">
        <f ca="1">IF($C280-AG$1&lt;År1,0,AF279*(1-VLOOKUP($A280,[1]Hugst!$R$5:$W$9,MATCH(ROUNDUP((AG$1)/10,0)*10,[1]Hugst!$R$4:$W$4,0))))</f>
        <v>0</v>
      </c>
      <c r="AH280">
        <f ca="1">IF($C280-AH$1&lt;År1,0,AG279*(1-VLOOKUP($A280,[1]Hugst!$R$5:$W$9,MATCH(ROUNDUP((AH$1)/10,0)*10,[1]Hugst!$R$4:$W$4,0))))</f>
        <v>0</v>
      </c>
      <c r="AI280">
        <f ca="1">IF($C280-AI$1&lt;År1,0,AH279*(1-VLOOKUP($A280,[1]Hugst!$R$5:$W$9,MATCH(ROUNDUP((AI$1)/10,0)*10,[1]Hugst!$R$4:$W$4,0))))</f>
        <v>0</v>
      </c>
      <c r="AJ280">
        <f ca="1">IF($C280-AJ$1&lt;År1,0,AI279*(1-VLOOKUP($A280,[1]Hugst!$R$5:$W$9,MATCH(ROUNDUP((AJ$1)/10,0)*10,[1]Hugst!$R$4:$W$4,0))))</f>
        <v>0</v>
      </c>
    </row>
    <row r="281" spans="1:36" x14ac:dyDescent="0.25">
      <c r="A281" t="s">
        <v>180</v>
      </c>
      <c r="B281" t="s">
        <v>24</v>
      </c>
      <c r="C281">
        <v>2020</v>
      </c>
      <c r="D281" cm="1">
        <f t="array" ref="D281">(IF(B281="Vestdanmark",Skovbrug!$C$22-(Skovbrug!$C$22)*(1-Skovbrug!$C$9)^(C281-Skovbrug!$B$12),Skovbrug!$F$22-(Skovbrug!$F$22)*(1-Skovbrug!$C$9)^(C281-Skovbrug!$B$12)))*VLOOKUP(A281,Skovbrug!$A$13:$D$17,IF('Skovbrug-alder'!C281&lt;=År2,3,4),FALSE)
-IF(C281&gt;2020,SUM(INDEX($C$1:$D$311,MATCH(1,(2020=$C$1:$C$311)*(B281=$B$1:$B$311)*(A281=$A$1:$A$311),0),2):D280),0)</f>
        <v>0</v>
      </c>
      <c r="E281">
        <f>IF(C281=2020,SUM(G281:AJ281),SUM(F280:AJ280)-SUM(G281:AJ281))</f>
        <v>0</v>
      </c>
      <c r="F281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>
        <f>IF($C281-G$1&lt;År1,0,F280*(1-VLOOKUP($A281,[1]Hugst!$R$5:$W$9,MATCH(ROUNDUP((G$1)/10,0)*10,[1]Hugst!$R$4:$W$4,0))))</f>
        <v>0</v>
      </c>
      <c r="H281">
        <f>IF($C281-H$1&lt;År1,0,G280*(1-VLOOKUP($A281,[1]Hugst!$R$5:$W$9,MATCH(ROUNDUP((H$1)/10,0)*10,[1]Hugst!$R$4:$W$4,0))))</f>
        <v>0</v>
      </c>
      <c r="I281">
        <f>IF($C281-I$1&lt;År1,0,H280*(1-VLOOKUP($A281,[1]Hugst!$R$5:$W$9,MATCH(ROUNDUP((I$1)/10,0)*10,[1]Hugst!$R$4:$W$4,0))))</f>
        <v>0</v>
      </c>
      <c r="J281">
        <f>IF($C281-J$1&lt;År1,0,I280*(1-VLOOKUP($A281,[1]Hugst!$R$5:$W$9,MATCH(ROUNDUP((J$1)/10,0)*10,[1]Hugst!$R$4:$W$4,0))))</f>
        <v>0</v>
      </c>
      <c r="K281">
        <f>IF($C281-K$1&lt;År1,0,J280*(1-VLOOKUP($A281,[1]Hugst!$R$5:$W$9,MATCH(ROUNDUP((K$1)/10,0)*10,[1]Hugst!$R$4:$W$4,0))))</f>
        <v>0</v>
      </c>
      <c r="L281">
        <f>IF($C281-L$1&lt;År1,0,K280*(1-VLOOKUP($A281,[1]Hugst!$R$5:$W$9,MATCH(ROUNDUP((L$1)/10,0)*10,[1]Hugst!$R$4:$W$4,0))))</f>
        <v>0</v>
      </c>
      <c r="M281">
        <f>IF($C281-M$1&lt;År1,0,L280*(1-VLOOKUP($A281,[1]Hugst!$R$5:$W$9,MATCH(ROUNDUP((M$1)/10,0)*10,[1]Hugst!$R$4:$W$4,0))))</f>
        <v>0</v>
      </c>
      <c r="N281">
        <f>IF($C281-N$1&lt;År1,0,M280*(1-VLOOKUP($A281,[1]Hugst!$R$5:$W$9,MATCH(ROUNDUP((N$1)/10,0)*10,[1]Hugst!$R$4:$W$4,0))))</f>
        <v>0</v>
      </c>
      <c r="O281">
        <f>IF($C281-O$1&lt;År1,0,N280*(1-VLOOKUP($A281,[1]Hugst!$R$5:$W$9,MATCH(ROUNDUP((O$1)/10,0)*10,[1]Hugst!$R$4:$W$4,0))))</f>
        <v>0</v>
      </c>
      <c r="P281">
        <f>IF($C281-P$1&lt;År1,0,O280*(1-VLOOKUP($A281,[1]Hugst!$R$5:$W$9,MATCH(ROUNDUP((P$1)/10,0)*10,[1]Hugst!$R$4:$W$4,0))))</f>
        <v>0</v>
      </c>
      <c r="Q281">
        <f>IF($C281-Q$1&lt;År1,0,P280*(1-VLOOKUP($A281,[1]Hugst!$R$5:$W$9,MATCH(ROUNDUP((Q$1)/10,0)*10,[1]Hugst!$R$4:$W$4,0))))</f>
        <v>0</v>
      </c>
      <c r="R281">
        <f>IF($C281-R$1&lt;År1,0,Q280*(1-VLOOKUP($A281,[1]Hugst!$R$5:$W$9,MATCH(ROUNDUP((R$1)/10,0)*10,[1]Hugst!$R$4:$W$4,0))))</f>
        <v>0</v>
      </c>
      <c r="S281">
        <f>IF($C281-S$1&lt;År1,0,R280*(1-VLOOKUP($A281,[1]Hugst!$R$5:$W$9,MATCH(ROUNDUP((S$1)/10,0)*10,[1]Hugst!$R$4:$W$4,0))))</f>
        <v>0</v>
      </c>
      <c r="T281">
        <f>IF($C281-T$1&lt;År1,0,S280*(1-VLOOKUP($A281,[1]Hugst!$R$5:$W$9,MATCH(ROUNDUP((T$1)/10,0)*10,[1]Hugst!$R$4:$W$4,0))))</f>
        <v>0</v>
      </c>
      <c r="U281">
        <f>IF($C281-U$1&lt;År1,0,T280*(1-VLOOKUP($A281,[1]Hugst!$R$5:$W$9,MATCH(ROUNDUP((U$1)/10,0)*10,[1]Hugst!$R$4:$W$4,0))))</f>
        <v>0</v>
      </c>
      <c r="V281">
        <f>IF($C281-V$1&lt;År1,0,U280*(1-VLOOKUP($A281,[1]Hugst!$R$5:$W$9,MATCH(ROUNDUP((V$1)/10,0)*10,[1]Hugst!$R$4:$W$4,0))))</f>
        <v>0</v>
      </c>
      <c r="W281">
        <f>IF($C281-W$1&lt;År1,0,V280*(1-VLOOKUP($A281,[1]Hugst!$R$5:$W$9,MATCH(ROUNDUP((W$1)/10,0)*10,[1]Hugst!$R$4:$W$4,0))))</f>
        <v>0</v>
      </c>
      <c r="X281">
        <f>IF($C281-X$1&lt;År1,0,W280*(1-VLOOKUP($A281,[1]Hugst!$R$5:$W$9,MATCH(ROUNDUP((X$1)/10,0)*10,[1]Hugst!$R$4:$W$4,0))))</f>
        <v>0</v>
      </c>
      <c r="Y281">
        <f>IF($C281-Y$1&lt;År1,0,X280*(1-VLOOKUP($A281,[1]Hugst!$R$5:$W$9,MATCH(ROUNDUP((Y$1)/10,0)*10,[1]Hugst!$R$4:$W$4,0))))</f>
        <v>0</v>
      </c>
      <c r="Z281">
        <f>IF($C281-Z$1&lt;År1,0,Y280*(1-VLOOKUP($A281,[1]Hugst!$R$5:$W$9,MATCH(ROUNDUP((Z$1)/10,0)*10,[1]Hugst!$R$4:$W$4,0))))</f>
        <v>0</v>
      </c>
      <c r="AA281">
        <f>IF($C281-AA$1&lt;År1,0,Z280*(1-VLOOKUP($A281,[1]Hugst!$R$5:$W$9,MATCH(ROUNDUP((AA$1)/10,0)*10,[1]Hugst!$R$4:$W$4,0))))</f>
        <v>0</v>
      </c>
      <c r="AB281">
        <f>IF($C281-AB$1&lt;År1,0,AA280*(1-VLOOKUP($A281,[1]Hugst!$R$5:$W$9,MATCH(ROUNDUP((AB$1)/10,0)*10,[1]Hugst!$R$4:$W$4,0))))</f>
        <v>0</v>
      </c>
      <c r="AC281">
        <f>IF($C281-AC$1&lt;År1,0,AB280*(1-VLOOKUP($A281,[1]Hugst!$R$5:$W$9,MATCH(ROUNDUP((AC$1)/10,0)*10,[1]Hugst!$R$4:$W$4,0))))</f>
        <v>0</v>
      </c>
      <c r="AD281">
        <f>IF($C281-AD$1&lt;År1,0,AC280*(1-VLOOKUP($A281,[1]Hugst!$R$5:$W$9,MATCH(ROUNDUP((AD$1)/10,0)*10,[1]Hugst!$R$4:$W$4,0))))</f>
        <v>0</v>
      </c>
      <c r="AE281">
        <f>IF($C281-AE$1&lt;År1,0,AD280*(1-VLOOKUP($A281,[1]Hugst!$R$5:$W$9,MATCH(ROUNDUP((AE$1)/10,0)*10,[1]Hugst!$R$4:$W$4,0))))</f>
        <v>0</v>
      </c>
      <c r="AF281">
        <f>IF($C281-AF$1&lt;År1,0,AE280*(1-VLOOKUP($A281,[1]Hugst!$R$5:$W$9,MATCH(ROUNDUP((AF$1)/10,0)*10,[1]Hugst!$R$4:$W$4,0))))</f>
        <v>0</v>
      </c>
      <c r="AG281">
        <f>IF($C281-AG$1&lt;År1,0,AF280*(1-VLOOKUP($A281,[1]Hugst!$R$5:$W$9,MATCH(ROUNDUP((AG$1)/10,0)*10,[1]Hugst!$R$4:$W$4,0))))</f>
        <v>0</v>
      </c>
      <c r="AH281">
        <f>IF($C281-AH$1&lt;År1,0,AG280*(1-VLOOKUP($A281,[1]Hugst!$R$5:$W$9,MATCH(ROUNDUP((AH$1)/10,0)*10,[1]Hugst!$R$4:$W$4,0))))</f>
        <v>0</v>
      </c>
      <c r="AI281">
        <f>IF($C281-AI$1&lt;År1,0,AH280*(1-VLOOKUP($A281,[1]Hugst!$R$5:$W$9,MATCH(ROUNDUP((AI$1)/10,0)*10,[1]Hugst!$R$4:$W$4,0))))</f>
        <v>0</v>
      </c>
      <c r="AJ281">
        <f>IF($C281-AJ$1&lt;År1,0,AI280*(1-VLOOKUP($A281,[1]Hugst!$R$5:$W$9,MATCH(ROUNDUP((AJ$1)/10,0)*10,[1]Hugst!$R$4:$W$4,0))))</f>
        <v>0</v>
      </c>
    </row>
    <row r="282" spans="1:36" x14ac:dyDescent="0.25">
      <c r="A282" t="s">
        <v>180</v>
      </c>
      <c r="B282" t="s">
        <v>24</v>
      </c>
      <c r="C282">
        <v>2021</v>
      </c>
      <c r="D282" cm="1">
        <f t="array" ref="D282">(IF(B282="Vestdanmark",Skovbrug!$C$22-(Skovbrug!$C$22)*(1-Skovbrug!$C$9)^(C282-Skovbrug!$B$12),Skovbrug!$F$22-(Skovbrug!$F$22)*(1-Skovbrug!$C$9)^(C282-Skovbrug!$B$12)))*VLOOKUP(A282,Skovbrug!$A$13:$D$17,IF('Skovbrug-alder'!C282&lt;=År2,3,4),FALSE)
-IF(C282&gt;2020,SUM(INDEX($C$1:$D$311,MATCH(1,(2020=$C$1:$C$311)*(B282=$B$1:$B$311)*(A282=$A$1:$A$311),0),2):D281),0)</f>
        <v>0</v>
      </c>
      <c r="E282">
        <f t="shared" ref="E282:E310" ca="1" si="7">IF(C282=2020,SUM(G282:AJ282),SUM(F281:AJ281)-SUM(G282:AJ282))</f>
        <v>0</v>
      </c>
      <c r="F282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>
        <f ca="1">IF($C282-G$1&lt;År1,0,F281*(1-VLOOKUP($A282,[1]Hugst!$R$5:$W$9,MATCH(ROUNDUP((G$1)/10,0)*10,[1]Hugst!$R$4:$W$4,0))))</f>
        <v>0</v>
      </c>
      <c r="H282">
        <f>IF($C282-H$1&lt;År1,0,G281*(1-VLOOKUP($A282,[1]Hugst!$R$5:$W$9,MATCH(ROUNDUP((H$1)/10,0)*10,[1]Hugst!$R$4:$W$4,0))))</f>
        <v>0</v>
      </c>
      <c r="I282">
        <f>IF($C282-I$1&lt;År1,0,H281*(1-VLOOKUP($A282,[1]Hugst!$R$5:$W$9,MATCH(ROUNDUP((I$1)/10,0)*10,[1]Hugst!$R$4:$W$4,0))))</f>
        <v>0</v>
      </c>
      <c r="J282">
        <f>IF($C282-J$1&lt;År1,0,I281*(1-VLOOKUP($A282,[1]Hugst!$R$5:$W$9,MATCH(ROUNDUP((J$1)/10,0)*10,[1]Hugst!$R$4:$W$4,0))))</f>
        <v>0</v>
      </c>
      <c r="K282">
        <f>IF($C282-K$1&lt;År1,0,J281*(1-VLOOKUP($A282,[1]Hugst!$R$5:$W$9,MATCH(ROUNDUP((K$1)/10,0)*10,[1]Hugst!$R$4:$W$4,0))))</f>
        <v>0</v>
      </c>
      <c r="L282">
        <f>IF($C282-L$1&lt;År1,0,K281*(1-VLOOKUP($A282,[1]Hugst!$R$5:$W$9,MATCH(ROUNDUP((L$1)/10,0)*10,[1]Hugst!$R$4:$W$4,0))))</f>
        <v>0</v>
      </c>
      <c r="M282">
        <f>IF($C282-M$1&lt;År1,0,L281*(1-VLOOKUP($A282,[1]Hugst!$R$5:$W$9,MATCH(ROUNDUP((M$1)/10,0)*10,[1]Hugst!$R$4:$W$4,0))))</f>
        <v>0</v>
      </c>
      <c r="N282">
        <f>IF($C282-N$1&lt;År1,0,M281*(1-VLOOKUP($A282,[1]Hugst!$R$5:$W$9,MATCH(ROUNDUP((N$1)/10,0)*10,[1]Hugst!$R$4:$W$4,0))))</f>
        <v>0</v>
      </c>
      <c r="O282">
        <f>IF($C282-O$1&lt;År1,0,N281*(1-VLOOKUP($A282,[1]Hugst!$R$5:$W$9,MATCH(ROUNDUP((O$1)/10,0)*10,[1]Hugst!$R$4:$W$4,0))))</f>
        <v>0</v>
      </c>
      <c r="P282">
        <f>IF($C282-P$1&lt;År1,0,O281*(1-VLOOKUP($A282,[1]Hugst!$R$5:$W$9,MATCH(ROUNDUP((P$1)/10,0)*10,[1]Hugst!$R$4:$W$4,0))))</f>
        <v>0</v>
      </c>
      <c r="Q282">
        <f>IF($C282-Q$1&lt;År1,0,P281*(1-VLOOKUP($A282,[1]Hugst!$R$5:$W$9,MATCH(ROUNDUP((Q$1)/10,0)*10,[1]Hugst!$R$4:$W$4,0))))</f>
        <v>0</v>
      </c>
      <c r="R282">
        <f>IF($C282-R$1&lt;År1,0,Q281*(1-VLOOKUP($A282,[1]Hugst!$R$5:$W$9,MATCH(ROUNDUP((R$1)/10,0)*10,[1]Hugst!$R$4:$W$4,0))))</f>
        <v>0</v>
      </c>
      <c r="S282">
        <f>IF($C282-S$1&lt;År1,0,R281*(1-VLOOKUP($A282,[1]Hugst!$R$5:$W$9,MATCH(ROUNDUP((S$1)/10,0)*10,[1]Hugst!$R$4:$W$4,0))))</f>
        <v>0</v>
      </c>
      <c r="T282">
        <f>IF($C282-T$1&lt;År1,0,S281*(1-VLOOKUP($A282,[1]Hugst!$R$5:$W$9,MATCH(ROUNDUP((T$1)/10,0)*10,[1]Hugst!$R$4:$W$4,0))))</f>
        <v>0</v>
      </c>
      <c r="U282">
        <f>IF($C282-U$1&lt;År1,0,T281*(1-VLOOKUP($A282,[1]Hugst!$R$5:$W$9,MATCH(ROUNDUP((U$1)/10,0)*10,[1]Hugst!$R$4:$W$4,0))))</f>
        <v>0</v>
      </c>
      <c r="V282">
        <f>IF($C282-V$1&lt;År1,0,U281*(1-VLOOKUP($A282,[1]Hugst!$R$5:$W$9,MATCH(ROUNDUP((V$1)/10,0)*10,[1]Hugst!$R$4:$W$4,0))))</f>
        <v>0</v>
      </c>
      <c r="W282">
        <f>IF($C282-W$1&lt;År1,0,V281*(1-VLOOKUP($A282,[1]Hugst!$R$5:$W$9,MATCH(ROUNDUP((W$1)/10,0)*10,[1]Hugst!$R$4:$W$4,0))))</f>
        <v>0</v>
      </c>
      <c r="X282">
        <f>IF($C282-X$1&lt;År1,0,W281*(1-VLOOKUP($A282,[1]Hugst!$R$5:$W$9,MATCH(ROUNDUP((X$1)/10,0)*10,[1]Hugst!$R$4:$W$4,0))))</f>
        <v>0</v>
      </c>
      <c r="Y282">
        <f>IF($C282-Y$1&lt;År1,0,X281*(1-VLOOKUP($A282,[1]Hugst!$R$5:$W$9,MATCH(ROUNDUP((Y$1)/10,0)*10,[1]Hugst!$R$4:$W$4,0))))</f>
        <v>0</v>
      </c>
      <c r="Z282">
        <f>IF($C282-Z$1&lt;År1,0,Y281*(1-VLOOKUP($A282,[1]Hugst!$R$5:$W$9,MATCH(ROUNDUP((Z$1)/10,0)*10,[1]Hugst!$R$4:$W$4,0))))</f>
        <v>0</v>
      </c>
      <c r="AA282">
        <f>IF($C282-AA$1&lt;År1,0,Z281*(1-VLOOKUP($A282,[1]Hugst!$R$5:$W$9,MATCH(ROUNDUP((AA$1)/10,0)*10,[1]Hugst!$R$4:$W$4,0))))</f>
        <v>0</v>
      </c>
      <c r="AB282">
        <f>IF($C282-AB$1&lt;År1,0,AA281*(1-VLOOKUP($A282,[1]Hugst!$R$5:$W$9,MATCH(ROUNDUP((AB$1)/10,0)*10,[1]Hugst!$R$4:$W$4,0))))</f>
        <v>0</v>
      </c>
      <c r="AC282">
        <f>IF($C282-AC$1&lt;År1,0,AB281*(1-VLOOKUP($A282,[1]Hugst!$R$5:$W$9,MATCH(ROUNDUP((AC$1)/10,0)*10,[1]Hugst!$R$4:$W$4,0))))</f>
        <v>0</v>
      </c>
      <c r="AD282">
        <f>IF($C282-AD$1&lt;År1,0,AC281*(1-VLOOKUP($A282,[1]Hugst!$R$5:$W$9,MATCH(ROUNDUP((AD$1)/10,0)*10,[1]Hugst!$R$4:$W$4,0))))</f>
        <v>0</v>
      </c>
      <c r="AE282">
        <f>IF($C282-AE$1&lt;År1,0,AD281*(1-VLOOKUP($A282,[1]Hugst!$R$5:$W$9,MATCH(ROUNDUP((AE$1)/10,0)*10,[1]Hugst!$R$4:$W$4,0))))</f>
        <v>0</v>
      </c>
      <c r="AF282">
        <f>IF($C282-AF$1&lt;År1,0,AE281*(1-VLOOKUP($A282,[1]Hugst!$R$5:$W$9,MATCH(ROUNDUP((AF$1)/10,0)*10,[1]Hugst!$R$4:$W$4,0))))</f>
        <v>0</v>
      </c>
      <c r="AG282">
        <f>IF($C282-AG$1&lt;År1,0,AF281*(1-VLOOKUP($A282,[1]Hugst!$R$5:$W$9,MATCH(ROUNDUP((AG$1)/10,0)*10,[1]Hugst!$R$4:$W$4,0))))</f>
        <v>0</v>
      </c>
      <c r="AH282">
        <f>IF($C282-AH$1&lt;År1,0,AG281*(1-VLOOKUP($A282,[1]Hugst!$R$5:$W$9,MATCH(ROUNDUP((AH$1)/10,0)*10,[1]Hugst!$R$4:$W$4,0))))</f>
        <v>0</v>
      </c>
      <c r="AI282">
        <f>IF($C282-AI$1&lt;År1,0,AH281*(1-VLOOKUP($A282,[1]Hugst!$R$5:$W$9,MATCH(ROUNDUP((AI$1)/10,0)*10,[1]Hugst!$R$4:$W$4,0))))</f>
        <v>0</v>
      </c>
      <c r="AJ282">
        <f>IF($C282-AJ$1&lt;År1,0,AI281*(1-VLOOKUP($A282,[1]Hugst!$R$5:$W$9,MATCH(ROUNDUP((AJ$1)/10,0)*10,[1]Hugst!$R$4:$W$4,0))))</f>
        <v>0</v>
      </c>
    </row>
    <row r="283" spans="1:36" x14ac:dyDescent="0.25">
      <c r="A283" t="s">
        <v>180</v>
      </c>
      <c r="B283" t="s">
        <v>24</v>
      </c>
      <c r="C283">
        <v>2022</v>
      </c>
      <c r="D283" cm="1">
        <f t="array" ref="D283">(IF(B283="Vestdanmark",Skovbrug!$C$22-(Skovbrug!$C$22)*(1-Skovbrug!$C$9)^(C283-Skovbrug!$B$12),Skovbrug!$F$22-(Skovbrug!$F$22)*(1-Skovbrug!$C$9)^(C283-Skovbrug!$B$12)))*VLOOKUP(A283,Skovbrug!$A$13:$D$17,IF('Skovbrug-alder'!C283&lt;=År2,3,4),FALSE)
-IF(C283&gt;2020,SUM(INDEX($C$1:$D$311,MATCH(1,(2020=$C$1:$C$311)*(B283=$B$1:$B$311)*(A283=$A$1:$A$311),0),2):D282),0)</f>
        <v>0</v>
      </c>
      <c r="E283">
        <f t="shared" ca="1" si="7"/>
        <v>0</v>
      </c>
      <c r="F283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>
        <f ca="1">IF($C283-G$1&lt;År1,0,F282*(1-VLOOKUP($A283,[1]Hugst!$R$5:$W$9,MATCH(ROUNDUP((G$1)/10,0)*10,[1]Hugst!$R$4:$W$4,0))))</f>
        <v>0</v>
      </c>
      <c r="H283">
        <f ca="1">IF($C283-H$1&lt;År1,0,G282*(1-VLOOKUP($A283,[1]Hugst!$R$5:$W$9,MATCH(ROUNDUP((H$1)/10,0)*10,[1]Hugst!$R$4:$W$4,0))))</f>
        <v>0</v>
      </c>
      <c r="I283">
        <f>IF($C283-I$1&lt;År1,0,H282*(1-VLOOKUP($A283,[1]Hugst!$R$5:$W$9,MATCH(ROUNDUP((I$1)/10,0)*10,[1]Hugst!$R$4:$W$4,0))))</f>
        <v>0</v>
      </c>
      <c r="J283">
        <f>IF($C283-J$1&lt;År1,0,I282*(1-VLOOKUP($A283,[1]Hugst!$R$5:$W$9,MATCH(ROUNDUP((J$1)/10,0)*10,[1]Hugst!$R$4:$W$4,0))))</f>
        <v>0</v>
      </c>
      <c r="K283">
        <f>IF($C283-K$1&lt;År1,0,J282*(1-VLOOKUP($A283,[1]Hugst!$R$5:$W$9,MATCH(ROUNDUP((K$1)/10,0)*10,[1]Hugst!$R$4:$W$4,0))))</f>
        <v>0</v>
      </c>
      <c r="L283">
        <f>IF($C283-L$1&lt;År1,0,K282*(1-VLOOKUP($A283,[1]Hugst!$R$5:$W$9,MATCH(ROUNDUP((L$1)/10,0)*10,[1]Hugst!$R$4:$W$4,0))))</f>
        <v>0</v>
      </c>
      <c r="M283">
        <f>IF($C283-M$1&lt;År1,0,L282*(1-VLOOKUP($A283,[1]Hugst!$R$5:$W$9,MATCH(ROUNDUP((M$1)/10,0)*10,[1]Hugst!$R$4:$W$4,0))))</f>
        <v>0</v>
      </c>
      <c r="N283">
        <f>IF($C283-N$1&lt;År1,0,M282*(1-VLOOKUP($A283,[1]Hugst!$R$5:$W$9,MATCH(ROUNDUP((N$1)/10,0)*10,[1]Hugst!$R$4:$W$4,0))))</f>
        <v>0</v>
      </c>
      <c r="O283">
        <f>IF($C283-O$1&lt;År1,0,N282*(1-VLOOKUP($A283,[1]Hugst!$R$5:$W$9,MATCH(ROUNDUP((O$1)/10,0)*10,[1]Hugst!$R$4:$W$4,0))))</f>
        <v>0</v>
      </c>
      <c r="P283">
        <f>IF($C283-P$1&lt;År1,0,O282*(1-VLOOKUP($A283,[1]Hugst!$R$5:$W$9,MATCH(ROUNDUP((P$1)/10,0)*10,[1]Hugst!$R$4:$W$4,0))))</f>
        <v>0</v>
      </c>
      <c r="Q283">
        <f>IF($C283-Q$1&lt;År1,0,P282*(1-VLOOKUP($A283,[1]Hugst!$R$5:$W$9,MATCH(ROUNDUP((Q$1)/10,0)*10,[1]Hugst!$R$4:$W$4,0))))</f>
        <v>0</v>
      </c>
      <c r="R283">
        <f>IF($C283-R$1&lt;År1,0,Q282*(1-VLOOKUP($A283,[1]Hugst!$R$5:$W$9,MATCH(ROUNDUP((R$1)/10,0)*10,[1]Hugst!$R$4:$W$4,0))))</f>
        <v>0</v>
      </c>
      <c r="S283">
        <f>IF($C283-S$1&lt;År1,0,R282*(1-VLOOKUP($A283,[1]Hugst!$R$5:$W$9,MATCH(ROUNDUP((S$1)/10,0)*10,[1]Hugst!$R$4:$W$4,0))))</f>
        <v>0</v>
      </c>
      <c r="T283">
        <f>IF($C283-T$1&lt;År1,0,S282*(1-VLOOKUP($A283,[1]Hugst!$R$5:$W$9,MATCH(ROUNDUP((T$1)/10,0)*10,[1]Hugst!$R$4:$W$4,0))))</f>
        <v>0</v>
      </c>
      <c r="U283">
        <f>IF($C283-U$1&lt;År1,0,T282*(1-VLOOKUP($A283,[1]Hugst!$R$5:$W$9,MATCH(ROUNDUP((U$1)/10,0)*10,[1]Hugst!$R$4:$W$4,0))))</f>
        <v>0</v>
      </c>
      <c r="V283">
        <f>IF($C283-V$1&lt;År1,0,U282*(1-VLOOKUP($A283,[1]Hugst!$R$5:$W$9,MATCH(ROUNDUP((V$1)/10,0)*10,[1]Hugst!$R$4:$W$4,0))))</f>
        <v>0</v>
      </c>
      <c r="W283">
        <f>IF($C283-W$1&lt;År1,0,V282*(1-VLOOKUP($A283,[1]Hugst!$R$5:$W$9,MATCH(ROUNDUP((W$1)/10,0)*10,[1]Hugst!$R$4:$W$4,0))))</f>
        <v>0</v>
      </c>
      <c r="X283">
        <f>IF($C283-X$1&lt;År1,0,W282*(1-VLOOKUP($A283,[1]Hugst!$R$5:$W$9,MATCH(ROUNDUP((X$1)/10,0)*10,[1]Hugst!$R$4:$W$4,0))))</f>
        <v>0</v>
      </c>
      <c r="Y283">
        <f>IF($C283-Y$1&lt;År1,0,X282*(1-VLOOKUP($A283,[1]Hugst!$R$5:$W$9,MATCH(ROUNDUP((Y$1)/10,0)*10,[1]Hugst!$R$4:$W$4,0))))</f>
        <v>0</v>
      </c>
      <c r="Z283">
        <f>IF($C283-Z$1&lt;År1,0,Y282*(1-VLOOKUP($A283,[1]Hugst!$R$5:$W$9,MATCH(ROUNDUP((Z$1)/10,0)*10,[1]Hugst!$R$4:$W$4,0))))</f>
        <v>0</v>
      </c>
      <c r="AA283">
        <f>IF($C283-AA$1&lt;År1,0,Z282*(1-VLOOKUP($A283,[1]Hugst!$R$5:$W$9,MATCH(ROUNDUP((AA$1)/10,0)*10,[1]Hugst!$R$4:$W$4,0))))</f>
        <v>0</v>
      </c>
      <c r="AB283">
        <f>IF($C283-AB$1&lt;År1,0,AA282*(1-VLOOKUP($A283,[1]Hugst!$R$5:$W$9,MATCH(ROUNDUP((AB$1)/10,0)*10,[1]Hugst!$R$4:$W$4,0))))</f>
        <v>0</v>
      </c>
      <c r="AC283">
        <f>IF($C283-AC$1&lt;År1,0,AB282*(1-VLOOKUP($A283,[1]Hugst!$R$5:$W$9,MATCH(ROUNDUP((AC$1)/10,0)*10,[1]Hugst!$R$4:$W$4,0))))</f>
        <v>0</v>
      </c>
      <c r="AD283">
        <f>IF($C283-AD$1&lt;År1,0,AC282*(1-VLOOKUP($A283,[1]Hugst!$R$5:$W$9,MATCH(ROUNDUP((AD$1)/10,0)*10,[1]Hugst!$R$4:$W$4,0))))</f>
        <v>0</v>
      </c>
      <c r="AE283">
        <f>IF($C283-AE$1&lt;År1,0,AD282*(1-VLOOKUP($A283,[1]Hugst!$R$5:$W$9,MATCH(ROUNDUP((AE$1)/10,0)*10,[1]Hugst!$R$4:$W$4,0))))</f>
        <v>0</v>
      </c>
      <c r="AF283">
        <f>IF($C283-AF$1&lt;År1,0,AE282*(1-VLOOKUP($A283,[1]Hugst!$R$5:$W$9,MATCH(ROUNDUP((AF$1)/10,0)*10,[1]Hugst!$R$4:$W$4,0))))</f>
        <v>0</v>
      </c>
      <c r="AG283">
        <f>IF($C283-AG$1&lt;År1,0,AF282*(1-VLOOKUP($A283,[1]Hugst!$R$5:$W$9,MATCH(ROUNDUP((AG$1)/10,0)*10,[1]Hugst!$R$4:$W$4,0))))</f>
        <v>0</v>
      </c>
      <c r="AH283">
        <f>IF($C283-AH$1&lt;År1,0,AG282*(1-VLOOKUP($A283,[1]Hugst!$R$5:$W$9,MATCH(ROUNDUP((AH$1)/10,0)*10,[1]Hugst!$R$4:$W$4,0))))</f>
        <v>0</v>
      </c>
      <c r="AI283">
        <f>IF($C283-AI$1&lt;År1,0,AH282*(1-VLOOKUP($A283,[1]Hugst!$R$5:$W$9,MATCH(ROUNDUP((AI$1)/10,0)*10,[1]Hugst!$R$4:$W$4,0))))</f>
        <v>0</v>
      </c>
      <c r="AJ283">
        <f>IF($C283-AJ$1&lt;År1,0,AI282*(1-VLOOKUP($A283,[1]Hugst!$R$5:$W$9,MATCH(ROUNDUP((AJ$1)/10,0)*10,[1]Hugst!$R$4:$W$4,0))))</f>
        <v>0</v>
      </c>
    </row>
    <row r="284" spans="1:36" x14ac:dyDescent="0.25">
      <c r="A284" t="s">
        <v>180</v>
      </c>
      <c r="B284" t="s">
        <v>24</v>
      </c>
      <c r="C284">
        <v>2023</v>
      </c>
      <c r="D284" cm="1">
        <f t="array" ref="D284">(IF(B284="Vestdanmark",Skovbrug!$C$22-(Skovbrug!$C$22)*(1-Skovbrug!$C$9)^(C284-Skovbrug!$B$12),Skovbrug!$F$22-(Skovbrug!$F$22)*(1-Skovbrug!$C$9)^(C284-Skovbrug!$B$12)))*VLOOKUP(A284,Skovbrug!$A$13:$D$17,IF('Skovbrug-alder'!C284&lt;=År2,3,4),FALSE)
-IF(C284&gt;2020,SUM(INDEX($C$1:$D$311,MATCH(1,(2020=$C$1:$C$311)*(B284=$B$1:$B$311)*(A284=$A$1:$A$311),0),2):D283),0)</f>
        <v>0</v>
      </c>
      <c r="E284">
        <f t="shared" ca="1" si="7"/>
        <v>0</v>
      </c>
      <c r="F284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>
        <f ca="1">IF($C284-G$1&lt;År1,0,F283*(1-VLOOKUP($A284,[1]Hugst!$R$5:$W$9,MATCH(ROUNDUP((G$1)/10,0)*10,[1]Hugst!$R$4:$W$4,0))))</f>
        <v>0</v>
      </c>
      <c r="H284">
        <f ca="1">IF($C284-H$1&lt;År1,0,G283*(1-VLOOKUP($A284,[1]Hugst!$R$5:$W$9,MATCH(ROUNDUP((H$1)/10,0)*10,[1]Hugst!$R$4:$W$4,0))))</f>
        <v>0</v>
      </c>
      <c r="I284">
        <f ca="1">IF($C284-I$1&lt;År1,0,H283*(1-VLOOKUP($A284,[1]Hugst!$R$5:$W$9,MATCH(ROUNDUP((I$1)/10,0)*10,[1]Hugst!$R$4:$W$4,0))))</f>
        <v>0</v>
      </c>
      <c r="J284">
        <f>IF($C284-J$1&lt;År1,0,I283*(1-VLOOKUP($A284,[1]Hugst!$R$5:$W$9,MATCH(ROUNDUP((J$1)/10,0)*10,[1]Hugst!$R$4:$W$4,0))))</f>
        <v>0</v>
      </c>
      <c r="K284">
        <f>IF($C284-K$1&lt;År1,0,J283*(1-VLOOKUP($A284,[1]Hugst!$R$5:$W$9,MATCH(ROUNDUP((K$1)/10,0)*10,[1]Hugst!$R$4:$W$4,0))))</f>
        <v>0</v>
      </c>
      <c r="L284">
        <f>IF($C284-L$1&lt;År1,0,K283*(1-VLOOKUP($A284,[1]Hugst!$R$5:$W$9,MATCH(ROUNDUP((L$1)/10,0)*10,[1]Hugst!$R$4:$W$4,0))))</f>
        <v>0</v>
      </c>
      <c r="M284">
        <f>IF($C284-M$1&lt;År1,0,L283*(1-VLOOKUP($A284,[1]Hugst!$R$5:$W$9,MATCH(ROUNDUP((M$1)/10,0)*10,[1]Hugst!$R$4:$W$4,0))))</f>
        <v>0</v>
      </c>
      <c r="N284">
        <f>IF($C284-N$1&lt;År1,0,M283*(1-VLOOKUP($A284,[1]Hugst!$R$5:$W$9,MATCH(ROUNDUP((N$1)/10,0)*10,[1]Hugst!$R$4:$W$4,0))))</f>
        <v>0</v>
      </c>
      <c r="O284">
        <f>IF($C284-O$1&lt;År1,0,N283*(1-VLOOKUP($A284,[1]Hugst!$R$5:$W$9,MATCH(ROUNDUP((O$1)/10,0)*10,[1]Hugst!$R$4:$W$4,0))))</f>
        <v>0</v>
      </c>
      <c r="P284">
        <f>IF($C284-P$1&lt;År1,0,O283*(1-VLOOKUP($A284,[1]Hugst!$R$5:$W$9,MATCH(ROUNDUP((P$1)/10,0)*10,[1]Hugst!$R$4:$W$4,0))))</f>
        <v>0</v>
      </c>
      <c r="Q284">
        <f>IF($C284-Q$1&lt;År1,0,P283*(1-VLOOKUP($A284,[1]Hugst!$R$5:$W$9,MATCH(ROUNDUP((Q$1)/10,0)*10,[1]Hugst!$R$4:$W$4,0))))</f>
        <v>0</v>
      </c>
      <c r="R284">
        <f>IF($C284-R$1&lt;År1,0,Q283*(1-VLOOKUP($A284,[1]Hugst!$R$5:$W$9,MATCH(ROUNDUP((R$1)/10,0)*10,[1]Hugst!$R$4:$W$4,0))))</f>
        <v>0</v>
      </c>
      <c r="S284">
        <f>IF($C284-S$1&lt;År1,0,R283*(1-VLOOKUP($A284,[1]Hugst!$R$5:$W$9,MATCH(ROUNDUP((S$1)/10,0)*10,[1]Hugst!$R$4:$W$4,0))))</f>
        <v>0</v>
      </c>
      <c r="T284">
        <f>IF($C284-T$1&lt;År1,0,S283*(1-VLOOKUP($A284,[1]Hugst!$R$5:$W$9,MATCH(ROUNDUP((T$1)/10,0)*10,[1]Hugst!$R$4:$W$4,0))))</f>
        <v>0</v>
      </c>
      <c r="U284">
        <f>IF($C284-U$1&lt;År1,0,T283*(1-VLOOKUP($A284,[1]Hugst!$R$5:$W$9,MATCH(ROUNDUP((U$1)/10,0)*10,[1]Hugst!$R$4:$W$4,0))))</f>
        <v>0</v>
      </c>
      <c r="V284">
        <f>IF($C284-V$1&lt;År1,0,U283*(1-VLOOKUP($A284,[1]Hugst!$R$5:$W$9,MATCH(ROUNDUP((V$1)/10,0)*10,[1]Hugst!$R$4:$W$4,0))))</f>
        <v>0</v>
      </c>
      <c r="W284">
        <f>IF($C284-W$1&lt;År1,0,V283*(1-VLOOKUP($A284,[1]Hugst!$R$5:$W$9,MATCH(ROUNDUP((W$1)/10,0)*10,[1]Hugst!$R$4:$W$4,0))))</f>
        <v>0</v>
      </c>
      <c r="X284">
        <f>IF($C284-X$1&lt;År1,0,W283*(1-VLOOKUP($A284,[1]Hugst!$R$5:$W$9,MATCH(ROUNDUP((X$1)/10,0)*10,[1]Hugst!$R$4:$W$4,0))))</f>
        <v>0</v>
      </c>
      <c r="Y284">
        <f>IF($C284-Y$1&lt;År1,0,X283*(1-VLOOKUP($A284,[1]Hugst!$R$5:$W$9,MATCH(ROUNDUP((Y$1)/10,0)*10,[1]Hugst!$R$4:$W$4,0))))</f>
        <v>0</v>
      </c>
      <c r="Z284">
        <f>IF($C284-Z$1&lt;År1,0,Y283*(1-VLOOKUP($A284,[1]Hugst!$R$5:$W$9,MATCH(ROUNDUP((Z$1)/10,0)*10,[1]Hugst!$R$4:$W$4,0))))</f>
        <v>0</v>
      </c>
      <c r="AA284">
        <f>IF($C284-AA$1&lt;År1,0,Z283*(1-VLOOKUP($A284,[1]Hugst!$R$5:$W$9,MATCH(ROUNDUP((AA$1)/10,0)*10,[1]Hugst!$R$4:$W$4,0))))</f>
        <v>0</v>
      </c>
      <c r="AB284">
        <f>IF($C284-AB$1&lt;År1,0,AA283*(1-VLOOKUP($A284,[1]Hugst!$R$5:$W$9,MATCH(ROUNDUP((AB$1)/10,0)*10,[1]Hugst!$R$4:$W$4,0))))</f>
        <v>0</v>
      </c>
      <c r="AC284">
        <f>IF($C284-AC$1&lt;År1,0,AB283*(1-VLOOKUP($A284,[1]Hugst!$R$5:$W$9,MATCH(ROUNDUP((AC$1)/10,0)*10,[1]Hugst!$R$4:$W$4,0))))</f>
        <v>0</v>
      </c>
      <c r="AD284">
        <f>IF($C284-AD$1&lt;År1,0,AC283*(1-VLOOKUP($A284,[1]Hugst!$R$5:$W$9,MATCH(ROUNDUP((AD$1)/10,0)*10,[1]Hugst!$R$4:$W$4,0))))</f>
        <v>0</v>
      </c>
      <c r="AE284">
        <f>IF($C284-AE$1&lt;År1,0,AD283*(1-VLOOKUP($A284,[1]Hugst!$R$5:$W$9,MATCH(ROUNDUP((AE$1)/10,0)*10,[1]Hugst!$R$4:$W$4,0))))</f>
        <v>0</v>
      </c>
      <c r="AF284">
        <f>IF($C284-AF$1&lt;År1,0,AE283*(1-VLOOKUP($A284,[1]Hugst!$R$5:$W$9,MATCH(ROUNDUP((AF$1)/10,0)*10,[1]Hugst!$R$4:$W$4,0))))</f>
        <v>0</v>
      </c>
      <c r="AG284">
        <f>IF($C284-AG$1&lt;År1,0,AF283*(1-VLOOKUP($A284,[1]Hugst!$R$5:$W$9,MATCH(ROUNDUP((AG$1)/10,0)*10,[1]Hugst!$R$4:$W$4,0))))</f>
        <v>0</v>
      </c>
      <c r="AH284">
        <f>IF($C284-AH$1&lt;År1,0,AG283*(1-VLOOKUP($A284,[1]Hugst!$R$5:$W$9,MATCH(ROUNDUP((AH$1)/10,0)*10,[1]Hugst!$R$4:$W$4,0))))</f>
        <v>0</v>
      </c>
      <c r="AI284">
        <f>IF($C284-AI$1&lt;År1,0,AH283*(1-VLOOKUP($A284,[1]Hugst!$R$5:$W$9,MATCH(ROUNDUP((AI$1)/10,0)*10,[1]Hugst!$R$4:$W$4,0))))</f>
        <v>0</v>
      </c>
      <c r="AJ284">
        <f>IF($C284-AJ$1&lt;År1,0,AI283*(1-VLOOKUP($A284,[1]Hugst!$R$5:$W$9,MATCH(ROUNDUP((AJ$1)/10,0)*10,[1]Hugst!$R$4:$W$4,0))))</f>
        <v>0</v>
      </c>
    </row>
    <row r="285" spans="1:36" x14ac:dyDescent="0.25">
      <c r="A285" t="s">
        <v>180</v>
      </c>
      <c r="B285" t="s">
        <v>24</v>
      </c>
      <c r="C285">
        <v>2024</v>
      </c>
      <c r="D285" cm="1">
        <f t="array" ref="D285">(IF(B285="Vestdanmark",Skovbrug!$C$22-(Skovbrug!$C$22)*(1-Skovbrug!$C$9)^(C285-Skovbrug!$B$12),Skovbrug!$F$22-(Skovbrug!$F$22)*(1-Skovbrug!$C$9)^(C285-Skovbrug!$B$12)))*VLOOKUP(A285,Skovbrug!$A$13:$D$17,IF('Skovbrug-alder'!C285&lt;=År2,3,4),FALSE)
-IF(C285&gt;2020,SUM(INDEX($C$1:$D$311,MATCH(1,(2020=$C$1:$C$311)*(B285=$B$1:$B$311)*(A285=$A$1:$A$311),0),2):D284),0)</f>
        <v>0</v>
      </c>
      <c r="E285">
        <f t="shared" ca="1" si="7"/>
        <v>0</v>
      </c>
      <c r="F285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>
        <f ca="1">IF($C285-G$1&lt;År1,0,F284*(1-VLOOKUP($A285,[1]Hugst!$R$5:$W$9,MATCH(ROUNDUP((G$1)/10,0)*10,[1]Hugst!$R$4:$W$4,0))))</f>
        <v>0</v>
      </c>
      <c r="H285">
        <f ca="1">IF($C285-H$1&lt;År1,0,G284*(1-VLOOKUP($A285,[1]Hugst!$R$5:$W$9,MATCH(ROUNDUP((H$1)/10,0)*10,[1]Hugst!$R$4:$W$4,0))))</f>
        <v>0</v>
      </c>
      <c r="I285">
        <f ca="1">IF($C285-I$1&lt;År1,0,H284*(1-VLOOKUP($A285,[1]Hugst!$R$5:$W$9,MATCH(ROUNDUP((I$1)/10,0)*10,[1]Hugst!$R$4:$W$4,0))))</f>
        <v>0</v>
      </c>
      <c r="J285">
        <f ca="1">IF($C285-J$1&lt;År1,0,I284*(1-VLOOKUP($A285,[1]Hugst!$R$5:$W$9,MATCH(ROUNDUP((J$1)/10,0)*10,[1]Hugst!$R$4:$W$4,0))))</f>
        <v>0</v>
      </c>
      <c r="K285">
        <f>IF($C285-K$1&lt;År1,0,J284*(1-VLOOKUP($A285,[1]Hugst!$R$5:$W$9,MATCH(ROUNDUP((K$1)/10,0)*10,[1]Hugst!$R$4:$W$4,0))))</f>
        <v>0</v>
      </c>
      <c r="L285">
        <f>IF($C285-L$1&lt;År1,0,K284*(1-VLOOKUP($A285,[1]Hugst!$R$5:$W$9,MATCH(ROUNDUP((L$1)/10,0)*10,[1]Hugst!$R$4:$W$4,0))))</f>
        <v>0</v>
      </c>
      <c r="M285">
        <f>IF($C285-M$1&lt;År1,0,L284*(1-VLOOKUP($A285,[1]Hugst!$R$5:$W$9,MATCH(ROUNDUP((M$1)/10,0)*10,[1]Hugst!$R$4:$W$4,0))))</f>
        <v>0</v>
      </c>
      <c r="N285">
        <f>IF($C285-N$1&lt;År1,0,M284*(1-VLOOKUP($A285,[1]Hugst!$R$5:$W$9,MATCH(ROUNDUP((N$1)/10,0)*10,[1]Hugst!$R$4:$W$4,0))))</f>
        <v>0</v>
      </c>
      <c r="O285">
        <f>IF($C285-O$1&lt;År1,0,N284*(1-VLOOKUP($A285,[1]Hugst!$R$5:$W$9,MATCH(ROUNDUP((O$1)/10,0)*10,[1]Hugst!$R$4:$W$4,0))))</f>
        <v>0</v>
      </c>
      <c r="P285">
        <f>IF($C285-P$1&lt;År1,0,O284*(1-VLOOKUP($A285,[1]Hugst!$R$5:$W$9,MATCH(ROUNDUP((P$1)/10,0)*10,[1]Hugst!$R$4:$W$4,0))))</f>
        <v>0</v>
      </c>
      <c r="Q285">
        <f>IF($C285-Q$1&lt;År1,0,P284*(1-VLOOKUP($A285,[1]Hugst!$R$5:$W$9,MATCH(ROUNDUP((Q$1)/10,0)*10,[1]Hugst!$R$4:$W$4,0))))</f>
        <v>0</v>
      </c>
      <c r="R285">
        <f>IF($C285-R$1&lt;År1,0,Q284*(1-VLOOKUP($A285,[1]Hugst!$R$5:$W$9,MATCH(ROUNDUP((R$1)/10,0)*10,[1]Hugst!$R$4:$W$4,0))))</f>
        <v>0</v>
      </c>
      <c r="S285">
        <f>IF($C285-S$1&lt;År1,0,R284*(1-VLOOKUP($A285,[1]Hugst!$R$5:$W$9,MATCH(ROUNDUP((S$1)/10,0)*10,[1]Hugst!$R$4:$W$4,0))))</f>
        <v>0</v>
      </c>
      <c r="T285">
        <f>IF($C285-T$1&lt;År1,0,S284*(1-VLOOKUP($A285,[1]Hugst!$R$5:$W$9,MATCH(ROUNDUP((T$1)/10,0)*10,[1]Hugst!$R$4:$W$4,0))))</f>
        <v>0</v>
      </c>
      <c r="U285">
        <f>IF($C285-U$1&lt;År1,0,T284*(1-VLOOKUP($A285,[1]Hugst!$R$5:$W$9,MATCH(ROUNDUP((U$1)/10,0)*10,[1]Hugst!$R$4:$W$4,0))))</f>
        <v>0</v>
      </c>
      <c r="V285">
        <f>IF($C285-V$1&lt;År1,0,U284*(1-VLOOKUP($A285,[1]Hugst!$R$5:$W$9,MATCH(ROUNDUP((V$1)/10,0)*10,[1]Hugst!$R$4:$W$4,0))))</f>
        <v>0</v>
      </c>
      <c r="W285">
        <f>IF($C285-W$1&lt;År1,0,V284*(1-VLOOKUP($A285,[1]Hugst!$R$5:$W$9,MATCH(ROUNDUP((W$1)/10,0)*10,[1]Hugst!$R$4:$W$4,0))))</f>
        <v>0</v>
      </c>
      <c r="X285">
        <f>IF($C285-X$1&lt;År1,0,W284*(1-VLOOKUP($A285,[1]Hugst!$R$5:$W$9,MATCH(ROUNDUP((X$1)/10,0)*10,[1]Hugst!$R$4:$W$4,0))))</f>
        <v>0</v>
      </c>
      <c r="Y285">
        <f>IF($C285-Y$1&lt;År1,0,X284*(1-VLOOKUP($A285,[1]Hugst!$R$5:$W$9,MATCH(ROUNDUP((Y$1)/10,0)*10,[1]Hugst!$R$4:$W$4,0))))</f>
        <v>0</v>
      </c>
      <c r="Z285">
        <f>IF($C285-Z$1&lt;År1,0,Y284*(1-VLOOKUP($A285,[1]Hugst!$R$5:$W$9,MATCH(ROUNDUP((Z$1)/10,0)*10,[1]Hugst!$R$4:$W$4,0))))</f>
        <v>0</v>
      </c>
      <c r="AA285">
        <f>IF($C285-AA$1&lt;År1,0,Z284*(1-VLOOKUP($A285,[1]Hugst!$R$5:$W$9,MATCH(ROUNDUP((AA$1)/10,0)*10,[1]Hugst!$R$4:$W$4,0))))</f>
        <v>0</v>
      </c>
      <c r="AB285">
        <f>IF($C285-AB$1&lt;År1,0,AA284*(1-VLOOKUP($A285,[1]Hugst!$R$5:$W$9,MATCH(ROUNDUP((AB$1)/10,0)*10,[1]Hugst!$R$4:$W$4,0))))</f>
        <v>0</v>
      </c>
      <c r="AC285">
        <f>IF($C285-AC$1&lt;År1,0,AB284*(1-VLOOKUP($A285,[1]Hugst!$R$5:$W$9,MATCH(ROUNDUP((AC$1)/10,0)*10,[1]Hugst!$R$4:$W$4,0))))</f>
        <v>0</v>
      </c>
      <c r="AD285">
        <f>IF($C285-AD$1&lt;År1,0,AC284*(1-VLOOKUP($A285,[1]Hugst!$R$5:$W$9,MATCH(ROUNDUP((AD$1)/10,0)*10,[1]Hugst!$R$4:$W$4,0))))</f>
        <v>0</v>
      </c>
      <c r="AE285">
        <f>IF($C285-AE$1&lt;År1,0,AD284*(1-VLOOKUP($A285,[1]Hugst!$R$5:$W$9,MATCH(ROUNDUP((AE$1)/10,0)*10,[1]Hugst!$R$4:$W$4,0))))</f>
        <v>0</v>
      </c>
      <c r="AF285">
        <f>IF($C285-AF$1&lt;År1,0,AE284*(1-VLOOKUP($A285,[1]Hugst!$R$5:$W$9,MATCH(ROUNDUP((AF$1)/10,0)*10,[1]Hugst!$R$4:$W$4,0))))</f>
        <v>0</v>
      </c>
      <c r="AG285">
        <f>IF($C285-AG$1&lt;År1,0,AF284*(1-VLOOKUP($A285,[1]Hugst!$R$5:$W$9,MATCH(ROUNDUP((AG$1)/10,0)*10,[1]Hugst!$R$4:$W$4,0))))</f>
        <v>0</v>
      </c>
      <c r="AH285">
        <f>IF($C285-AH$1&lt;År1,0,AG284*(1-VLOOKUP($A285,[1]Hugst!$R$5:$W$9,MATCH(ROUNDUP((AH$1)/10,0)*10,[1]Hugst!$R$4:$W$4,0))))</f>
        <v>0</v>
      </c>
      <c r="AI285">
        <f>IF($C285-AI$1&lt;År1,0,AH284*(1-VLOOKUP($A285,[1]Hugst!$R$5:$W$9,MATCH(ROUNDUP((AI$1)/10,0)*10,[1]Hugst!$R$4:$W$4,0))))</f>
        <v>0</v>
      </c>
      <c r="AJ285">
        <f>IF($C285-AJ$1&lt;År1,0,AI284*(1-VLOOKUP($A285,[1]Hugst!$R$5:$W$9,MATCH(ROUNDUP((AJ$1)/10,0)*10,[1]Hugst!$R$4:$W$4,0))))</f>
        <v>0</v>
      </c>
    </row>
    <row r="286" spans="1:36" x14ac:dyDescent="0.25">
      <c r="A286" t="s">
        <v>180</v>
      </c>
      <c r="B286" t="s">
        <v>24</v>
      </c>
      <c r="C286">
        <v>2025</v>
      </c>
      <c r="D286" cm="1">
        <f t="array" ref="D286">(IF(B286="Vestdanmark",Skovbrug!$C$22-(Skovbrug!$C$22)*(1-Skovbrug!$C$9)^(C286-Skovbrug!$B$12),Skovbrug!$F$22-(Skovbrug!$F$22)*(1-Skovbrug!$C$9)^(C286-Skovbrug!$B$12)))*VLOOKUP(A286,Skovbrug!$A$13:$D$17,IF('Skovbrug-alder'!C286&lt;=År2,3,4),FALSE)
-IF(C286&gt;2020,SUM(INDEX($C$1:$D$311,MATCH(1,(2020=$C$1:$C$311)*(B286=$B$1:$B$311)*(A286=$A$1:$A$311),0),2):D285),0)</f>
        <v>0</v>
      </c>
      <c r="E286">
        <f t="shared" ca="1" si="7"/>
        <v>0</v>
      </c>
      <c r="F286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>
        <f ca="1">IF($C286-G$1&lt;År1,0,F285*(1-VLOOKUP($A286,[1]Hugst!$R$5:$W$9,MATCH(ROUNDUP((G$1)/10,0)*10,[1]Hugst!$R$4:$W$4,0))))</f>
        <v>0</v>
      </c>
      <c r="H286">
        <f ca="1">IF($C286-H$1&lt;År1,0,G285*(1-VLOOKUP($A286,[1]Hugst!$R$5:$W$9,MATCH(ROUNDUP((H$1)/10,0)*10,[1]Hugst!$R$4:$W$4,0))))</f>
        <v>0</v>
      </c>
      <c r="I286">
        <f ca="1">IF($C286-I$1&lt;År1,0,H285*(1-VLOOKUP($A286,[1]Hugst!$R$5:$W$9,MATCH(ROUNDUP((I$1)/10,0)*10,[1]Hugst!$R$4:$W$4,0))))</f>
        <v>0</v>
      </c>
      <c r="J286">
        <f ca="1">IF($C286-J$1&lt;År1,0,I285*(1-VLOOKUP($A286,[1]Hugst!$R$5:$W$9,MATCH(ROUNDUP((J$1)/10,0)*10,[1]Hugst!$R$4:$W$4,0))))</f>
        <v>0</v>
      </c>
      <c r="K286">
        <f ca="1">IF($C286-K$1&lt;År1,0,J285*(1-VLOOKUP($A286,[1]Hugst!$R$5:$W$9,MATCH(ROUNDUP((K$1)/10,0)*10,[1]Hugst!$R$4:$W$4,0))))</f>
        <v>0</v>
      </c>
      <c r="L286">
        <f>IF($C286-L$1&lt;År1,0,K285*(1-VLOOKUP($A286,[1]Hugst!$R$5:$W$9,MATCH(ROUNDUP((L$1)/10,0)*10,[1]Hugst!$R$4:$W$4,0))))</f>
        <v>0</v>
      </c>
      <c r="M286">
        <f>IF($C286-M$1&lt;År1,0,L285*(1-VLOOKUP($A286,[1]Hugst!$R$5:$W$9,MATCH(ROUNDUP((M$1)/10,0)*10,[1]Hugst!$R$4:$W$4,0))))</f>
        <v>0</v>
      </c>
      <c r="N286">
        <f>IF($C286-N$1&lt;År1,0,M285*(1-VLOOKUP($A286,[1]Hugst!$R$5:$W$9,MATCH(ROUNDUP((N$1)/10,0)*10,[1]Hugst!$R$4:$W$4,0))))</f>
        <v>0</v>
      </c>
      <c r="O286">
        <f>IF($C286-O$1&lt;År1,0,N285*(1-VLOOKUP($A286,[1]Hugst!$R$5:$W$9,MATCH(ROUNDUP((O$1)/10,0)*10,[1]Hugst!$R$4:$W$4,0))))</f>
        <v>0</v>
      </c>
      <c r="P286">
        <f>IF($C286-P$1&lt;År1,0,O285*(1-VLOOKUP($A286,[1]Hugst!$R$5:$W$9,MATCH(ROUNDUP((P$1)/10,0)*10,[1]Hugst!$R$4:$W$4,0))))</f>
        <v>0</v>
      </c>
      <c r="Q286">
        <f>IF($C286-Q$1&lt;År1,0,P285*(1-VLOOKUP($A286,[1]Hugst!$R$5:$W$9,MATCH(ROUNDUP((Q$1)/10,0)*10,[1]Hugst!$R$4:$W$4,0))))</f>
        <v>0</v>
      </c>
      <c r="R286">
        <f>IF($C286-R$1&lt;År1,0,Q285*(1-VLOOKUP($A286,[1]Hugst!$R$5:$W$9,MATCH(ROUNDUP((R$1)/10,0)*10,[1]Hugst!$R$4:$W$4,0))))</f>
        <v>0</v>
      </c>
      <c r="S286">
        <f>IF($C286-S$1&lt;År1,0,R285*(1-VLOOKUP($A286,[1]Hugst!$R$5:$W$9,MATCH(ROUNDUP((S$1)/10,0)*10,[1]Hugst!$R$4:$W$4,0))))</f>
        <v>0</v>
      </c>
      <c r="T286">
        <f>IF($C286-T$1&lt;År1,0,S285*(1-VLOOKUP($A286,[1]Hugst!$R$5:$W$9,MATCH(ROUNDUP((T$1)/10,0)*10,[1]Hugst!$R$4:$W$4,0))))</f>
        <v>0</v>
      </c>
      <c r="U286">
        <f>IF($C286-U$1&lt;År1,0,T285*(1-VLOOKUP($A286,[1]Hugst!$R$5:$W$9,MATCH(ROUNDUP((U$1)/10,0)*10,[1]Hugst!$R$4:$W$4,0))))</f>
        <v>0</v>
      </c>
      <c r="V286">
        <f>IF($C286-V$1&lt;År1,0,U285*(1-VLOOKUP($A286,[1]Hugst!$R$5:$W$9,MATCH(ROUNDUP((V$1)/10,0)*10,[1]Hugst!$R$4:$W$4,0))))</f>
        <v>0</v>
      </c>
      <c r="W286">
        <f>IF($C286-W$1&lt;År1,0,V285*(1-VLOOKUP($A286,[1]Hugst!$R$5:$W$9,MATCH(ROUNDUP((W$1)/10,0)*10,[1]Hugst!$R$4:$W$4,0))))</f>
        <v>0</v>
      </c>
      <c r="X286">
        <f>IF($C286-X$1&lt;År1,0,W285*(1-VLOOKUP($A286,[1]Hugst!$R$5:$W$9,MATCH(ROUNDUP((X$1)/10,0)*10,[1]Hugst!$R$4:$W$4,0))))</f>
        <v>0</v>
      </c>
      <c r="Y286">
        <f>IF($C286-Y$1&lt;År1,0,X285*(1-VLOOKUP($A286,[1]Hugst!$R$5:$W$9,MATCH(ROUNDUP((Y$1)/10,0)*10,[1]Hugst!$R$4:$W$4,0))))</f>
        <v>0</v>
      </c>
      <c r="Z286">
        <f>IF($C286-Z$1&lt;År1,0,Y285*(1-VLOOKUP($A286,[1]Hugst!$R$5:$W$9,MATCH(ROUNDUP((Z$1)/10,0)*10,[1]Hugst!$R$4:$W$4,0))))</f>
        <v>0</v>
      </c>
      <c r="AA286">
        <f>IF($C286-AA$1&lt;År1,0,Z285*(1-VLOOKUP($A286,[1]Hugst!$R$5:$W$9,MATCH(ROUNDUP((AA$1)/10,0)*10,[1]Hugst!$R$4:$W$4,0))))</f>
        <v>0</v>
      </c>
      <c r="AB286">
        <f>IF($C286-AB$1&lt;År1,0,AA285*(1-VLOOKUP($A286,[1]Hugst!$R$5:$W$9,MATCH(ROUNDUP((AB$1)/10,0)*10,[1]Hugst!$R$4:$W$4,0))))</f>
        <v>0</v>
      </c>
      <c r="AC286">
        <f>IF($C286-AC$1&lt;År1,0,AB285*(1-VLOOKUP($A286,[1]Hugst!$R$5:$W$9,MATCH(ROUNDUP((AC$1)/10,0)*10,[1]Hugst!$R$4:$W$4,0))))</f>
        <v>0</v>
      </c>
      <c r="AD286">
        <f>IF($C286-AD$1&lt;År1,0,AC285*(1-VLOOKUP($A286,[1]Hugst!$R$5:$W$9,MATCH(ROUNDUP((AD$1)/10,0)*10,[1]Hugst!$R$4:$W$4,0))))</f>
        <v>0</v>
      </c>
      <c r="AE286">
        <f>IF($C286-AE$1&lt;År1,0,AD285*(1-VLOOKUP($A286,[1]Hugst!$R$5:$W$9,MATCH(ROUNDUP((AE$1)/10,0)*10,[1]Hugst!$R$4:$W$4,0))))</f>
        <v>0</v>
      </c>
      <c r="AF286">
        <f>IF($C286-AF$1&lt;År1,0,AE285*(1-VLOOKUP($A286,[1]Hugst!$R$5:$W$9,MATCH(ROUNDUP((AF$1)/10,0)*10,[1]Hugst!$R$4:$W$4,0))))</f>
        <v>0</v>
      </c>
      <c r="AG286">
        <f>IF($C286-AG$1&lt;År1,0,AF285*(1-VLOOKUP($A286,[1]Hugst!$R$5:$W$9,MATCH(ROUNDUP((AG$1)/10,0)*10,[1]Hugst!$R$4:$W$4,0))))</f>
        <v>0</v>
      </c>
      <c r="AH286">
        <f>IF($C286-AH$1&lt;År1,0,AG285*(1-VLOOKUP($A286,[1]Hugst!$R$5:$W$9,MATCH(ROUNDUP((AH$1)/10,0)*10,[1]Hugst!$R$4:$W$4,0))))</f>
        <v>0</v>
      </c>
      <c r="AI286">
        <f>IF($C286-AI$1&lt;År1,0,AH285*(1-VLOOKUP($A286,[1]Hugst!$R$5:$W$9,MATCH(ROUNDUP((AI$1)/10,0)*10,[1]Hugst!$R$4:$W$4,0))))</f>
        <v>0</v>
      </c>
      <c r="AJ286">
        <f>IF($C286-AJ$1&lt;År1,0,AI285*(1-VLOOKUP($A286,[1]Hugst!$R$5:$W$9,MATCH(ROUNDUP((AJ$1)/10,0)*10,[1]Hugst!$R$4:$W$4,0))))</f>
        <v>0</v>
      </c>
    </row>
    <row r="287" spans="1:36" x14ac:dyDescent="0.25">
      <c r="A287" t="s">
        <v>180</v>
      </c>
      <c r="B287" t="s">
        <v>24</v>
      </c>
      <c r="C287">
        <v>2026</v>
      </c>
      <c r="D287" cm="1">
        <f t="array" ref="D287">(IF(B287="Vestdanmark",Skovbrug!$C$22-(Skovbrug!$C$22)*(1-Skovbrug!$C$9)^(C287-Skovbrug!$B$12),Skovbrug!$F$22-(Skovbrug!$F$22)*(1-Skovbrug!$C$9)^(C287-Skovbrug!$B$12)))*VLOOKUP(A287,Skovbrug!$A$13:$D$17,IF('Skovbrug-alder'!C287&lt;=År2,3,4),FALSE)
-IF(C287&gt;2020,SUM(INDEX($C$1:$D$311,MATCH(1,(2020=$C$1:$C$311)*(B287=$B$1:$B$311)*(A287=$A$1:$A$311),0),2):D286),0)</f>
        <v>0</v>
      </c>
      <c r="E287">
        <f t="shared" ca="1" si="7"/>
        <v>0</v>
      </c>
      <c r="F287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>
        <f ca="1">IF($C287-G$1&lt;År1,0,F286*(1-VLOOKUP($A287,[1]Hugst!$R$5:$W$9,MATCH(ROUNDUP((G$1)/10,0)*10,[1]Hugst!$R$4:$W$4,0))))</f>
        <v>0</v>
      </c>
      <c r="H287">
        <f ca="1">IF($C287-H$1&lt;År1,0,G286*(1-VLOOKUP($A287,[1]Hugst!$R$5:$W$9,MATCH(ROUNDUP((H$1)/10,0)*10,[1]Hugst!$R$4:$W$4,0))))</f>
        <v>0</v>
      </c>
      <c r="I287">
        <f ca="1">IF($C287-I$1&lt;År1,0,H286*(1-VLOOKUP($A287,[1]Hugst!$R$5:$W$9,MATCH(ROUNDUP((I$1)/10,0)*10,[1]Hugst!$R$4:$W$4,0))))</f>
        <v>0</v>
      </c>
      <c r="J287">
        <f ca="1">IF($C287-J$1&lt;År1,0,I286*(1-VLOOKUP($A287,[1]Hugst!$R$5:$W$9,MATCH(ROUNDUP((J$1)/10,0)*10,[1]Hugst!$R$4:$W$4,0))))</f>
        <v>0</v>
      </c>
      <c r="K287">
        <f ca="1">IF($C287-K$1&lt;År1,0,J286*(1-VLOOKUP($A287,[1]Hugst!$R$5:$W$9,MATCH(ROUNDUP((K$1)/10,0)*10,[1]Hugst!$R$4:$W$4,0))))</f>
        <v>0</v>
      </c>
      <c r="L287">
        <f ca="1">IF($C287-L$1&lt;År1,0,K286*(1-VLOOKUP($A287,[1]Hugst!$R$5:$W$9,MATCH(ROUNDUP((L$1)/10,0)*10,[1]Hugst!$R$4:$W$4,0))))</f>
        <v>0</v>
      </c>
      <c r="M287">
        <f>IF($C287-M$1&lt;År1,0,L286*(1-VLOOKUP($A287,[1]Hugst!$R$5:$W$9,MATCH(ROUNDUP((M$1)/10,0)*10,[1]Hugst!$R$4:$W$4,0))))</f>
        <v>0</v>
      </c>
      <c r="N287">
        <f>IF($C287-N$1&lt;År1,0,M286*(1-VLOOKUP($A287,[1]Hugst!$R$5:$W$9,MATCH(ROUNDUP((N$1)/10,0)*10,[1]Hugst!$R$4:$W$4,0))))</f>
        <v>0</v>
      </c>
      <c r="O287">
        <f>IF($C287-O$1&lt;År1,0,N286*(1-VLOOKUP($A287,[1]Hugst!$R$5:$W$9,MATCH(ROUNDUP((O$1)/10,0)*10,[1]Hugst!$R$4:$W$4,0))))</f>
        <v>0</v>
      </c>
      <c r="P287">
        <f>IF($C287-P$1&lt;År1,0,O286*(1-VLOOKUP($A287,[1]Hugst!$R$5:$W$9,MATCH(ROUNDUP((P$1)/10,0)*10,[1]Hugst!$R$4:$W$4,0))))</f>
        <v>0</v>
      </c>
      <c r="Q287">
        <f>IF($C287-Q$1&lt;År1,0,P286*(1-VLOOKUP($A287,[1]Hugst!$R$5:$W$9,MATCH(ROUNDUP((Q$1)/10,0)*10,[1]Hugst!$R$4:$W$4,0))))</f>
        <v>0</v>
      </c>
      <c r="R287">
        <f>IF($C287-R$1&lt;År1,0,Q286*(1-VLOOKUP($A287,[1]Hugst!$R$5:$W$9,MATCH(ROUNDUP((R$1)/10,0)*10,[1]Hugst!$R$4:$W$4,0))))</f>
        <v>0</v>
      </c>
      <c r="S287">
        <f>IF($C287-S$1&lt;År1,0,R286*(1-VLOOKUP($A287,[1]Hugst!$R$5:$W$9,MATCH(ROUNDUP((S$1)/10,0)*10,[1]Hugst!$R$4:$W$4,0))))</f>
        <v>0</v>
      </c>
      <c r="T287">
        <f>IF($C287-T$1&lt;År1,0,S286*(1-VLOOKUP($A287,[1]Hugst!$R$5:$W$9,MATCH(ROUNDUP((T$1)/10,0)*10,[1]Hugst!$R$4:$W$4,0))))</f>
        <v>0</v>
      </c>
      <c r="U287">
        <f>IF($C287-U$1&lt;År1,0,T286*(1-VLOOKUP($A287,[1]Hugst!$R$5:$W$9,MATCH(ROUNDUP((U$1)/10,0)*10,[1]Hugst!$R$4:$W$4,0))))</f>
        <v>0</v>
      </c>
      <c r="V287">
        <f>IF($C287-V$1&lt;År1,0,U286*(1-VLOOKUP($A287,[1]Hugst!$R$5:$W$9,MATCH(ROUNDUP((V$1)/10,0)*10,[1]Hugst!$R$4:$W$4,0))))</f>
        <v>0</v>
      </c>
      <c r="W287">
        <f>IF($C287-W$1&lt;År1,0,V286*(1-VLOOKUP($A287,[1]Hugst!$R$5:$W$9,MATCH(ROUNDUP((W$1)/10,0)*10,[1]Hugst!$R$4:$W$4,0))))</f>
        <v>0</v>
      </c>
      <c r="X287">
        <f>IF($C287-X$1&lt;År1,0,W286*(1-VLOOKUP($A287,[1]Hugst!$R$5:$W$9,MATCH(ROUNDUP((X$1)/10,0)*10,[1]Hugst!$R$4:$W$4,0))))</f>
        <v>0</v>
      </c>
      <c r="Y287">
        <f>IF($C287-Y$1&lt;År1,0,X286*(1-VLOOKUP($A287,[1]Hugst!$R$5:$W$9,MATCH(ROUNDUP((Y$1)/10,0)*10,[1]Hugst!$R$4:$W$4,0))))</f>
        <v>0</v>
      </c>
      <c r="Z287">
        <f>IF($C287-Z$1&lt;År1,0,Y286*(1-VLOOKUP($A287,[1]Hugst!$R$5:$W$9,MATCH(ROUNDUP((Z$1)/10,0)*10,[1]Hugst!$R$4:$W$4,0))))</f>
        <v>0</v>
      </c>
      <c r="AA287">
        <f>IF($C287-AA$1&lt;År1,0,Z286*(1-VLOOKUP($A287,[1]Hugst!$R$5:$W$9,MATCH(ROUNDUP((AA$1)/10,0)*10,[1]Hugst!$R$4:$W$4,0))))</f>
        <v>0</v>
      </c>
      <c r="AB287">
        <f>IF($C287-AB$1&lt;År1,0,AA286*(1-VLOOKUP($A287,[1]Hugst!$R$5:$W$9,MATCH(ROUNDUP((AB$1)/10,0)*10,[1]Hugst!$R$4:$W$4,0))))</f>
        <v>0</v>
      </c>
      <c r="AC287">
        <f>IF($C287-AC$1&lt;År1,0,AB286*(1-VLOOKUP($A287,[1]Hugst!$R$5:$W$9,MATCH(ROUNDUP((AC$1)/10,0)*10,[1]Hugst!$R$4:$W$4,0))))</f>
        <v>0</v>
      </c>
      <c r="AD287">
        <f>IF($C287-AD$1&lt;År1,0,AC286*(1-VLOOKUP($A287,[1]Hugst!$R$5:$W$9,MATCH(ROUNDUP((AD$1)/10,0)*10,[1]Hugst!$R$4:$W$4,0))))</f>
        <v>0</v>
      </c>
      <c r="AE287">
        <f>IF($C287-AE$1&lt;År1,0,AD286*(1-VLOOKUP($A287,[1]Hugst!$R$5:$W$9,MATCH(ROUNDUP((AE$1)/10,0)*10,[1]Hugst!$R$4:$W$4,0))))</f>
        <v>0</v>
      </c>
      <c r="AF287">
        <f>IF($C287-AF$1&lt;År1,0,AE286*(1-VLOOKUP($A287,[1]Hugst!$R$5:$W$9,MATCH(ROUNDUP((AF$1)/10,0)*10,[1]Hugst!$R$4:$W$4,0))))</f>
        <v>0</v>
      </c>
      <c r="AG287">
        <f>IF($C287-AG$1&lt;År1,0,AF286*(1-VLOOKUP($A287,[1]Hugst!$R$5:$W$9,MATCH(ROUNDUP((AG$1)/10,0)*10,[1]Hugst!$R$4:$W$4,0))))</f>
        <v>0</v>
      </c>
      <c r="AH287">
        <f>IF($C287-AH$1&lt;År1,0,AG286*(1-VLOOKUP($A287,[1]Hugst!$R$5:$W$9,MATCH(ROUNDUP((AH$1)/10,0)*10,[1]Hugst!$R$4:$W$4,0))))</f>
        <v>0</v>
      </c>
      <c r="AI287">
        <f>IF($C287-AI$1&lt;År1,0,AH286*(1-VLOOKUP($A287,[1]Hugst!$R$5:$W$9,MATCH(ROUNDUP((AI$1)/10,0)*10,[1]Hugst!$R$4:$W$4,0))))</f>
        <v>0</v>
      </c>
      <c r="AJ287">
        <f>IF($C287-AJ$1&lt;År1,0,AI286*(1-VLOOKUP($A287,[1]Hugst!$R$5:$W$9,MATCH(ROUNDUP((AJ$1)/10,0)*10,[1]Hugst!$R$4:$W$4,0))))</f>
        <v>0</v>
      </c>
    </row>
    <row r="288" spans="1:36" x14ac:dyDescent="0.25">
      <c r="A288" t="s">
        <v>180</v>
      </c>
      <c r="B288" t="s">
        <v>24</v>
      </c>
      <c r="C288">
        <v>2027</v>
      </c>
      <c r="D288" cm="1">
        <f t="array" ref="D288">(IF(B288="Vestdanmark",Skovbrug!$C$22-(Skovbrug!$C$22)*(1-Skovbrug!$C$9)^(C288-Skovbrug!$B$12),Skovbrug!$F$22-(Skovbrug!$F$22)*(1-Skovbrug!$C$9)^(C288-Skovbrug!$B$12)))*VLOOKUP(A288,Skovbrug!$A$13:$D$17,IF('Skovbrug-alder'!C288&lt;=År2,3,4),FALSE)
-IF(C288&gt;2020,SUM(INDEX($C$1:$D$311,MATCH(1,(2020=$C$1:$C$311)*(B288=$B$1:$B$311)*(A288=$A$1:$A$311),0),2):D287),0)</f>
        <v>0</v>
      </c>
      <c r="E288">
        <f t="shared" ca="1" si="7"/>
        <v>0</v>
      </c>
      <c r="F28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>
        <f ca="1">IF($C288-G$1&lt;År1,0,F287*(1-VLOOKUP($A288,[1]Hugst!$R$5:$W$9,MATCH(ROUNDUP((G$1)/10,0)*10,[1]Hugst!$R$4:$W$4,0))))</f>
        <v>0</v>
      </c>
      <c r="H288">
        <f ca="1">IF($C288-H$1&lt;År1,0,G287*(1-VLOOKUP($A288,[1]Hugst!$R$5:$W$9,MATCH(ROUNDUP((H$1)/10,0)*10,[1]Hugst!$R$4:$W$4,0))))</f>
        <v>0</v>
      </c>
      <c r="I288">
        <f ca="1">IF($C288-I$1&lt;År1,0,H287*(1-VLOOKUP($A288,[1]Hugst!$R$5:$W$9,MATCH(ROUNDUP((I$1)/10,0)*10,[1]Hugst!$R$4:$W$4,0))))</f>
        <v>0</v>
      </c>
      <c r="J288">
        <f ca="1">IF($C288-J$1&lt;År1,0,I287*(1-VLOOKUP($A288,[1]Hugst!$R$5:$W$9,MATCH(ROUNDUP((J$1)/10,0)*10,[1]Hugst!$R$4:$W$4,0))))</f>
        <v>0</v>
      </c>
      <c r="K288">
        <f ca="1">IF($C288-K$1&lt;År1,0,J287*(1-VLOOKUP($A288,[1]Hugst!$R$5:$W$9,MATCH(ROUNDUP((K$1)/10,0)*10,[1]Hugst!$R$4:$W$4,0))))</f>
        <v>0</v>
      </c>
      <c r="L288">
        <f ca="1">IF($C288-L$1&lt;År1,0,K287*(1-VLOOKUP($A288,[1]Hugst!$R$5:$W$9,MATCH(ROUNDUP((L$1)/10,0)*10,[1]Hugst!$R$4:$W$4,0))))</f>
        <v>0</v>
      </c>
      <c r="M288">
        <f ca="1">IF($C288-M$1&lt;År1,0,L287*(1-VLOOKUP($A288,[1]Hugst!$R$5:$W$9,MATCH(ROUNDUP((M$1)/10,0)*10,[1]Hugst!$R$4:$W$4,0))))</f>
        <v>0</v>
      </c>
      <c r="N288">
        <f>IF($C288-N$1&lt;År1,0,M287*(1-VLOOKUP($A288,[1]Hugst!$R$5:$W$9,MATCH(ROUNDUP((N$1)/10,0)*10,[1]Hugst!$R$4:$W$4,0))))</f>
        <v>0</v>
      </c>
      <c r="O288">
        <f>IF($C288-O$1&lt;År1,0,N287*(1-VLOOKUP($A288,[1]Hugst!$R$5:$W$9,MATCH(ROUNDUP((O$1)/10,0)*10,[1]Hugst!$R$4:$W$4,0))))</f>
        <v>0</v>
      </c>
      <c r="P288">
        <f>IF($C288-P$1&lt;År1,0,O287*(1-VLOOKUP($A288,[1]Hugst!$R$5:$W$9,MATCH(ROUNDUP((P$1)/10,0)*10,[1]Hugst!$R$4:$W$4,0))))</f>
        <v>0</v>
      </c>
      <c r="Q288">
        <f>IF($C288-Q$1&lt;År1,0,P287*(1-VLOOKUP($A288,[1]Hugst!$R$5:$W$9,MATCH(ROUNDUP((Q$1)/10,0)*10,[1]Hugst!$R$4:$W$4,0))))</f>
        <v>0</v>
      </c>
      <c r="R288">
        <f>IF($C288-R$1&lt;År1,0,Q287*(1-VLOOKUP($A288,[1]Hugst!$R$5:$W$9,MATCH(ROUNDUP((R$1)/10,0)*10,[1]Hugst!$R$4:$W$4,0))))</f>
        <v>0</v>
      </c>
      <c r="S288">
        <f>IF($C288-S$1&lt;År1,0,R287*(1-VLOOKUP($A288,[1]Hugst!$R$5:$W$9,MATCH(ROUNDUP((S$1)/10,0)*10,[1]Hugst!$R$4:$W$4,0))))</f>
        <v>0</v>
      </c>
      <c r="T288">
        <f>IF($C288-T$1&lt;År1,0,S287*(1-VLOOKUP($A288,[1]Hugst!$R$5:$W$9,MATCH(ROUNDUP((T$1)/10,0)*10,[1]Hugst!$R$4:$W$4,0))))</f>
        <v>0</v>
      </c>
      <c r="U288">
        <f>IF($C288-U$1&lt;År1,0,T287*(1-VLOOKUP($A288,[1]Hugst!$R$5:$W$9,MATCH(ROUNDUP((U$1)/10,0)*10,[1]Hugst!$R$4:$W$4,0))))</f>
        <v>0</v>
      </c>
      <c r="V288">
        <f>IF($C288-V$1&lt;År1,0,U287*(1-VLOOKUP($A288,[1]Hugst!$R$5:$W$9,MATCH(ROUNDUP((V$1)/10,0)*10,[1]Hugst!$R$4:$W$4,0))))</f>
        <v>0</v>
      </c>
      <c r="W288">
        <f>IF($C288-W$1&lt;År1,0,V287*(1-VLOOKUP($A288,[1]Hugst!$R$5:$W$9,MATCH(ROUNDUP((W$1)/10,0)*10,[1]Hugst!$R$4:$W$4,0))))</f>
        <v>0</v>
      </c>
      <c r="X288">
        <f>IF($C288-X$1&lt;År1,0,W287*(1-VLOOKUP($A288,[1]Hugst!$R$5:$W$9,MATCH(ROUNDUP((X$1)/10,0)*10,[1]Hugst!$R$4:$W$4,0))))</f>
        <v>0</v>
      </c>
      <c r="Y288">
        <f>IF($C288-Y$1&lt;År1,0,X287*(1-VLOOKUP($A288,[1]Hugst!$R$5:$W$9,MATCH(ROUNDUP((Y$1)/10,0)*10,[1]Hugst!$R$4:$W$4,0))))</f>
        <v>0</v>
      </c>
      <c r="Z288">
        <f>IF($C288-Z$1&lt;År1,0,Y287*(1-VLOOKUP($A288,[1]Hugst!$R$5:$W$9,MATCH(ROUNDUP((Z$1)/10,0)*10,[1]Hugst!$R$4:$W$4,0))))</f>
        <v>0</v>
      </c>
      <c r="AA288">
        <f>IF($C288-AA$1&lt;År1,0,Z287*(1-VLOOKUP($A288,[1]Hugst!$R$5:$W$9,MATCH(ROUNDUP((AA$1)/10,0)*10,[1]Hugst!$R$4:$W$4,0))))</f>
        <v>0</v>
      </c>
      <c r="AB288">
        <f>IF($C288-AB$1&lt;År1,0,AA287*(1-VLOOKUP($A288,[1]Hugst!$R$5:$W$9,MATCH(ROUNDUP((AB$1)/10,0)*10,[1]Hugst!$R$4:$W$4,0))))</f>
        <v>0</v>
      </c>
      <c r="AC288">
        <f>IF($C288-AC$1&lt;År1,0,AB287*(1-VLOOKUP($A288,[1]Hugst!$R$5:$W$9,MATCH(ROUNDUP((AC$1)/10,0)*10,[1]Hugst!$R$4:$W$4,0))))</f>
        <v>0</v>
      </c>
      <c r="AD288">
        <f>IF($C288-AD$1&lt;År1,0,AC287*(1-VLOOKUP($A288,[1]Hugst!$R$5:$W$9,MATCH(ROUNDUP((AD$1)/10,0)*10,[1]Hugst!$R$4:$W$4,0))))</f>
        <v>0</v>
      </c>
      <c r="AE288">
        <f>IF($C288-AE$1&lt;År1,0,AD287*(1-VLOOKUP($A288,[1]Hugst!$R$5:$W$9,MATCH(ROUNDUP((AE$1)/10,0)*10,[1]Hugst!$R$4:$W$4,0))))</f>
        <v>0</v>
      </c>
      <c r="AF288">
        <f>IF($C288-AF$1&lt;År1,0,AE287*(1-VLOOKUP($A288,[1]Hugst!$R$5:$W$9,MATCH(ROUNDUP((AF$1)/10,0)*10,[1]Hugst!$R$4:$W$4,0))))</f>
        <v>0</v>
      </c>
      <c r="AG288">
        <f>IF($C288-AG$1&lt;År1,0,AF287*(1-VLOOKUP($A288,[1]Hugst!$R$5:$W$9,MATCH(ROUNDUP((AG$1)/10,0)*10,[1]Hugst!$R$4:$W$4,0))))</f>
        <v>0</v>
      </c>
      <c r="AH288">
        <f>IF($C288-AH$1&lt;År1,0,AG287*(1-VLOOKUP($A288,[1]Hugst!$R$5:$W$9,MATCH(ROUNDUP((AH$1)/10,0)*10,[1]Hugst!$R$4:$W$4,0))))</f>
        <v>0</v>
      </c>
      <c r="AI288">
        <f>IF($C288-AI$1&lt;År1,0,AH287*(1-VLOOKUP($A288,[1]Hugst!$R$5:$W$9,MATCH(ROUNDUP((AI$1)/10,0)*10,[1]Hugst!$R$4:$W$4,0))))</f>
        <v>0</v>
      </c>
      <c r="AJ288">
        <f>IF($C288-AJ$1&lt;År1,0,AI287*(1-VLOOKUP($A288,[1]Hugst!$R$5:$W$9,MATCH(ROUNDUP((AJ$1)/10,0)*10,[1]Hugst!$R$4:$W$4,0))))</f>
        <v>0</v>
      </c>
    </row>
    <row r="289" spans="1:36" x14ac:dyDescent="0.25">
      <c r="A289" t="s">
        <v>180</v>
      </c>
      <c r="B289" t="s">
        <v>24</v>
      </c>
      <c r="C289">
        <v>2028</v>
      </c>
      <c r="D289" cm="1">
        <f t="array" ref="D289">(IF(B289="Vestdanmark",Skovbrug!$C$22-(Skovbrug!$C$22)*(1-Skovbrug!$C$9)^(C289-Skovbrug!$B$12),Skovbrug!$F$22-(Skovbrug!$F$22)*(1-Skovbrug!$C$9)^(C289-Skovbrug!$B$12)))*VLOOKUP(A289,Skovbrug!$A$13:$D$17,IF('Skovbrug-alder'!C289&lt;=År2,3,4),FALSE)
-IF(C289&gt;2020,SUM(INDEX($C$1:$D$311,MATCH(1,(2020=$C$1:$C$311)*(B289=$B$1:$B$311)*(A289=$A$1:$A$311),0),2):D288),0)</f>
        <v>0</v>
      </c>
      <c r="E289">
        <f t="shared" ca="1" si="7"/>
        <v>0</v>
      </c>
      <c r="F289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>
        <f ca="1">IF($C289-G$1&lt;År1,0,F288*(1-VLOOKUP($A289,[1]Hugst!$R$5:$W$9,MATCH(ROUNDUP((G$1)/10,0)*10,[1]Hugst!$R$4:$W$4,0))))</f>
        <v>0</v>
      </c>
      <c r="H289">
        <f ca="1">IF($C289-H$1&lt;År1,0,G288*(1-VLOOKUP($A289,[1]Hugst!$R$5:$W$9,MATCH(ROUNDUP((H$1)/10,0)*10,[1]Hugst!$R$4:$W$4,0))))</f>
        <v>0</v>
      </c>
      <c r="I289">
        <f ca="1">IF($C289-I$1&lt;År1,0,H288*(1-VLOOKUP($A289,[1]Hugst!$R$5:$W$9,MATCH(ROUNDUP((I$1)/10,0)*10,[1]Hugst!$R$4:$W$4,0))))</f>
        <v>0</v>
      </c>
      <c r="J289">
        <f ca="1">IF($C289-J$1&lt;År1,0,I288*(1-VLOOKUP($A289,[1]Hugst!$R$5:$W$9,MATCH(ROUNDUP((J$1)/10,0)*10,[1]Hugst!$R$4:$W$4,0))))</f>
        <v>0</v>
      </c>
      <c r="K289">
        <f ca="1">IF($C289-K$1&lt;År1,0,J288*(1-VLOOKUP($A289,[1]Hugst!$R$5:$W$9,MATCH(ROUNDUP((K$1)/10,0)*10,[1]Hugst!$R$4:$W$4,0))))</f>
        <v>0</v>
      </c>
      <c r="L289">
        <f ca="1">IF($C289-L$1&lt;År1,0,K288*(1-VLOOKUP($A289,[1]Hugst!$R$5:$W$9,MATCH(ROUNDUP((L$1)/10,0)*10,[1]Hugst!$R$4:$W$4,0))))</f>
        <v>0</v>
      </c>
      <c r="M289">
        <f ca="1">IF($C289-M$1&lt;År1,0,L288*(1-VLOOKUP($A289,[1]Hugst!$R$5:$W$9,MATCH(ROUNDUP((M$1)/10,0)*10,[1]Hugst!$R$4:$W$4,0))))</f>
        <v>0</v>
      </c>
      <c r="N289">
        <f ca="1">IF($C289-N$1&lt;År1,0,M288*(1-VLOOKUP($A289,[1]Hugst!$R$5:$W$9,MATCH(ROUNDUP((N$1)/10,0)*10,[1]Hugst!$R$4:$W$4,0))))</f>
        <v>0</v>
      </c>
      <c r="O289">
        <f>IF($C289-O$1&lt;År1,0,N288*(1-VLOOKUP($A289,[1]Hugst!$R$5:$W$9,MATCH(ROUNDUP((O$1)/10,0)*10,[1]Hugst!$R$4:$W$4,0))))</f>
        <v>0</v>
      </c>
      <c r="P289">
        <f>IF($C289-P$1&lt;År1,0,O288*(1-VLOOKUP($A289,[1]Hugst!$R$5:$W$9,MATCH(ROUNDUP((P$1)/10,0)*10,[1]Hugst!$R$4:$W$4,0))))</f>
        <v>0</v>
      </c>
      <c r="Q289">
        <f>IF($C289-Q$1&lt;År1,0,P288*(1-VLOOKUP($A289,[1]Hugst!$R$5:$W$9,MATCH(ROUNDUP((Q$1)/10,0)*10,[1]Hugst!$R$4:$W$4,0))))</f>
        <v>0</v>
      </c>
      <c r="R289">
        <f>IF($C289-R$1&lt;År1,0,Q288*(1-VLOOKUP($A289,[1]Hugst!$R$5:$W$9,MATCH(ROUNDUP((R$1)/10,0)*10,[1]Hugst!$R$4:$W$4,0))))</f>
        <v>0</v>
      </c>
      <c r="S289">
        <f>IF($C289-S$1&lt;År1,0,R288*(1-VLOOKUP($A289,[1]Hugst!$R$5:$W$9,MATCH(ROUNDUP((S$1)/10,0)*10,[1]Hugst!$R$4:$W$4,0))))</f>
        <v>0</v>
      </c>
      <c r="T289">
        <f>IF($C289-T$1&lt;År1,0,S288*(1-VLOOKUP($A289,[1]Hugst!$R$5:$W$9,MATCH(ROUNDUP((T$1)/10,0)*10,[1]Hugst!$R$4:$W$4,0))))</f>
        <v>0</v>
      </c>
      <c r="U289">
        <f>IF($C289-U$1&lt;År1,0,T288*(1-VLOOKUP($A289,[1]Hugst!$R$5:$W$9,MATCH(ROUNDUP((U$1)/10,0)*10,[1]Hugst!$R$4:$W$4,0))))</f>
        <v>0</v>
      </c>
      <c r="V289">
        <f>IF($C289-V$1&lt;År1,0,U288*(1-VLOOKUP($A289,[1]Hugst!$R$5:$W$9,MATCH(ROUNDUP((V$1)/10,0)*10,[1]Hugst!$R$4:$W$4,0))))</f>
        <v>0</v>
      </c>
      <c r="W289">
        <f>IF($C289-W$1&lt;År1,0,V288*(1-VLOOKUP($A289,[1]Hugst!$R$5:$W$9,MATCH(ROUNDUP((W$1)/10,0)*10,[1]Hugst!$R$4:$W$4,0))))</f>
        <v>0</v>
      </c>
      <c r="X289">
        <f>IF($C289-X$1&lt;År1,0,W288*(1-VLOOKUP($A289,[1]Hugst!$R$5:$W$9,MATCH(ROUNDUP((X$1)/10,0)*10,[1]Hugst!$R$4:$W$4,0))))</f>
        <v>0</v>
      </c>
      <c r="Y289">
        <f>IF($C289-Y$1&lt;År1,0,X288*(1-VLOOKUP($A289,[1]Hugst!$R$5:$W$9,MATCH(ROUNDUP((Y$1)/10,0)*10,[1]Hugst!$R$4:$W$4,0))))</f>
        <v>0</v>
      </c>
      <c r="Z289">
        <f>IF($C289-Z$1&lt;År1,0,Y288*(1-VLOOKUP($A289,[1]Hugst!$R$5:$W$9,MATCH(ROUNDUP((Z$1)/10,0)*10,[1]Hugst!$R$4:$W$4,0))))</f>
        <v>0</v>
      </c>
      <c r="AA289">
        <f>IF($C289-AA$1&lt;År1,0,Z288*(1-VLOOKUP($A289,[1]Hugst!$R$5:$W$9,MATCH(ROUNDUP((AA$1)/10,0)*10,[1]Hugst!$R$4:$W$4,0))))</f>
        <v>0</v>
      </c>
      <c r="AB289">
        <f>IF($C289-AB$1&lt;År1,0,AA288*(1-VLOOKUP($A289,[1]Hugst!$R$5:$W$9,MATCH(ROUNDUP((AB$1)/10,0)*10,[1]Hugst!$R$4:$W$4,0))))</f>
        <v>0</v>
      </c>
      <c r="AC289">
        <f>IF($C289-AC$1&lt;År1,0,AB288*(1-VLOOKUP($A289,[1]Hugst!$R$5:$W$9,MATCH(ROUNDUP((AC$1)/10,0)*10,[1]Hugst!$R$4:$W$4,0))))</f>
        <v>0</v>
      </c>
      <c r="AD289">
        <f>IF($C289-AD$1&lt;År1,0,AC288*(1-VLOOKUP($A289,[1]Hugst!$R$5:$W$9,MATCH(ROUNDUP((AD$1)/10,0)*10,[1]Hugst!$R$4:$W$4,0))))</f>
        <v>0</v>
      </c>
      <c r="AE289">
        <f>IF($C289-AE$1&lt;År1,0,AD288*(1-VLOOKUP($A289,[1]Hugst!$R$5:$W$9,MATCH(ROUNDUP((AE$1)/10,0)*10,[1]Hugst!$R$4:$W$4,0))))</f>
        <v>0</v>
      </c>
      <c r="AF289">
        <f>IF($C289-AF$1&lt;År1,0,AE288*(1-VLOOKUP($A289,[1]Hugst!$R$5:$W$9,MATCH(ROUNDUP((AF$1)/10,0)*10,[1]Hugst!$R$4:$W$4,0))))</f>
        <v>0</v>
      </c>
      <c r="AG289">
        <f>IF($C289-AG$1&lt;År1,0,AF288*(1-VLOOKUP($A289,[1]Hugst!$R$5:$W$9,MATCH(ROUNDUP((AG$1)/10,0)*10,[1]Hugst!$R$4:$W$4,0))))</f>
        <v>0</v>
      </c>
      <c r="AH289">
        <f>IF($C289-AH$1&lt;År1,0,AG288*(1-VLOOKUP($A289,[1]Hugst!$R$5:$W$9,MATCH(ROUNDUP((AH$1)/10,0)*10,[1]Hugst!$R$4:$W$4,0))))</f>
        <v>0</v>
      </c>
      <c r="AI289">
        <f>IF($C289-AI$1&lt;År1,0,AH288*(1-VLOOKUP($A289,[1]Hugst!$R$5:$W$9,MATCH(ROUNDUP((AI$1)/10,0)*10,[1]Hugst!$R$4:$W$4,0))))</f>
        <v>0</v>
      </c>
      <c r="AJ289">
        <f>IF($C289-AJ$1&lt;År1,0,AI288*(1-VLOOKUP($A289,[1]Hugst!$R$5:$W$9,MATCH(ROUNDUP((AJ$1)/10,0)*10,[1]Hugst!$R$4:$W$4,0))))</f>
        <v>0</v>
      </c>
    </row>
    <row r="290" spans="1:36" x14ac:dyDescent="0.25">
      <c r="A290" t="s">
        <v>180</v>
      </c>
      <c r="B290" t="s">
        <v>24</v>
      </c>
      <c r="C290">
        <v>2029</v>
      </c>
      <c r="D290" cm="1">
        <f t="array" ref="D290">(IF(B290="Vestdanmark",Skovbrug!$C$22-(Skovbrug!$C$22)*(1-Skovbrug!$C$9)^(C290-Skovbrug!$B$12),Skovbrug!$F$22-(Skovbrug!$F$22)*(1-Skovbrug!$C$9)^(C290-Skovbrug!$B$12)))*VLOOKUP(A290,Skovbrug!$A$13:$D$17,IF('Skovbrug-alder'!C290&lt;=År2,3,4),FALSE)
-IF(C290&gt;2020,SUM(INDEX($C$1:$D$311,MATCH(1,(2020=$C$1:$C$311)*(B290=$B$1:$B$311)*(A290=$A$1:$A$311),0),2):D289),0)</f>
        <v>0</v>
      </c>
      <c r="E290">
        <f t="shared" ca="1" si="7"/>
        <v>0</v>
      </c>
      <c r="F290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>
        <f ca="1">IF($C290-G$1&lt;År1,0,F289*(1-VLOOKUP($A290,[1]Hugst!$R$5:$W$9,MATCH(ROUNDUP((G$1)/10,0)*10,[1]Hugst!$R$4:$W$4,0))))</f>
        <v>0</v>
      </c>
      <c r="H290">
        <f ca="1">IF($C290-H$1&lt;År1,0,G289*(1-VLOOKUP($A290,[1]Hugst!$R$5:$W$9,MATCH(ROUNDUP((H$1)/10,0)*10,[1]Hugst!$R$4:$W$4,0))))</f>
        <v>0</v>
      </c>
      <c r="I290">
        <f ca="1">IF($C290-I$1&lt;År1,0,H289*(1-VLOOKUP($A290,[1]Hugst!$R$5:$W$9,MATCH(ROUNDUP((I$1)/10,0)*10,[1]Hugst!$R$4:$W$4,0))))</f>
        <v>0</v>
      </c>
      <c r="J290">
        <f ca="1">IF($C290-J$1&lt;År1,0,I289*(1-VLOOKUP($A290,[1]Hugst!$R$5:$W$9,MATCH(ROUNDUP((J$1)/10,0)*10,[1]Hugst!$R$4:$W$4,0))))</f>
        <v>0</v>
      </c>
      <c r="K290">
        <f ca="1">IF($C290-K$1&lt;År1,0,J289*(1-VLOOKUP($A290,[1]Hugst!$R$5:$W$9,MATCH(ROUNDUP((K$1)/10,0)*10,[1]Hugst!$R$4:$W$4,0))))</f>
        <v>0</v>
      </c>
      <c r="L290">
        <f ca="1">IF($C290-L$1&lt;År1,0,K289*(1-VLOOKUP($A290,[1]Hugst!$R$5:$W$9,MATCH(ROUNDUP((L$1)/10,0)*10,[1]Hugst!$R$4:$W$4,0))))</f>
        <v>0</v>
      </c>
      <c r="M290">
        <f ca="1">IF($C290-M$1&lt;År1,0,L289*(1-VLOOKUP($A290,[1]Hugst!$R$5:$W$9,MATCH(ROUNDUP((M$1)/10,0)*10,[1]Hugst!$R$4:$W$4,0))))</f>
        <v>0</v>
      </c>
      <c r="N290">
        <f ca="1">IF($C290-N$1&lt;År1,0,M289*(1-VLOOKUP($A290,[1]Hugst!$R$5:$W$9,MATCH(ROUNDUP((N$1)/10,0)*10,[1]Hugst!$R$4:$W$4,0))))</f>
        <v>0</v>
      </c>
      <c r="O290">
        <f ca="1">IF($C290-O$1&lt;År1,0,N289*(1-VLOOKUP($A290,[1]Hugst!$R$5:$W$9,MATCH(ROUNDUP((O$1)/10,0)*10,[1]Hugst!$R$4:$W$4,0))))</f>
        <v>0</v>
      </c>
      <c r="P290">
        <f>IF($C290-P$1&lt;År1,0,O289*(1-VLOOKUP($A290,[1]Hugst!$R$5:$W$9,MATCH(ROUNDUP((P$1)/10,0)*10,[1]Hugst!$R$4:$W$4,0))))</f>
        <v>0</v>
      </c>
      <c r="Q290">
        <f>IF($C290-Q$1&lt;År1,0,P289*(1-VLOOKUP($A290,[1]Hugst!$R$5:$W$9,MATCH(ROUNDUP((Q$1)/10,0)*10,[1]Hugst!$R$4:$W$4,0))))</f>
        <v>0</v>
      </c>
      <c r="R290">
        <f>IF($C290-R$1&lt;År1,0,Q289*(1-VLOOKUP($A290,[1]Hugst!$R$5:$W$9,MATCH(ROUNDUP((R$1)/10,0)*10,[1]Hugst!$R$4:$W$4,0))))</f>
        <v>0</v>
      </c>
      <c r="S290">
        <f>IF($C290-S$1&lt;År1,0,R289*(1-VLOOKUP($A290,[1]Hugst!$R$5:$W$9,MATCH(ROUNDUP((S$1)/10,0)*10,[1]Hugst!$R$4:$W$4,0))))</f>
        <v>0</v>
      </c>
      <c r="T290">
        <f>IF($C290-T$1&lt;År1,0,S289*(1-VLOOKUP($A290,[1]Hugst!$R$5:$W$9,MATCH(ROUNDUP((T$1)/10,0)*10,[1]Hugst!$R$4:$W$4,0))))</f>
        <v>0</v>
      </c>
      <c r="U290">
        <f>IF($C290-U$1&lt;År1,0,T289*(1-VLOOKUP($A290,[1]Hugst!$R$5:$W$9,MATCH(ROUNDUP((U$1)/10,0)*10,[1]Hugst!$R$4:$W$4,0))))</f>
        <v>0</v>
      </c>
      <c r="V290">
        <f>IF($C290-V$1&lt;År1,0,U289*(1-VLOOKUP($A290,[1]Hugst!$R$5:$W$9,MATCH(ROUNDUP((V$1)/10,0)*10,[1]Hugst!$R$4:$W$4,0))))</f>
        <v>0</v>
      </c>
      <c r="W290">
        <f>IF($C290-W$1&lt;År1,0,V289*(1-VLOOKUP($A290,[1]Hugst!$R$5:$W$9,MATCH(ROUNDUP((W$1)/10,0)*10,[1]Hugst!$R$4:$W$4,0))))</f>
        <v>0</v>
      </c>
      <c r="X290">
        <f>IF($C290-X$1&lt;År1,0,W289*(1-VLOOKUP($A290,[1]Hugst!$R$5:$W$9,MATCH(ROUNDUP((X$1)/10,0)*10,[1]Hugst!$R$4:$W$4,0))))</f>
        <v>0</v>
      </c>
      <c r="Y290">
        <f>IF($C290-Y$1&lt;År1,0,X289*(1-VLOOKUP($A290,[1]Hugst!$R$5:$W$9,MATCH(ROUNDUP((Y$1)/10,0)*10,[1]Hugst!$R$4:$W$4,0))))</f>
        <v>0</v>
      </c>
      <c r="Z290">
        <f>IF($C290-Z$1&lt;År1,0,Y289*(1-VLOOKUP($A290,[1]Hugst!$R$5:$W$9,MATCH(ROUNDUP((Z$1)/10,0)*10,[1]Hugst!$R$4:$W$4,0))))</f>
        <v>0</v>
      </c>
      <c r="AA290">
        <f>IF($C290-AA$1&lt;År1,0,Z289*(1-VLOOKUP($A290,[1]Hugst!$R$5:$W$9,MATCH(ROUNDUP((AA$1)/10,0)*10,[1]Hugst!$R$4:$W$4,0))))</f>
        <v>0</v>
      </c>
      <c r="AB290">
        <f>IF($C290-AB$1&lt;År1,0,AA289*(1-VLOOKUP($A290,[1]Hugst!$R$5:$W$9,MATCH(ROUNDUP((AB$1)/10,0)*10,[1]Hugst!$R$4:$W$4,0))))</f>
        <v>0</v>
      </c>
      <c r="AC290">
        <f>IF($C290-AC$1&lt;År1,0,AB289*(1-VLOOKUP($A290,[1]Hugst!$R$5:$W$9,MATCH(ROUNDUP((AC$1)/10,0)*10,[1]Hugst!$R$4:$W$4,0))))</f>
        <v>0</v>
      </c>
      <c r="AD290">
        <f>IF($C290-AD$1&lt;År1,0,AC289*(1-VLOOKUP($A290,[1]Hugst!$R$5:$W$9,MATCH(ROUNDUP((AD$1)/10,0)*10,[1]Hugst!$R$4:$W$4,0))))</f>
        <v>0</v>
      </c>
      <c r="AE290">
        <f>IF($C290-AE$1&lt;År1,0,AD289*(1-VLOOKUP($A290,[1]Hugst!$R$5:$W$9,MATCH(ROUNDUP((AE$1)/10,0)*10,[1]Hugst!$R$4:$W$4,0))))</f>
        <v>0</v>
      </c>
      <c r="AF290">
        <f>IF($C290-AF$1&lt;År1,0,AE289*(1-VLOOKUP($A290,[1]Hugst!$R$5:$W$9,MATCH(ROUNDUP((AF$1)/10,0)*10,[1]Hugst!$R$4:$W$4,0))))</f>
        <v>0</v>
      </c>
      <c r="AG290">
        <f>IF($C290-AG$1&lt;År1,0,AF289*(1-VLOOKUP($A290,[1]Hugst!$R$5:$W$9,MATCH(ROUNDUP((AG$1)/10,0)*10,[1]Hugst!$R$4:$W$4,0))))</f>
        <v>0</v>
      </c>
      <c r="AH290">
        <f>IF($C290-AH$1&lt;År1,0,AG289*(1-VLOOKUP($A290,[1]Hugst!$R$5:$W$9,MATCH(ROUNDUP((AH$1)/10,0)*10,[1]Hugst!$R$4:$W$4,0))))</f>
        <v>0</v>
      </c>
      <c r="AI290">
        <f>IF($C290-AI$1&lt;År1,0,AH289*(1-VLOOKUP($A290,[1]Hugst!$R$5:$W$9,MATCH(ROUNDUP((AI$1)/10,0)*10,[1]Hugst!$R$4:$W$4,0))))</f>
        <v>0</v>
      </c>
      <c r="AJ290">
        <f>IF($C290-AJ$1&lt;År1,0,AI289*(1-VLOOKUP($A290,[1]Hugst!$R$5:$W$9,MATCH(ROUNDUP((AJ$1)/10,0)*10,[1]Hugst!$R$4:$W$4,0))))</f>
        <v>0</v>
      </c>
    </row>
    <row r="291" spans="1:36" x14ac:dyDescent="0.25">
      <c r="A291" t="s">
        <v>180</v>
      </c>
      <c r="B291" t="s">
        <v>24</v>
      </c>
      <c r="C291">
        <v>2030</v>
      </c>
      <c r="D291" cm="1">
        <f t="array" ref="D291">(IF(B291="Vestdanmark",Skovbrug!$C$22-(Skovbrug!$C$22)*(1-Skovbrug!$C$9)^(C291-Skovbrug!$B$12),Skovbrug!$F$22-(Skovbrug!$F$22)*(1-Skovbrug!$C$9)^(C291-Skovbrug!$B$12)))*VLOOKUP(A291,Skovbrug!$A$13:$D$17,IF('Skovbrug-alder'!C291&lt;=År2,3,4),FALSE)
-IF(C291&gt;2020,SUM(INDEX($C$1:$D$311,MATCH(1,(2020=$C$1:$C$311)*(B291=$B$1:$B$311)*(A291=$A$1:$A$311),0),2):D290),0)</f>
        <v>0</v>
      </c>
      <c r="E291">
        <f t="shared" ca="1" si="7"/>
        <v>0</v>
      </c>
      <c r="F291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>
        <f ca="1">IF($C291-G$1&lt;År1,0,F290*(1-VLOOKUP($A291,[1]Hugst!$R$5:$W$9,MATCH(ROUNDUP((G$1)/10,0)*10,[1]Hugst!$R$4:$W$4,0))))</f>
        <v>0</v>
      </c>
      <c r="H291">
        <f ca="1">IF($C291-H$1&lt;År1,0,G290*(1-VLOOKUP($A291,[1]Hugst!$R$5:$W$9,MATCH(ROUNDUP((H$1)/10,0)*10,[1]Hugst!$R$4:$W$4,0))))</f>
        <v>0</v>
      </c>
      <c r="I291">
        <f ca="1">IF($C291-I$1&lt;År1,0,H290*(1-VLOOKUP($A291,[1]Hugst!$R$5:$W$9,MATCH(ROUNDUP((I$1)/10,0)*10,[1]Hugst!$R$4:$W$4,0))))</f>
        <v>0</v>
      </c>
      <c r="J291">
        <f ca="1">IF($C291-J$1&lt;År1,0,I290*(1-VLOOKUP($A291,[1]Hugst!$R$5:$W$9,MATCH(ROUNDUP((J$1)/10,0)*10,[1]Hugst!$R$4:$W$4,0))))</f>
        <v>0</v>
      </c>
      <c r="K291">
        <f ca="1">IF($C291-K$1&lt;År1,0,J290*(1-VLOOKUP($A291,[1]Hugst!$R$5:$W$9,MATCH(ROUNDUP((K$1)/10,0)*10,[1]Hugst!$R$4:$W$4,0))))</f>
        <v>0</v>
      </c>
      <c r="L291">
        <f ca="1">IF($C291-L$1&lt;År1,0,K290*(1-VLOOKUP($A291,[1]Hugst!$R$5:$W$9,MATCH(ROUNDUP((L$1)/10,0)*10,[1]Hugst!$R$4:$W$4,0))))</f>
        <v>0</v>
      </c>
      <c r="M291">
        <f ca="1">IF($C291-M$1&lt;År1,0,L290*(1-VLOOKUP($A291,[1]Hugst!$R$5:$W$9,MATCH(ROUNDUP((M$1)/10,0)*10,[1]Hugst!$R$4:$W$4,0))))</f>
        <v>0</v>
      </c>
      <c r="N291">
        <f ca="1">IF($C291-N$1&lt;År1,0,M290*(1-VLOOKUP($A291,[1]Hugst!$R$5:$W$9,MATCH(ROUNDUP((N$1)/10,0)*10,[1]Hugst!$R$4:$W$4,0))))</f>
        <v>0</v>
      </c>
      <c r="O291">
        <f ca="1">IF($C291-O$1&lt;År1,0,N290*(1-VLOOKUP($A291,[1]Hugst!$R$5:$W$9,MATCH(ROUNDUP((O$1)/10,0)*10,[1]Hugst!$R$4:$W$4,0))))</f>
        <v>0</v>
      </c>
      <c r="P291">
        <f ca="1">IF($C291-P$1&lt;År1,0,O290*(1-VLOOKUP($A291,[1]Hugst!$R$5:$W$9,MATCH(ROUNDUP((P$1)/10,0)*10,[1]Hugst!$R$4:$W$4,0))))</f>
        <v>0</v>
      </c>
      <c r="Q291">
        <f>IF($C291-Q$1&lt;År1,0,P290*(1-VLOOKUP($A291,[1]Hugst!$R$5:$W$9,MATCH(ROUNDUP((Q$1)/10,0)*10,[1]Hugst!$R$4:$W$4,0))))</f>
        <v>0</v>
      </c>
      <c r="R291">
        <f>IF($C291-R$1&lt;År1,0,Q290*(1-VLOOKUP($A291,[1]Hugst!$R$5:$W$9,MATCH(ROUNDUP((R$1)/10,0)*10,[1]Hugst!$R$4:$W$4,0))))</f>
        <v>0</v>
      </c>
      <c r="S291">
        <f>IF($C291-S$1&lt;År1,0,R290*(1-VLOOKUP($A291,[1]Hugst!$R$5:$W$9,MATCH(ROUNDUP((S$1)/10,0)*10,[1]Hugst!$R$4:$W$4,0))))</f>
        <v>0</v>
      </c>
      <c r="T291">
        <f>IF($C291-T$1&lt;År1,0,S290*(1-VLOOKUP($A291,[1]Hugst!$R$5:$W$9,MATCH(ROUNDUP((T$1)/10,0)*10,[1]Hugst!$R$4:$W$4,0))))</f>
        <v>0</v>
      </c>
      <c r="U291">
        <f>IF($C291-U$1&lt;År1,0,T290*(1-VLOOKUP($A291,[1]Hugst!$R$5:$W$9,MATCH(ROUNDUP((U$1)/10,0)*10,[1]Hugst!$R$4:$W$4,0))))</f>
        <v>0</v>
      </c>
      <c r="V291">
        <f>IF($C291-V$1&lt;År1,0,U290*(1-VLOOKUP($A291,[1]Hugst!$R$5:$W$9,MATCH(ROUNDUP((V$1)/10,0)*10,[1]Hugst!$R$4:$W$4,0))))</f>
        <v>0</v>
      </c>
      <c r="W291">
        <f>IF($C291-W$1&lt;År1,0,V290*(1-VLOOKUP($A291,[1]Hugst!$R$5:$W$9,MATCH(ROUNDUP((W$1)/10,0)*10,[1]Hugst!$R$4:$W$4,0))))</f>
        <v>0</v>
      </c>
      <c r="X291">
        <f>IF($C291-X$1&lt;År1,0,W290*(1-VLOOKUP($A291,[1]Hugst!$R$5:$W$9,MATCH(ROUNDUP((X$1)/10,0)*10,[1]Hugst!$R$4:$W$4,0))))</f>
        <v>0</v>
      </c>
      <c r="Y291">
        <f>IF($C291-Y$1&lt;År1,0,X290*(1-VLOOKUP($A291,[1]Hugst!$R$5:$W$9,MATCH(ROUNDUP((Y$1)/10,0)*10,[1]Hugst!$R$4:$W$4,0))))</f>
        <v>0</v>
      </c>
      <c r="Z291">
        <f>IF($C291-Z$1&lt;År1,0,Y290*(1-VLOOKUP($A291,[1]Hugst!$R$5:$W$9,MATCH(ROUNDUP((Z$1)/10,0)*10,[1]Hugst!$R$4:$W$4,0))))</f>
        <v>0</v>
      </c>
      <c r="AA291">
        <f>IF($C291-AA$1&lt;År1,0,Z290*(1-VLOOKUP($A291,[1]Hugst!$R$5:$W$9,MATCH(ROUNDUP((AA$1)/10,0)*10,[1]Hugst!$R$4:$W$4,0))))</f>
        <v>0</v>
      </c>
      <c r="AB291">
        <f>IF($C291-AB$1&lt;År1,0,AA290*(1-VLOOKUP($A291,[1]Hugst!$R$5:$W$9,MATCH(ROUNDUP((AB$1)/10,0)*10,[1]Hugst!$R$4:$W$4,0))))</f>
        <v>0</v>
      </c>
      <c r="AC291">
        <f>IF($C291-AC$1&lt;År1,0,AB290*(1-VLOOKUP($A291,[1]Hugst!$R$5:$W$9,MATCH(ROUNDUP((AC$1)/10,0)*10,[1]Hugst!$R$4:$W$4,0))))</f>
        <v>0</v>
      </c>
      <c r="AD291">
        <f>IF($C291-AD$1&lt;År1,0,AC290*(1-VLOOKUP($A291,[1]Hugst!$R$5:$W$9,MATCH(ROUNDUP((AD$1)/10,0)*10,[1]Hugst!$R$4:$W$4,0))))</f>
        <v>0</v>
      </c>
      <c r="AE291">
        <f>IF($C291-AE$1&lt;År1,0,AD290*(1-VLOOKUP($A291,[1]Hugst!$R$5:$W$9,MATCH(ROUNDUP((AE$1)/10,0)*10,[1]Hugst!$R$4:$W$4,0))))</f>
        <v>0</v>
      </c>
      <c r="AF291">
        <f>IF($C291-AF$1&lt;År1,0,AE290*(1-VLOOKUP($A291,[1]Hugst!$R$5:$W$9,MATCH(ROUNDUP((AF$1)/10,0)*10,[1]Hugst!$R$4:$W$4,0))))</f>
        <v>0</v>
      </c>
      <c r="AG291">
        <f>IF($C291-AG$1&lt;År1,0,AF290*(1-VLOOKUP($A291,[1]Hugst!$R$5:$W$9,MATCH(ROUNDUP((AG$1)/10,0)*10,[1]Hugst!$R$4:$W$4,0))))</f>
        <v>0</v>
      </c>
      <c r="AH291">
        <f>IF($C291-AH$1&lt;År1,0,AG290*(1-VLOOKUP($A291,[1]Hugst!$R$5:$W$9,MATCH(ROUNDUP((AH$1)/10,0)*10,[1]Hugst!$R$4:$W$4,0))))</f>
        <v>0</v>
      </c>
      <c r="AI291">
        <f>IF($C291-AI$1&lt;År1,0,AH290*(1-VLOOKUP($A291,[1]Hugst!$R$5:$W$9,MATCH(ROUNDUP((AI$1)/10,0)*10,[1]Hugst!$R$4:$W$4,0))))</f>
        <v>0</v>
      </c>
      <c r="AJ291">
        <f>IF($C291-AJ$1&lt;År1,0,AI290*(1-VLOOKUP($A291,[1]Hugst!$R$5:$W$9,MATCH(ROUNDUP((AJ$1)/10,0)*10,[1]Hugst!$R$4:$W$4,0))))</f>
        <v>0</v>
      </c>
    </row>
    <row r="292" spans="1:36" x14ac:dyDescent="0.25">
      <c r="A292" t="s">
        <v>180</v>
      </c>
      <c r="B292" t="s">
        <v>24</v>
      </c>
      <c r="C292">
        <v>2031</v>
      </c>
      <c r="D292" cm="1">
        <f t="array" ref="D292">(IF(B292="Vestdanmark",Skovbrug!$C$22-(Skovbrug!$C$22)*(1-Skovbrug!$C$9)^(C292-Skovbrug!$B$12),Skovbrug!$F$22-(Skovbrug!$F$22)*(1-Skovbrug!$C$9)^(C292-Skovbrug!$B$12)))*VLOOKUP(A292,Skovbrug!$A$13:$D$17,IF('Skovbrug-alder'!C292&lt;=År2,3,4),FALSE)
-IF(C292&gt;2020,SUM(INDEX($C$1:$D$311,MATCH(1,(2020=$C$1:$C$311)*(B292=$B$1:$B$311)*(A292=$A$1:$A$311),0),2):D291),0)</f>
        <v>0</v>
      </c>
      <c r="E292">
        <f t="shared" ca="1" si="7"/>
        <v>0</v>
      </c>
      <c r="F292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>
        <f ca="1">IF($C292-G$1&lt;År1,0,F291*(1-VLOOKUP($A292,[1]Hugst!$R$5:$W$9,MATCH(ROUNDUP((G$1)/10,0)*10,[1]Hugst!$R$4:$W$4,0))))</f>
        <v>0</v>
      </c>
      <c r="H292">
        <f ca="1">IF($C292-H$1&lt;År1,0,G291*(1-VLOOKUP($A292,[1]Hugst!$R$5:$W$9,MATCH(ROUNDUP((H$1)/10,0)*10,[1]Hugst!$R$4:$W$4,0))))</f>
        <v>0</v>
      </c>
      <c r="I292">
        <f ca="1">IF($C292-I$1&lt;År1,0,H291*(1-VLOOKUP($A292,[1]Hugst!$R$5:$W$9,MATCH(ROUNDUP((I$1)/10,0)*10,[1]Hugst!$R$4:$W$4,0))))</f>
        <v>0</v>
      </c>
      <c r="J292">
        <f ca="1">IF($C292-J$1&lt;År1,0,I291*(1-VLOOKUP($A292,[1]Hugst!$R$5:$W$9,MATCH(ROUNDUP((J$1)/10,0)*10,[1]Hugst!$R$4:$W$4,0))))</f>
        <v>0</v>
      </c>
      <c r="K292">
        <f ca="1">IF($C292-K$1&lt;År1,0,J291*(1-VLOOKUP($A292,[1]Hugst!$R$5:$W$9,MATCH(ROUNDUP((K$1)/10,0)*10,[1]Hugst!$R$4:$W$4,0))))</f>
        <v>0</v>
      </c>
      <c r="L292">
        <f ca="1">IF($C292-L$1&lt;År1,0,K291*(1-VLOOKUP($A292,[1]Hugst!$R$5:$W$9,MATCH(ROUNDUP((L$1)/10,0)*10,[1]Hugst!$R$4:$W$4,0))))</f>
        <v>0</v>
      </c>
      <c r="M292">
        <f ca="1">IF($C292-M$1&lt;År1,0,L291*(1-VLOOKUP($A292,[1]Hugst!$R$5:$W$9,MATCH(ROUNDUP((M$1)/10,0)*10,[1]Hugst!$R$4:$W$4,0))))</f>
        <v>0</v>
      </c>
      <c r="N292">
        <f ca="1">IF($C292-N$1&lt;År1,0,M291*(1-VLOOKUP($A292,[1]Hugst!$R$5:$W$9,MATCH(ROUNDUP((N$1)/10,0)*10,[1]Hugst!$R$4:$W$4,0))))</f>
        <v>0</v>
      </c>
      <c r="O292">
        <f ca="1">IF($C292-O$1&lt;År1,0,N291*(1-VLOOKUP($A292,[1]Hugst!$R$5:$W$9,MATCH(ROUNDUP((O$1)/10,0)*10,[1]Hugst!$R$4:$W$4,0))))</f>
        <v>0</v>
      </c>
      <c r="P292">
        <f ca="1">IF($C292-P$1&lt;År1,0,O291*(1-VLOOKUP($A292,[1]Hugst!$R$5:$W$9,MATCH(ROUNDUP((P$1)/10,0)*10,[1]Hugst!$R$4:$W$4,0))))</f>
        <v>0</v>
      </c>
      <c r="Q292">
        <f ca="1">IF($C292-Q$1&lt;År1,0,P291*(1-VLOOKUP($A292,[1]Hugst!$R$5:$W$9,MATCH(ROUNDUP((Q$1)/10,0)*10,[1]Hugst!$R$4:$W$4,0))))</f>
        <v>0</v>
      </c>
      <c r="R292">
        <f>IF($C292-R$1&lt;År1,0,Q291*(1-VLOOKUP($A292,[1]Hugst!$R$5:$W$9,MATCH(ROUNDUP((R$1)/10,0)*10,[1]Hugst!$R$4:$W$4,0))))</f>
        <v>0</v>
      </c>
      <c r="S292">
        <f>IF($C292-S$1&lt;År1,0,R291*(1-VLOOKUP($A292,[1]Hugst!$R$5:$W$9,MATCH(ROUNDUP((S$1)/10,0)*10,[1]Hugst!$R$4:$W$4,0))))</f>
        <v>0</v>
      </c>
      <c r="T292">
        <f>IF($C292-T$1&lt;År1,0,S291*(1-VLOOKUP($A292,[1]Hugst!$R$5:$W$9,MATCH(ROUNDUP((T$1)/10,0)*10,[1]Hugst!$R$4:$W$4,0))))</f>
        <v>0</v>
      </c>
      <c r="U292">
        <f>IF($C292-U$1&lt;År1,0,T291*(1-VLOOKUP($A292,[1]Hugst!$R$5:$W$9,MATCH(ROUNDUP((U$1)/10,0)*10,[1]Hugst!$R$4:$W$4,0))))</f>
        <v>0</v>
      </c>
      <c r="V292">
        <f>IF($C292-V$1&lt;År1,0,U291*(1-VLOOKUP($A292,[1]Hugst!$R$5:$W$9,MATCH(ROUNDUP((V$1)/10,0)*10,[1]Hugst!$R$4:$W$4,0))))</f>
        <v>0</v>
      </c>
      <c r="W292">
        <f>IF($C292-W$1&lt;År1,0,V291*(1-VLOOKUP($A292,[1]Hugst!$R$5:$W$9,MATCH(ROUNDUP((W$1)/10,0)*10,[1]Hugst!$R$4:$W$4,0))))</f>
        <v>0</v>
      </c>
      <c r="X292">
        <f>IF($C292-X$1&lt;År1,0,W291*(1-VLOOKUP($A292,[1]Hugst!$R$5:$W$9,MATCH(ROUNDUP((X$1)/10,0)*10,[1]Hugst!$R$4:$W$4,0))))</f>
        <v>0</v>
      </c>
      <c r="Y292">
        <f>IF($C292-Y$1&lt;År1,0,X291*(1-VLOOKUP($A292,[1]Hugst!$R$5:$W$9,MATCH(ROUNDUP((Y$1)/10,0)*10,[1]Hugst!$R$4:$W$4,0))))</f>
        <v>0</v>
      </c>
      <c r="Z292">
        <f>IF($C292-Z$1&lt;År1,0,Y291*(1-VLOOKUP($A292,[1]Hugst!$R$5:$W$9,MATCH(ROUNDUP((Z$1)/10,0)*10,[1]Hugst!$R$4:$W$4,0))))</f>
        <v>0</v>
      </c>
      <c r="AA292">
        <f>IF($C292-AA$1&lt;År1,0,Z291*(1-VLOOKUP($A292,[1]Hugst!$R$5:$W$9,MATCH(ROUNDUP((AA$1)/10,0)*10,[1]Hugst!$R$4:$W$4,0))))</f>
        <v>0</v>
      </c>
      <c r="AB292">
        <f>IF($C292-AB$1&lt;År1,0,AA291*(1-VLOOKUP($A292,[1]Hugst!$R$5:$W$9,MATCH(ROUNDUP((AB$1)/10,0)*10,[1]Hugst!$R$4:$W$4,0))))</f>
        <v>0</v>
      </c>
      <c r="AC292">
        <f>IF($C292-AC$1&lt;År1,0,AB291*(1-VLOOKUP($A292,[1]Hugst!$R$5:$W$9,MATCH(ROUNDUP((AC$1)/10,0)*10,[1]Hugst!$R$4:$W$4,0))))</f>
        <v>0</v>
      </c>
      <c r="AD292">
        <f>IF($C292-AD$1&lt;År1,0,AC291*(1-VLOOKUP($A292,[1]Hugst!$R$5:$W$9,MATCH(ROUNDUP((AD$1)/10,0)*10,[1]Hugst!$R$4:$W$4,0))))</f>
        <v>0</v>
      </c>
      <c r="AE292">
        <f>IF($C292-AE$1&lt;År1,0,AD291*(1-VLOOKUP($A292,[1]Hugst!$R$5:$W$9,MATCH(ROUNDUP((AE$1)/10,0)*10,[1]Hugst!$R$4:$W$4,0))))</f>
        <v>0</v>
      </c>
      <c r="AF292">
        <f>IF($C292-AF$1&lt;År1,0,AE291*(1-VLOOKUP($A292,[1]Hugst!$R$5:$W$9,MATCH(ROUNDUP((AF$1)/10,0)*10,[1]Hugst!$R$4:$W$4,0))))</f>
        <v>0</v>
      </c>
      <c r="AG292">
        <f>IF($C292-AG$1&lt;År1,0,AF291*(1-VLOOKUP($A292,[1]Hugst!$R$5:$W$9,MATCH(ROUNDUP((AG$1)/10,0)*10,[1]Hugst!$R$4:$W$4,0))))</f>
        <v>0</v>
      </c>
      <c r="AH292">
        <f>IF($C292-AH$1&lt;År1,0,AG291*(1-VLOOKUP($A292,[1]Hugst!$R$5:$W$9,MATCH(ROUNDUP((AH$1)/10,0)*10,[1]Hugst!$R$4:$W$4,0))))</f>
        <v>0</v>
      </c>
      <c r="AI292">
        <f>IF($C292-AI$1&lt;År1,0,AH291*(1-VLOOKUP($A292,[1]Hugst!$R$5:$W$9,MATCH(ROUNDUP((AI$1)/10,0)*10,[1]Hugst!$R$4:$W$4,0))))</f>
        <v>0</v>
      </c>
      <c r="AJ292">
        <f>IF($C292-AJ$1&lt;År1,0,AI291*(1-VLOOKUP($A292,[1]Hugst!$R$5:$W$9,MATCH(ROUNDUP((AJ$1)/10,0)*10,[1]Hugst!$R$4:$W$4,0))))</f>
        <v>0</v>
      </c>
    </row>
    <row r="293" spans="1:36" x14ac:dyDescent="0.25">
      <c r="A293" t="s">
        <v>180</v>
      </c>
      <c r="B293" t="s">
        <v>24</v>
      </c>
      <c r="C293">
        <v>2032</v>
      </c>
      <c r="D293" cm="1">
        <f t="array" ref="D293">(IF(B293="Vestdanmark",Skovbrug!$C$22-(Skovbrug!$C$22)*(1-Skovbrug!$C$9)^(C293-Skovbrug!$B$12),Skovbrug!$F$22-(Skovbrug!$F$22)*(1-Skovbrug!$C$9)^(C293-Skovbrug!$B$12)))*VLOOKUP(A293,Skovbrug!$A$13:$D$17,IF('Skovbrug-alder'!C293&lt;=År2,3,4),FALSE)
-IF(C293&gt;2020,SUM(INDEX($C$1:$D$311,MATCH(1,(2020=$C$1:$C$311)*(B293=$B$1:$B$311)*(A293=$A$1:$A$311),0),2):D292),0)</f>
        <v>0</v>
      </c>
      <c r="E293">
        <f t="shared" ca="1" si="7"/>
        <v>0</v>
      </c>
      <c r="F293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>
        <f ca="1">IF($C293-G$1&lt;År1,0,F292*(1-VLOOKUP($A293,[1]Hugst!$R$5:$W$9,MATCH(ROUNDUP((G$1)/10,0)*10,[1]Hugst!$R$4:$W$4,0))))</f>
        <v>0</v>
      </c>
      <c r="H293">
        <f ca="1">IF($C293-H$1&lt;År1,0,G292*(1-VLOOKUP($A293,[1]Hugst!$R$5:$W$9,MATCH(ROUNDUP((H$1)/10,0)*10,[1]Hugst!$R$4:$W$4,0))))</f>
        <v>0</v>
      </c>
      <c r="I293">
        <f ca="1">IF($C293-I$1&lt;År1,0,H292*(1-VLOOKUP($A293,[1]Hugst!$R$5:$W$9,MATCH(ROUNDUP((I$1)/10,0)*10,[1]Hugst!$R$4:$W$4,0))))</f>
        <v>0</v>
      </c>
      <c r="J293">
        <f ca="1">IF($C293-J$1&lt;År1,0,I292*(1-VLOOKUP($A293,[1]Hugst!$R$5:$W$9,MATCH(ROUNDUP((J$1)/10,0)*10,[1]Hugst!$R$4:$W$4,0))))</f>
        <v>0</v>
      </c>
      <c r="K293">
        <f ca="1">IF($C293-K$1&lt;År1,0,J292*(1-VLOOKUP($A293,[1]Hugst!$R$5:$W$9,MATCH(ROUNDUP((K$1)/10,0)*10,[1]Hugst!$R$4:$W$4,0))))</f>
        <v>0</v>
      </c>
      <c r="L293">
        <f ca="1">IF($C293-L$1&lt;År1,0,K292*(1-VLOOKUP($A293,[1]Hugst!$R$5:$W$9,MATCH(ROUNDUP((L$1)/10,0)*10,[1]Hugst!$R$4:$W$4,0))))</f>
        <v>0</v>
      </c>
      <c r="M293">
        <f ca="1">IF($C293-M$1&lt;År1,0,L292*(1-VLOOKUP($A293,[1]Hugst!$R$5:$W$9,MATCH(ROUNDUP((M$1)/10,0)*10,[1]Hugst!$R$4:$W$4,0))))</f>
        <v>0</v>
      </c>
      <c r="N293">
        <f ca="1">IF($C293-N$1&lt;År1,0,M292*(1-VLOOKUP($A293,[1]Hugst!$R$5:$W$9,MATCH(ROUNDUP((N$1)/10,0)*10,[1]Hugst!$R$4:$W$4,0))))</f>
        <v>0</v>
      </c>
      <c r="O293">
        <f ca="1">IF($C293-O$1&lt;År1,0,N292*(1-VLOOKUP($A293,[1]Hugst!$R$5:$W$9,MATCH(ROUNDUP((O$1)/10,0)*10,[1]Hugst!$R$4:$W$4,0))))</f>
        <v>0</v>
      </c>
      <c r="P293">
        <f ca="1">IF($C293-P$1&lt;År1,0,O292*(1-VLOOKUP($A293,[1]Hugst!$R$5:$W$9,MATCH(ROUNDUP((P$1)/10,0)*10,[1]Hugst!$R$4:$W$4,0))))</f>
        <v>0</v>
      </c>
      <c r="Q293">
        <f ca="1">IF($C293-Q$1&lt;År1,0,P292*(1-VLOOKUP($A293,[1]Hugst!$R$5:$W$9,MATCH(ROUNDUP((Q$1)/10,0)*10,[1]Hugst!$R$4:$W$4,0))))</f>
        <v>0</v>
      </c>
      <c r="R293">
        <f ca="1">IF($C293-R$1&lt;År1,0,Q292*(1-VLOOKUP($A293,[1]Hugst!$R$5:$W$9,MATCH(ROUNDUP((R$1)/10,0)*10,[1]Hugst!$R$4:$W$4,0))))</f>
        <v>0</v>
      </c>
      <c r="S293">
        <f>IF($C293-S$1&lt;År1,0,R292*(1-VLOOKUP($A293,[1]Hugst!$R$5:$W$9,MATCH(ROUNDUP((S$1)/10,0)*10,[1]Hugst!$R$4:$W$4,0))))</f>
        <v>0</v>
      </c>
      <c r="T293">
        <f>IF($C293-T$1&lt;År1,0,S292*(1-VLOOKUP($A293,[1]Hugst!$R$5:$W$9,MATCH(ROUNDUP((T$1)/10,0)*10,[1]Hugst!$R$4:$W$4,0))))</f>
        <v>0</v>
      </c>
      <c r="U293">
        <f>IF($C293-U$1&lt;År1,0,T292*(1-VLOOKUP($A293,[1]Hugst!$R$5:$W$9,MATCH(ROUNDUP((U$1)/10,0)*10,[1]Hugst!$R$4:$W$4,0))))</f>
        <v>0</v>
      </c>
      <c r="V293">
        <f>IF($C293-V$1&lt;År1,0,U292*(1-VLOOKUP($A293,[1]Hugst!$R$5:$W$9,MATCH(ROUNDUP((V$1)/10,0)*10,[1]Hugst!$R$4:$W$4,0))))</f>
        <v>0</v>
      </c>
      <c r="W293">
        <f>IF($C293-W$1&lt;År1,0,V292*(1-VLOOKUP($A293,[1]Hugst!$R$5:$W$9,MATCH(ROUNDUP((W$1)/10,0)*10,[1]Hugst!$R$4:$W$4,0))))</f>
        <v>0</v>
      </c>
      <c r="X293">
        <f>IF($C293-X$1&lt;År1,0,W292*(1-VLOOKUP($A293,[1]Hugst!$R$5:$W$9,MATCH(ROUNDUP((X$1)/10,0)*10,[1]Hugst!$R$4:$W$4,0))))</f>
        <v>0</v>
      </c>
      <c r="Y293">
        <f>IF($C293-Y$1&lt;År1,0,X292*(1-VLOOKUP($A293,[1]Hugst!$R$5:$W$9,MATCH(ROUNDUP((Y$1)/10,0)*10,[1]Hugst!$R$4:$W$4,0))))</f>
        <v>0</v>
      </c>
      <c r="Z293">
        <f>IF($C293-Z$1&lt;År1,0,Y292*(1-VLOOKUP($A293,[1]Hugst!$R$5:$W$9,MATCH(ROUNDUP((Z$1)/10,0)*10,[1]Hugst!$R$4:$W$4,0))))</f>
        <v>0</v>
      </c>
      <c r="AA293">
        <f>IF($C293-AA$1&lt;År1,0,Z292*(1-VLOOKUP($A293,[1]Hugst!$R$5:$W$9,MATCH(ROUNDUP((AA$1)/10,0)*10,[1]Hugst!$R$4:$W$4,0))))</f>
        <v>0</v>
      </c>
      <c r="AB293">
        <f>IF($C293-AB$1&lt;År1,0,AA292*(1-VLOOKUP($A293,[1]Hugst!$R$5:$W$9,MATCH(ROUNDUP((AB$1)/10,0)*10,[1]Hugst!$R$4:$W$4,0))))</f>
        <v>0</v>
      </c>
      <c r="AC293">
        <f>IF($C293-AC$1&lt;År1,0,AB292*(1-VLOOKUP($A293,[1]Hugst!$R$5:$W$9,MATCH(ROUNDUP((AC$1)/10,0)*10,[1]Hugst!$R$4:$W$4,0))))</f>
        <v>0</v>
      </c>
      <c r="AD293">
        <f>IF($C293-AD$1&lt;År1,0,AC292*(1-VLOOKUP($A293,[1]Hugst!$R$5:$W$9,MATCH(ROUNDUP((AD$1)/10,0)*10,[1]Hugst!$R$4:$W$4,0))))</f>
        <v>0</v>
      </c>
      <c r="AE293">
        <f>IF($C293-AE$1&lt;År1,0,AD292*(1-VLOOKUP($A293,[1]Hugst!$R$5:$W$9,MATCH(ROUNDUP((AE$1)/10,0)*10,[1]Hugst!$R$4:$W$4,0))))</f>
        <v>0</v>
      </c>
      <c r="AF293">
        <f>IF($C293-AF$1&lt;År1,0,AE292*(1-VLOOKUP($A293,[1]Hugst!$R$5:$W$9,MATCH(ROUNDUP((AF$1)/10,0)*10,[1]Hugst!$R$4:$W$4,0))))</f>
        <v>0</v>
      </c>
      <c r="AG293">
        <f>IF($C293-AG$1&lt;År1,0,AF292*(1-VLOOKUP($A293,[1]Hugst!$R$5:$W$9,MATCH(ROUNDUP((AG$1)/10,0)*10,[1]Hugst!$R$4:$W$4,0))))</f>
        <v>0</v>
      </c>
      <c r="AH293">
        <f>IF($C293-AH$1&lt;År1,0,AG292*(1-VLOOKUP($A293,[1]Hugst!$R$5:$W$9,MATCH(ROUNDUP((AH$1)/10,0)*10,[1]Hugst!$R$4:$W$4,0))))</f>
        <v>0</v>
      </c>
      <c r="AI293">
        <f>IF($C293-AI$1&lt;År1,0,AH292*(1-VLOOKUP($A293,[1]Hugst!$R$5:$W$9,MATCH(ROUNDUP((AI$1)/10,0)*10,[1]Hugst!$R$4:$W$4,0))))</f>
        <v>0</v>
      </c>
      <c r="AJ293">
        <f>IF($C293-AJ$1&lt;År1,0,AI292*(1-VLOOKUP($A293,[1]Hugst!$R$5:$W$9,MATCH(ROUNDUP((AJ$1)/10,0)*10,[1]Hugst!$R$4:$W$4,0))))</f>
        <v>0</v>
      </c>
    </row>
    <row r="294" spans="1:36" x14ac:dyDescent="0.25">
      <c r="A294" t="s">
        <v>180</v>
      </c>
      <c r="B294" t="s">
        <v>24</v>
      </c>
      <c r="C294">
        <v>2033</v>
      </c>
      <c r="D294" cm="1">
        <f t="array" ref="D294">(IF(B294="Vestdanmark",Skovbrug!$C$22-(Skovbrug!$C$22)*(1-Skovbrug!$C$9)^(C294-Skovbrug!$B$12),Skovbrug!$F$22-(Skovbrug!$F$22)*(1-Skovbrug!$C$9)^(C294-Skovbrug!$B$12)))*VLOOKUP(A294,Skovbrug!$A$13:$D$17,IF('Skovbrug-alder'!C294&lt;=År2,3,4),FALSE)
-IF(C294&gt;2020,SUM(INDEX($C$1:$D$311,MATCH(1,(2020=$C$1:$C$311)*(B294=$B$1:$B$311)*(A294=$A$1:$A$311),0),2):D293),0)</f>
        <v>0</v>
      </c>
      <c r="E294">
        <f t="shared" ca="1" si="7"/>
        <v>0</v>
      </c>
      <c r="F294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>
        <f ca="1">IF($C294-G$1&lt;År1,0,F293*(1-VLOOKUP($A294,[1]Hugst!$R$5:$W$9,MATCH(ROUNDUP((G$1)/10,0)*10,[1]Hugst!$R$4:$W$4,0))))</f>
        <v>0</v>
      </c>
      <c r="H294">
        <f ca="1">IF($C294-H$1&lt;År1,0,G293*(1-VLOOKUP($A294,[1]Hugst!$R$5:$W$9,MATCH(ROUNDUP((H$1)/10,0)*10,[1]Hugst!$R$4:$W$4,0))))</f>
        <v>0</v>
      </c>
      <c r="I294">
        <f ca="1">IF($C294-I$1&lt;År1,0,H293*(1-VLOOKUP($A294,[1]Hugst!$R$5:$W$9,MATCH(ROUNDUP((I$1)/10,0)*10,[1]Hugst!$R$4:$W$4,0))))</f>
        <v>0</v>
      </c>
      <c r="J294">
        <f ca="1">IF($C294-J$1&lt;År1,0,I293*(1-VLOOKUP($A294,[1]Hugst!$R$5:$W$9,MATCH(ROUNDUP((J$1)/10,0)*10,[1]Hugst!$R$4:$W$4,0))))</f>
        <v>0</v>
      </c>
      <c r="K294">
        <f ca="1">IF($C294-K$1&lt;År1,0,J293*(1-VLOOKUP($A294,[1]Hugst!$R$5:$W$9,MATCH(ROUNDUP((K$1)/10,0)*10,[1]Hugst!$R$4:$W$4,0))))</f>
        <v>0</v>
      </c>
      <c r="L294">
        <f ca="1">IF($C294-L$1&lt;År1,0,K293*(1-VLOOKUP($A294,[1]Hugst!$R$5:$W$9,MATCH(ROUNDUP((L$1)/10,0)*10,[1]Hugst!$R$4:$W$4,0))))</f>
        <v>0</v>
      </c>
      <c r="M294">
        <f ca="1">IF($C294-M$1&lt;År1,0,L293*(1-VLOOKUP($A294,[1]Hugst!$R$5:$W$9,MATCH(ROUNDUP((M$1)/10,0)*10,[1]Hugst!$R$4:$W$4,0))))</f>
        <v>0</v>
      </c>
      <c r="N294">
        <f ca="1">IF($C294-N$1&lt;År1,0,M293*(1-VLOOKUP($A294,[1]Hugst!$R$5:$W$9,MATCH(ROUNDUP((N$1)/10,0)*10,[1]Hugst!$R$4:$W$4,0))))</f>
        <v>0</v>
      </c>
      <c r="O294">
        <f ca="1">IF($C294-O$1&lt;År1,0,N293*(1-VLOOKUP($A294,[1]Hugst!$R$5:$W$9,MATCH(ROUNDUP((O$1)/10,0)*10,[1]Hugst!$R$4:$W$4,0))))</f>
        <v>0</v>
      </c>
      <c r="P294">
        <f ca="1">IF($C294-P$1&lt;År1,0,O293*(1-VLOOKUP($A294,[1]Hugst!$R$5:$W$9,MATCH(ROUNDUP((P$1)/10,0)*10,[1]Hugst!$R$4:$W$4,0))))</f>
        <v>0</v>
      </c>
      <c r="Q294">
        <f ca="1">IF($C294-Q$1&lt;År1,0,P293*(1-VLOOKUP($A294,[1]Hugst!$R$5:$W$9,MATCH(ROUNDUP((Q$1)/10,0)*10,[1]Hugst!$R$4:$W$4,0))))</f>
        <v>0</v>
      </c>
      <c r="R294">
        <f ca="1">IF($C294-R$1&lt;År1,0,Q293*(1-VLOOKUP($A294,[1]Hugst!$R$5:$W$9,MATCH(ROUNDUP((R$1)/10,0)*10,[1]Hugst!$R$4:$W$4,0))))</f>
        <v>0</v>
      </c>
      <c r="S294">
        <f ca="1">IF($C294-S$1&lt;År1,0,R293*(1-VLOOKUP($A294,[1]Hugst!$R$5:$W$9,MATCH(ROUNDUP((S$1)/10,0)*10,[1]Hugst!$R$4:$W$4,0))))</f>
        <v>0</v>
      </c>
      <c r="T294">
        <f>IF($C294-T$1&lt;År1,0,S293*(1-VLOOKUP($A294,[1]Hugst!$R$5:$W$9,MATCH(ROUNDUP((T$1)/10,0)*10,[1]Hugst!$R$4:$W$4,0))))</f>
        <v>0</v>
      </c>
      <c r="U294">
        <f>IF($C294-U$1&lt;År1,0,T293*(1-VLOOKUP($A294,[1]Hugst!$R$5:$W$9,MATCH(ROUNDUP((U$1)/10,0)*10,[1]Hugst!$R$4:$W$4,0))))</f>
        <v>0</v>
      </c>
      <c r="V294">
        <f>IF($C294-V$1&lt;År1,0,U293*(1-VLOOKUP($A294,[1]Hugst!$R$5:$W$9,MATCH(ROUNDUP((V$1)/10,0)*10,[1]Hugst!$R$4:$W$4,0))))</f>
        <v>0</v>
      </c>
      <c r="W294">
        <f>IF($C294-W$1&lt;År1,0,V293*(1-VLOOKUP($A294,[1]Hugst!$R$5:$W$9,MATCH(ROUNDUP((W$1)/10,0)*10,[1]Hugst!$R$4:$W$4,0))))</f>
        <v>0</v>
      </c>
      <c r="X294">
        <f>IF($C294-X$1&lt;År1,0,W293*(1-VLOOKUP($A294,[1]Hugst!$R$5:$W$9,MATCH(ROUNDUP((X$1)/10,0)*10,[1]Hugst!$R$4:$W$4,0))))</f>
        <v>0</v>
      </c>
      <c r="Y294">
        <f>IF($C294-Y$1&lt;År1,0,X293*(1-VLOOKUP($A294,[1]Hugst!$R$5:$W$9,MATCH(ROUNDUP((Y$1)/10,0)*10,[1]Hugst!$R$4:$W$4,0))))</f>
        <v>0</v>
      </c>
      <c r="Z294">
        <f>IF($C294-Z$1&lt;År1,0,Y293*(1-VLOOKUP($A294,[1]Hugst!$R$5:$W$9,MATCH(ROUNDUP((Z$1)/10,0)*10,[1]Hugst!$R$4:$W$4,0))))</f>
        <v>0</v>
      </c>
      <c r="AA294">
        <f>IF($C294-AA$1&lt;År1,0,Z293*(1-VLOOKUP($A294,[1]Hugst!$R$5:$W$9,MATCH(ROUNDUP((AA$1)/10,0)*10,[1]Hugst!$R$4:$W$4,0))))</f>
        <v>0</v>
      </c>
      <c r="AB294">
        <f>IF($C294-AB$1&lt;År1,0,AA293*(1-VLOOKUP($A294,[1]Hugst!$R$5:$W$9,MATCH(ROUNDUP((AB$1)/10,0)*10,[1]Hugst!$R$4:$W$4,0))))</f>
        <v>0</v>
      </c>
      <c r="AC294">
        <f>IF($C294-AC$1&lt;År1,0,AB293*(1-VLOOKUP($A294,[1]Hugst!$R$5:$W$9,MATCH(ROUNDUP((AC$1)/10,0)*10,[1]Hugst!$R$4:$W$4,0))))</f>
        <v>0</v>
      </c>
      <c r="AD294">
        <f>IF($C294-AD$1&lt;År1,0,AC293*(1-VLOOKUP($A294,[1]Hugst!$R$5:$W$9,MATCH(ROUNDUP((AD$1)/10,0)*10,[1]Hugst!$R$4:$W$4,0))))</f>
        <v>0</v>
      </c>
      <c r="AE294">
        <f>IF($C294-AE$1&lt;År1,0,AD293*(1-VLOOKUP($A294,[1]Hugst!$R$5:$W$9,MATCH(ROUNDUP((AE$1)/10,0)*10,[1]Hugst!$R$4:$W$4,0))))</f>
        <v>0</v>
      </c>
      <c r="AF294">
        <f>IF($C294-AF$1&lt;År1,0,AE293*(1-VLOOKUP($A294,[1]Hugst!$R$5:$W$9,MATCH(ROUNDUP((AF$1)/10,0)*10,[1]Hugst!$R$4:$W$4,0))))</f>
        <v>0</v>
      </c>
      <c r="AG294">
        <f>IF($C294-AG$1&lt;År1,0,AF293*(1-VLOOKUP($A294,[1]Hugst!$R$5:$W$9,MATCH(ROUNDUP((AG$1)/10,0)*10,[1]Hugst!$R$4:$W$4,0))))</f>
        <v>0</v>
      </c>
      <c r="AH294">
        <f>IF($C294-AH$1&lt;År1,0,AG293*(1-VLOOKUP($A294,[1]Hugst!$R$5:$W$9,MATCH(ROUNDUP((AH$1)/10,0)*10,[1]Hugst!$R$4:$W$4,0))))</f>
        <v>0</v>
      </c>
      <c r="AI294">
        <f>IF($C294-AI$1&lt;År1,0,AH293*(1-VLOOKUP($A294,[1]Hugst!$R$5:$W$9,MATCH(ROUNDUP((AI$1)/10,0)*10,[1]Hugst!$R$4:$W$4,0))))</f>
        <v>0</v>
      </c>
      <c r="AJ294">
        <f>IF($C294-AJ$1&lt;År1,0,AI293*(1-VLOOKUP($A294,[1]Hugst!$R$5:$W$9,MATCH(ROUNDUP((AJ$1)/10,0)*10,[1]Hugst!$R$4:$W$4,0))))</f>
        <v>0</v>
      </c>
    </row>
    <row r="295" spans="1:36" x14ac:dyDescent="0.25">
      <c r="A295" t="s">
        <v>180</v>
      </c>
      <c r="B295" t="s">
        <v>24</v>
      </c>
      <c r="C295">
        <v>2034</v>
      </c>
      <c r="D295" cm="1">
        <f t="array" ref="D295">(IF(B295="Vestdanmark",Skovbrug!$C$22-(Skovbrug!$C$22)*(1-Skovbrug!$C$9)^(C295-Skovbrug!$B$12),Skovbrug!$F$22-(Skovbrug!$F$22)*(1-Skovbrug!$C$9)^(C295-Skovbrug!$B$12)))*VLOOKUP(A295,Skovbrug!$A$13:$D$17,IF('Skovbrug-alder'!C295&lt;=År2,3,4),FALSE)
-IF(C295&gt;2020,SUM(INDEX($C$1:$D$311,MATCH(1,(2020=$C$1:$C$311)*(B295=$B$1:$B$311)*(A295=$A$1:$A$311),0),2):D294),0)</f>
        <v>0</v>
      </c>
      <c r="E295">
        <f t="shared" ca="1" si="7"/>
        <v>0</v>
      </c>
      <c r="F295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>
        <f ca="1">IF($C295-G$1&lt;År1,0,F294*(1-VLOOKUP($A295,[1]Hugst!$R$5:$W$9,MATCH(ROUNDUP((G$1)/10,0)*10,[1]Hugst!$R$4:$W$4,0))))</f>
        <v>0</v>
      </c>
      <c r="H295">
        <f ca="1">IF($C295-H$1&lt;År1,0,G294*(1-VLOOKUP($A295,[1]Hugst!$R$5:$W$9,MATCH(ROUNDUP((H$1)/10,0)*10,[1]Hugst!$R$4:$W$4,0))))</f>
        <v>0</v>
      </c>
      <c r="I295">
        <f ca="1">IF($C295-I$1&lt;År1,0,H294*(1-VLOOKUP($A295,[1]Hugst!$R$5:$W$9,MATCH(ROUNDUP((I$1)/10,0)*10,[1]Hugst!$R$4:$W$4,0))))</f>
        <v>0</v>
      </c>
      <c r="J295">
        <f ca="1">IF($C295-J$1&lt;År1,0,I294*(1-VLOOKUP($A295,[1]Hugst!$R$5:$W$9,MATCH(ROUNDUP((J$1)/10,0)*10,[1]Hugst!$R$4:$W$4,0))))</f>
        <v>0</v>
      </c>
      <c r="K295">
        <f ca="1">IF($C295-K$1&lt;År1,0,J294*(1-VLOOKUP($A295,[1]Hugst!$R$5:$W$9,MATCH(ROUNDUP((K$1)/10,0)*10,[1]Hugst!$R$4:$W$4,0))))</f>
        <v>0</v>
      </c>
      <c r="L295">
        <f ca="1">IF($C295-L$1&lt;År1,0,K294*(1-VLOOKUP($A295,[1]Hugst!$R$5:$W$9,MATCH(ROUNDUP((L$1)/10,0)*10,[1]Hugst!$R$4:$W$4,0))))</f>
        <v>0</v>
      </c>
      <c r="M295">
        <f ca="1">IF($C295-M$1&lt;År1,0,L294*(1-VLOOKUP($A295,[1]Hugst!$R$5:$W$9,MATCH(ROUNDUP((M$1)/10,0)*10,[1]Hugst!$R$4:$W$4,0))))</f>
        <v>0</v>
      </c>
      <c r="N295">
        <f ca="1">IF($C295-N$1&lt;År1,0,M294*(1-VLOOKUP($A295,[1]Hugst!$R$5:$W$9,MATCH(ROUNDUP((N$1)/10,0)*10,[1]Hugst!$R$4:$W$4,0))))</f>
        <v>0</v>
      </c>
      <c r="O295">
        <f ca="1">IF($C295-O$1&lt;År1,0,N294*(1-VLOOKUP($A295,[1]Hugst!$R$5:$W$9,MATCH(ROUNDUP((O$1)/10,0)*10,[1]Hugst!$R$4:$W$4,0))))</f>
        <v>0</v>
      </c>
      <c r="P295">
        <f ca="1">IF($C295-P$1&lt;År1,0,O294*(1-VLOOKUP($A295,[1]Hugst!$R$5:$W$9,MATCH(ROUNDUP((P$1)/10,0)*10,[1]Hugst!$R$4:$W$4,0))))</f>
        <v>0</v>
      </c>
      <c r="Q295">
        <f ca="1">IF($C295-Q$1&lt;År1,0,P294*(1-VLOOKUP($A295,[1]Hugst!$R$5:$W$9,MATCH(ROUNDUP((Q$1)/10,0)*10,[1]Hugst!$R$4:$W$4,0))))</f>
        <v>0</v>
      </c>
      <c r="R295">
        <f ca="1">IF($C295-R$1&lt;År1,0,Q294*(1-VLOOKUP($A295,[1]Hugst!$R$5:$W$9,MATCH(ROUNDUP((R$1)/10,0)*10,[1]Hugst!$R$4:$W$4,0))))</f>
        <v>0</v>
      </c>
      <c r="S295">
        <f ca="1">IF($C295-S$1&lt;År1,0,R294*(1-VLOOKUP($A295,[1]Hugst!$R$5:$W$9,MATCH(ROUNDUP((S$1)/10,0)*10,[1]Hugst!$R$4:$W$4,0))))</f>
        <v>0</v>
      </c>
      <c r="T295">
        <f ca="1">IF($C295-T$1&lt;År1,0,S294*(1-VLOOKUP($A295,[1]Hugst!$R$5:$W$9,MATCH(ROUNDUP((T$1)/10,0)*10,[1]Hugst!$R$4:$W$4,0))))</f>
        <v>0</v>
      </c>
      <c r="U295">
        <f>IF($C295-U$1&lt;År1,0,T294*(1-VLOOKUP($A295,[1]Hugst!$R$5:$W$9,MATCH(ROUNDUP((U$1)/10,0)*10,[1]Hugst!$R$4:$W$4,0))))</f>
        <v>0</v>
      </c>
      <c r="V295">
        <f>IF($C295-V$1&lt;År1,0,U294*(1-VLOOKUP($A295,[1]Hugst!$R$5:$W$9,MATCH(ROUNDUP((V$1)/10,0)*10,[1]Hugst!$R$4:$W$4,0))))</f>
        <v>0</v>
      </c>
      <c r="W295">
        <f>IF($C295-W$1&lt;År1,0,V294*(1-VLOOKUP($A295,[1]Hugst!$R$5:$W$9,MATCH(ROUNDUP((W$1)/10,0)*10,[1]Hugst!$R$4:$W$4,0))))</f>
        <v>0</v>
      </c>
      <c r="X295">
        <f>IF($C295-X$1&lt;År1,0,W294*(1-VLOOKUP($A295,[1]Hugst!$R$5:$W$9,MATCH(ROUNDUP((X$1)/10,0)*10,[1]Hugst!$R$4:$W$4,0))))</f>
        <v>0</v>
      </c>
      <c r="Y295">
        <f>IF($C295-Y$1&lt;År1,0,X294*(1-VLOOKUP($A295,[1]Hugst!$R$5:$W$9,MATCH(ROUNDUP((Y$1)/10,0)*10,[1]Hugst!$R$4:$W$4,0))))</f>
        <v>0</v>
      </c>
      <c r="Z295">
        <f>IF($C295-Z$1&lt;År1,0,Y294*(1-VLOOKUP($A295,[1]Hugst!$R$5:$W$9,MATCH(ROUNDUP((Z$1)/10,0)*10,[1]Hugst!$R$4:$W$4,0))))</f>
        <v>0</v>
      </c>
      <c r="AA295">
        <f>IF($C295-AA$1&lt;År1,0,Z294*(1-VLOOKUP($A295,[1]Hugst!$R$5:$W$9,MATCH(ROUNDUP((AA$1)/10,0)*10,[1]Hugst!$R$4:$W$4,0))))</f>
        <v>0</v>
      </c>
      <c r="AB295">
        <f>IF($C295-AB$1&lt;År1,0,AA294*(1-VLOOKUP($A295,[1]Hugst!$R$5:$W$9,MATCH(ROUNDUP((AB$1)/10,0)*10,[1]Hugst!$R$4:$W$4,0))))</f>
        <v>0</v>
      </c>
      <c r="AC295">
        <f>IF($C295-AC$1&lt;År1,0,AB294*(1-VLOOKUP($A295,[1]Hugst!$R$5:$W$9,MATCH(ROUNDUP((AC$1)/10,0)*10,[1]Hugst!$R$4:$W$4,0))))</f>
        <v>0</v>
      </c>
      <c r="AD295">
        <f>IF($C295-AD$1&lt;År1,0,AC294*(1-VLOOKUP($A295,[1]Hugst!$R$5:$W$9,MATCH(ROUNDUP((AD$1)/10,0)*10,[1]Hugst!$R$4:$W$4,0))))</f>
        <v>0</v>
      </c>
      <c r="AE295">
        <f>IF($C295-AE$1&lt;År1,0,AD294*(1-VLOOKUP($A295,[1]Hugst!$R$5:$W$9,MATCH(ROUNDUP((AE$1)/10,0)*10,[1]Hugst!$R$4:$W$4,0))))</f>
        <v>0</v>
      </c>
      <c r="AF295">
        <f>IF($C295-AF$1&lt;År1,0,AE294*(1-VLOOKUP($A295,[1]Hugst!$R$5:$W$9,MATCH(ROUNDUP((AF$1)/10,0)*10,[1]Hugst!$R$4:$W$4,0))))</f>
        <v>0</v>
      </c>
      <c r="AG295">
        <f>IF($C295-AG$1&lt;År1,0,AF294*(1-VLOOKUP($A295,[1]Hugst!$R$5:$W$9,MATCH(ROUNDUP((AG$1)/10,0)*10,[1]Hugst!$R$4:$W$4,0))))</f>
        <v>0</v>
      </c>
      <c r="AH295">
        <f>IF($C295-AH$1&lt;År1,0,AG294*(1-VLOOKUP($A295,[1]Hugst!$R$5:$W$9,MATCH(ROUNDUP((AH$1)/10,0)*10,[1]Hugst!$R$4:$W$4,0))))</f>
        <v>0</v>
      </c>
      <c r="AI295">
        <f>IF($C295-AI$1&lt;År1,0,AH294*(1-VLOOKUP($A295,[1]Hugst!$R$5:$W$9,MATCH(ROUNDUP((AI$1)/10,0)*10,[1]Hugst!$R$4:$W$4,0))))</f>
        <v>0</v>
      </c>
      <c r="AJ295">
        <f>IF($C295-AJ$1&lt;År1,0,AI294*(1-VLOOKUP($A295,[1]Hugst!$R$5:$W$9,MATCH(ROUNDUP((AJ$1)/10,0)*10,[1]Hugst!$R$4:$W$4,0))))</f>
        <v>0</v>
      </c>
    </row>
    <row r="296" spans="1:36" x14ac:dyDescent="0.25">
      <c r="A296" t="s">
        <v>180</v>
      </c>
      <c r="B296" t="s">
        <v>24</v>
      </c>
      <c r="C296">
        <v>2035</v>
      </c>
      <c r="D296" cm="1">
        <f t="array" ref="D296">(IF(B296="Vestdanmark",Skovbrug!$C$22-(Skovbrug!$C$22)*(1-Skovbrug!$C$9)^(C296-Skovbrug!$B$12),Skovbrug!$F$22-(Skovbrug!$F$22)*(1-Skovbrug!$C$9)^(C296-Skovbrug!$B$12)))*VLOOKUP(A296,Skovbrug!$A$13:$D$17,IF('Skovbrug-alder'!C296&lt;=År2,3,4),FALSE)
-IF(C296&gt;2020,SUM(INDEX($C$1:$D$311,MATCH(1,(2020=$C$1:$C$311)*(B296=$B$1:$B$311)*(A296=$A$1:$A$311),0),2):D295),0)</f>
        <v>0</v>
      </c>
      <c r="E296">
        <f t="shared" ca="1" si="7"/>
        <v>0</v>
      </c>
      <c r="F296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>
        <f ca="1">IF($C296-G$1&lt;År1,0,F295*(1-VLOOKUP($A296,[1]Hugst!$R$5:$W$9,MATCH(ROUNDUP((G$1)/10,0)*10,[1]Hugst!$R$4:$W$4,0))))</f>
        <v>0</v>
      </c>
      <c r="H296">
        <f ca="1">IF($C296-H$1&lt;År1,0,G295*(1-VLOOKUP($A296,[1]Hugst!$R$5:$W$9,MATCH(ROUNDUP((H$1)/10,0)*10,[1]Hugst!$R$4:$W$4,0))))</f>
        <v>0</v>
      </c>
      <c r="I296">
        <f ca="1">IF($C296-I$1&lt;År1,0,H295*(1-VLOOKUP($A296,[1]Hugst!$R$5:$W$9,MATCH(ROUNDUP((I$1)/10,0)*10,[1]Hugst!$R$4:$W$4,0))))</f>
        <v>0</v>
      </c>
      <c r="J296">
        <f ca="1">IF($C296-J$1&lt;År1,0,I295*(1-VLOOKUP($A296,[1]Hugst!$R$5:$W$9,MATCH(ROUNDUP((J$1)/10,0)*10,[1]Hugst!$R$4:$W$4,0))))</f>
        <v>0</v>
      </c>
      <c r="K296">
        <f ca="1">IF($C296-K$1&lt;År1,0,J295*(1-VLOOKUP($A296,[1]Hugst!$R$5:$W$9,MATCH(ROUNDUP((K$1)/10,0)*10,[1]Hugst!$R$4:$W$4,0))))</f>
        <v>0</v>
      </c>
      <c r="L296">
        <f ca="1">IF($C296-L$1&lt;År1,0,K295*(1-VLOOKUP($A296,[1]Hugst!$R$5:$W$9,MATCH(ROUNDUP((L$1)/10,0)*10,[1]Hugst!$R$4:$W$4,0))))</f>
        <v>0</v>
      </c>
      <c r="M296">
        <f ca="1">IF($C296-M$1&lt;År1,0,L295*(1-VLOOKUP($A296,[1]Hugst!$R$5:$W$9,MATCH(ROUNDUP((M$1)/10,0)*10,[1]Hugst!$R$4:$W$4,0))))</f>
        <v>0</v>
      </c>
      <c r="N296">
        <f ca="1">IF($C296-N$1&lt;År1,0,M295*(1-VLOOKUP($A296,[1]Hugst!$R$5:$W$9,MATCH(ROUNDUP((N$1)/10,0)*10,[1]Hugst!$R$4:$W$4,0))))</f>
        <v>0</v>
      </c>
      <c r="O296">
        <f ca="1">IF($C296-O$1&lt;År1,0,N295*(1-VLOOKUP($A296,[1]Hugst!$R$5:$W$9,MATCH(ROUNDUP((O$1)/10,0)*10,[1]Hugst!$R$4:$W$4,0))))</f>
        <v>0</v>
      </c>
      <c r="P296">
        <f ca="1">IF($C296-P$1&lt;År1,0,O295*(1-VLOOKUP($A296,[1]Hugst!$R$5:$W$9,MATCH(ROUNDUP((P$1)/10,0)*10,[1]Hugst!$R$4:$W$4,0))))</f>
        <v>0</v>
      </c>
      <c r="Q296">
        <f ca="1">IF($C296-Q$1&lt;År1,0,P295*(1-VLOOKUP($A296,[1]Hugst!$R$5:$W$9,MATCH(ROUNDUP((Q$1)/10,0)*10,[1]Hugst!$R$4:$W$4,0))))</f>
        <v>0</v>
      </c>
      <c r="R296">
        <f ca="1">IF($C296-R$1&lt;År1,0,Q295*(1-VLOOKUP($A296,[1]Hugst!$R$5:$W$9,MATCH(ROUNDUP((R$1)/10,0)*10,[1]Hugst!$R$4:$W$4,0))))</f>
        <v>0</v>
      </c>
      <c r="S296">
        <f ca="1">IF($C296-S$1&lt;År1,0,R295*(1-VLOOKUP($A296,[1]Hugst!$R$5:$W$9,MATCH(ROUNDUP((S$1)/10,0)*10,[1]Hugst!$R$4:$W$4,0))))</f>
        <v>0</v>
      </c>
      <c r="T296">
        <f ca="1">IF($C296-T$1&lt;År1,0,S295*(1-VLOOKUP($A296,[1]Hugst!$R$5:$W$9,MATCH(ROUNDUP((T$1)/10,0)*10,[1]Hugst!$R$4:$W$4,0))))</f>
        <v>0</v>
      </c>
      <c r="U296">
        <f ca="1">IF($C296-U$1&lt;År1,0,T295*(1-VLOOKUP($A296,[1]Hugst!$R$5:$W$9,MATCH(ROUNDUP((U$1)/10,0)*10,[1]Hugst!$R$4:$W$4,0))))</f>
        <v>0</v>
      </c>
      <c r="V296">
        <f>IF($C296-V$1&lt;År1,0,U295*(1-VLOOKUP($A296,[1]Hugst!$R$5:$W$9,MATCH(ROUNDUP((V$1)/10,0)*10,[1]Hugst!$R$4:$W$4,0))))</f>
        <v>0</v>
      </c>
      <c r="W296">
        <f>IF($C296-W$1&lt;År1,0,V295*(1-VLOOKUP($A296,[1]Hugst!$R$5:$W$9,MATCH(ROUNDUP((W$1)/10,0)*10,[1]Hugst!$R$4:$W$4,0))))</f>
        <v>0</v>
      </c>
      <c r="X296">
        <f>IF($C296-X$1&lt;År1,0,W295*(1-VLOOKUP($A296,[1]Hugst!$R$5:$W$9,MATCH(ROUNDUP((X$1)/10,0)*10,[1]Hugst!$R$4:$W$4,0))))</f>
        <v>0</v>
      </c>
      <c r="Y296">
        <f>IF($C296-Y$1&lt;År1,0,X295*(1-VLOOKUP($A296,[1]Hugst!$R$5:$W$9,MATCH(ROUNDUP((Y$1)/10,0)*10,[1]Hugst!$R$4:$W$4,0))))</f>
        <v>0</v>
      </c>
      <c r="Z296">
        <f>IF($C296-Z$1&lt;År1,0,Y295*(1-VLOOKUP($A296,[1]Hugst!$R$5:$W$9,MATCH(ROUNDUP((Z$1)/10,0)*10,[1]Hugst!$R$4:$W$4,0))))</f>
        <v>0</v>
      </c>
      <c r="AA296">
        <f>IF($C296-AA$1&lt;År1,0,Z295*(1-VLOOKUP($A296,[1]Hugst!$R$5:$W$9,MATCH(ROUNDUP((AA$1)/10,0)*10,[1]Hugst!$R$4:$W$4,0))))</f>
        <v>0</v>
      </c>
      <c r="AB296">
        <f>IF($C296-AB$1&lt;År1,0,AA295*(1-VLOOKUP($A296,[1]Hugst!$R$5:$W$9,MATCH(ROUNDUP((AB$1)/10,0)*10,[1]Hugst!$R$4:$W$4,0))))</f>
        <v>0</v>
      </c>
      <c r="AC296">
        <f>IF($C296-AC$1&lt;År1,0,AB295*(1-VLOOKUP($A296,[1]Hugst!$R$5:$W$9,MATCH(ROUNDUP((AC$1)/10,0)*10,[1]Hugst!$R$4:$W$4,0))))</f>
        <v>0</v>
      </c>
      <c r="AD296">
        <f>IF($C296-AD$1&lt;År1,0,AC295*(1-VLOOKUP($A296,[1]Hugst!$R$5:$W$9,MATCH(ROUNDUP((AD$1)/10,0)*10,[1]Hugst!$R$4:$W$4,0))))</f>
        <v>0</v>
      </c>
      <c r="AE296">
        <f>IF($C296-AE$1&lt;År1,0,AD295*(1-VLOOKUP($A296,[1]Hugst!$R$5:$W$9,MATCH(ROUNDUP((AE$1)/10,0)*10,[1]Hugst!$R$4:$W$4,0))))</f>
        <v>0</v>
      </c>
      <c r="AF296">
        <f>IF($C296-AF$1&lt;År1,0,AE295*(1-VLOOKUP($A296,[1]Hugst!$R$5:$W$9,MATCH(ROUNDUP((AF$1)/10,0)*10,[1]Hugst!$R$4:$W$4,0))))</f>
        <v>0</v>
      </c>
      <c r="AG296">
        <f>IF($C296-AG$1&lt;År1,0,AF295*(1-VLOOKUP($A296,[1]Hugst!$R$5:$W$9,MATCH(ROUNDUP((AG$1)/10,0)*10,[1]Hugst!$R$4:$W$4,0))))</f>
        <v>0</v>
      </c>
      <c r="AH296">
        <f>IF($C296-AH$1&lt;År1,0,AG295*(1-VLOOKUP($A296,[1]Hugst!$R$5:$W$9,MATCH(ROUNDUP((AH$1)/10,0)*10,[1]Hugst!$R$4:$W$4,0))))</f>
        <v>0</v>
      </c>
      <c r="AI296">
        <f>IF($C296-AI$1&lt;År1,0,AH295*(1-VLOOKUP($A296,[1]Hugst!$R$5:$W$9,MATCH(ROUNDUP((AI$1)/10,0)*10,[1]Hugst!$R$4:$W$4,0))))</f>
        <v>0</v>
      </c>
      <c r="AJ296">
        <f>IF($C296-AJ$1&lt;År1,0,AI295*(1-VLOOKUP($A296,[1]Hugst!$R$5:$W$9,MATCH(ROUNDUP((AJ$1)/10,0)*10,[1]Hugst!$R$4:$W$4,0))))</f>
        <v>0</v>
      </c>
    </row>
    <row r="297" spans="1:36" x14ac:dyDescent="0.25">
      <c r="A297" t="s">
        <v>180</v>
      </c>
      <c r="B297" t="s">
        <v>24</v>
      </c>
      <c r="C297">
        <v>2036</v>
      </c>
      <c r="D297" cm="1">
        <f t="array" ref="D297">(IF(B297="Vestdanmark",Skovbrug!$C$22-(Skovbrug!$C$22)*(1-Skovbrug!$C$9)^(C297-Skovbrug!$B$12),Skovbrug!$F$22-(Skovbrug!$F$22)*(1-Skovbrug!$C$9)^(C297-Skovbrug!$B$12)))*VLOOKUP(A297,Skovbrug!$A$13:$D$17,IF('Skovbrug-alder'!C297&lt;=År2,3,4),FALSE)
-IF(C297&gt;2020,SUM(INDEX($C$1:$D$311,MATCH(1,(2020=$C$1:$C$311)*(B297=$B$1:$B$311)*(A297=$A$1:$A$311),0),2):D296),0)</f>
        <v>0</v>
      </c>
      <c r="E297">
        <f t="shared" ca="1" si="7"/>
        <v>0</v>
      </c>
      <c r="F297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>
        <f ca="1">IF($C297-G$1&lt;År1,0,F296*(1-VLOOKUP($A297,[1]Hugst!$R$5:$W$9,MATCH(ROUNDUP((G$1)/10,0)*10,[1]Hugst!$R$4:$W$4,0))))</f>
        <v>0</v>
      </c>
      <c r="H297">
        <f ca="1">IF($C297-H$1&lt;År1,0,G296*(1-VLOOKUP($A297,[1]Hugst!$R$5:$W$9,MATCH(ROUNDUP((H$1)/10,0)*10,[1]Hugst!$R$4:$W$4,0))))</f>
        <v>0</v>
      </c>
      <c r="I297">
        <f ca="1">IF($C297-I$1&lt;År1,0,H296*(1-VLOOKUP($A297,[1]Hugst!$R$5:$W$9,MATCH(ROUNDUP((I$1)/10,0)*10,[1]Hugst!$R$4:$W$4,0))))</f>
        <v>0</v>
      </c>
      <c r="J297">
        <f ca="1">IF($C297-J$1&lt;År1,0,I296*(1-VLOOKUP($A297,[1]Hugst!$R$5:$W$9,MATCH(ROUNDUP((J$1)/10,0)*10,[1]Hugst!$R$4:$W$4,0))))</f>
        <v>0</v>
      </c>
      <c r="K297">
        <f ca="1">IF($C297-K$1&lt;År1,0,J296*(1-VLOOKUP($A297,[1]Hugst!$R$5:$W$9,MATCH(ROUNDUP((K$1)/10,0)*10,[1]Hugst!$R$4:$W$4,0))))</f>
        <v>0</v>
      </c>
      <c r="L297">
        <f ca="1">IF($C297-L$1&lt;År1,0,K296*(1-VLOOKUP($A297,[1]Hugst!$R$5:$W$9,MATCH(ROUNDUP((L$1)/10,0)*10,[1]Hugst!$R$4:$W$4,0))))</f>
        <v>0</v>
      </c>
      <c r="M297">
        <f ca="1">IF($C297-M$1&lt;År1,0,L296*(1-VLOOKUP($A297,[1]Hugst!$R$5:$W$9,MATCH(ROUNDUP((M$1)/10,0)*10,[1]Hugst!$R$4:$W$4,0))))</f>
        <v>0</v>
      </c>
      <c r="N297">
        <f ca="1">IF($C297-N$1&lt;År1,0,M296*(1-VLOOKUP($A297,[1]Hugst!$R$5:$W$9,MATCH(ROUNDUP((N$1)/10,0)*10,[1]Hugst!$R$4:$W$4,0))))</f>
        <v>0</v>
      </c>
      <c r="O297">
        <f ca="1">IF($C297-O$1&lt;År1,0,N296*(1-VLOOKUP($A297,[1]Hugst!$R$5:$W$9,MATCH(ROUNDUP((O$1)/10,0)*10,[1]Hugst!$R$4:$W$4,0))))</f>
        <v>0</v>
      </c>
      <c r="P297">
        <f ca="1">IF($C297-P$1&lt;År1,0,O296*(1-VLOOKUP($A297,[1]Hugst!$R$5:$W$9,MATCH(ROUNDUP((P$1)/10,0)*10,[1]Hugst!$R$4:$W$4,0))))</f>
        <v>0</v>
      </c>
      <c r="Q297">
        <f ca="1">IF($C297-Q$1&lt;År1,0,P296*(1-VLOOKUP($A297,[1]Hugst!$R$5:$W$9,MATCH(ROUNDUP((Q$1)/10,0)*10,[1]Hugst!$R$4:$W$4,0))))</f>
        <v>0</v>
      </c>
      <c r="R297">
        <f ca="1">IF($C297-R$1&lt;År1,0,Q296*(1-VLOOKUP($A297,[1]Hugst!$R$5:$W$9,MATCH(ROUNDUP((R$1)/10,0)*10,[1]Hugst!$R$4:$W$4,0))))</f>
        <v>0</v>
      </c>
      <c r="S297">
        <f ca="1">IF($C297-S$1&lt;År1,0,R296*(1-VLOOKUP($A297,[1]Hugst!$R$5:$W$9,MATCH(ROUNDUP((S$1)/10,0)*10,[1]Hugst!$R$4:$W$4,0))))</f>
        <v>0</v>
      </c>
      <c r="T297">
        <f ca="1">IF($C297-T$1&lt;År1,0,S296*(1-VLOOKUP($A297,[1]Hugst!$R$5:$W$9,MATCH(ROUNDUP((T$1)/10,0)*10,[1]Hugst!$R$4:$W$4,0))))</f>
        <v>0</v>
      </c>
      <c r="U297">
        <f ca="1">IF($C297-U$1&lt;År1,0,T296*(1-VLOOKUP($A297,[1]Hugst!$R$5:$W$9,MATCH(ROUNDUP((U$1)/10,0)*10,[1]Hugst!$R$4:$W$4,0))))</f>
        <v>0</v>
      </c>
      <c r="V297">
        <f ca="1">IF($C297-V$1&lt;År1,0,U296*(1-VLOOKUP($A297,[1]Hugst!$R$5:$W$9,MATCH(ROUNDUP((V$1)/10,0)*10,[1]Hugst!$R$4:$W$4,0))))</f>
        <v>0</v>
      </c>
      <c r="W297">
        <f>IF($C297-W$1&lt;År1,0,V296*(1-VLOOKUP($A297,[1]Hugst!$R$5:$W$9,MATCH(ROUNDUP((W$1)/10,0)*10,[1]Hugst!$R$4:$W$4,0))))</f>
        <v>0</v>
      </c>
      <c r="X297">
        <f>IF($C297-X$1&lt;År1,0,W296*(1-VLOOKUP($A297,[1]Hugst!$R$5:$W$9,MATCH(ROUNDUP((X$1)/10,0)*10,[1]Hugst!$R$4:$W$4,0))))</f>
        <v>0</v>
      </c>
      <c r="Y297">
        <f>IF($C297-Y$1&lt;År1,0,X296*(1-VLOOKUP($A297,[1]Hugst!$R$5:$W$9,MATCH(ROUNDUP((Y$1)/10,0)*10,[1]Hugst!$R$4:$W$4,0))))</f>
        <v>0</v>
      </c>
      <c r="Z297">
        <f>IF($C297-Z$1&lt;År1,0,Y296*(1-VLOOKUP($A297,[1]Hugst!$R$5:$W$9,MATCH(ROUNDUP((Z$1)/10,0)*10,[1]Hugst!$R$4:$W$4,0))))</f>
        <v>0</v>
      </c>
      <c r="AA297">
        <f>IF($C297-AA$1&lt;År1,0,Z296*(1-VLOOKUP($A297,[1]Hugst!$R$5:$W$9,MATCH(ROUNDUP((AA$1)/10,0)*10,[1]Hugst!$R$4:$W$4,0))))</f>
        <v>0</v>
      </c>
      <c r="AB297">
        <f>IF($C297-AB$1&lt;År1,0,AA296*(1-VLOOKUP($A297,[1]Hugst!$R$5:$W$9,MATCH(ROUNDUP((AB$1)/10,0)*10,[1]Hugst!$R$4:$W$4,0))))</f>
        <v>0</v>
      </c>
      <c r="AC297">
        <f>IF($C297-AC$1&lt;År1,0,AB296*(1-VLOOKUP($A297,[1]Hugst!$R$5:$W$9,MATCH(ROUNDUP((AC$1)/10,0)*10,[1]Hugst!$R$4:$W$4,0))))</f>
        <v>0</v>
      </c>
      <c r="AD297">
        <f>IF($C297-AD$1&lt;År1,0,AC296*(1-VLOOKUP($A297,[1]Hugst!$R$5:$W$9,MATCH(ROUNDUP((AD$1)/10,0)*10,[1]Hugst!$R$4:$W$4,0))))</f>
        <v>0</v>
      </c>
      <c r="AE297">
        <f>IF($C297-AE$1&lt;År1,0,AD296*(1-VLOOKUP($A297,[1]Hugst!$R$5:$W$9,MATCH(ROUNDUP((AE$1)/10,0)*10,[1]Hugst!$R$4:$W$4,0))))</f>
        <v>0</v>
      </c>
      <c r="AF297">
        <f>IF($C297-AF$1&lt;År1,0,AE296*(1-VLOOKUP($A297,[1]Hugst!$R$5:$W$9,MATCH(ROUNDUP((AF$1)/10,0)*10,[1]Hugst!$R$4:$W$4,0))))</f>
        <v>0</v>
      </c>
      <c r="AG297">
        <f>IF($C297-AG$1&lt;År1,0,AF296*(1-VLOOKUP($A297,[1]Hugst!$R$5:$W$9,MATCH(ROUNDUP((AG$1)/10,0)*10,[1]Hugst!$R$4:$W$4,0))))</f>
        <v>0</v>
      </c>
      <c r="AH297">
        <f>IF($C297-AH$1&lt;År1,0,AG296*(1-VLOOKUP($A297,[1]Hugst!$R$5:$W$9,MATCH(ROUNDUP((AH$1)/10,0)*10,[1]Hugst!$R$4:$W$4,0))))</f>
        <v>0</v>
      </c>
      <c r="AI297">
        <f>IF($C297-AI$1&lt;År1,0,AH296*(1-VLOOKUP($A297,[1]Hugst!$R$5:$W$9,MATCH(ROUNDUP((AI$1)/10,0)*10,[1]Hugst!$R$4:$W$4,0))))</f>
        <v>0</v>
      </c>
      <c r="AJ297">
        <f>IF($C297-AJ$1&lt;År1,0,AI296*(1-VLOOKUP($A297,[1]Hugst!$R$5:$W$9,MATCH(ROUNDUP((AJ$1)/10,0)*10,[1]Hugst!$R$4:$W$4,0))))</f>
        <v>0</v>
      </c>
    </row>
    <row r="298" spans="1:36" x14ac:dyDescent="0.25">
      <c r="A298" t="s">
        <v>180</v>
      </c>
      <c r="B298" t="s">
        <v>24</v>
      </c>
      <c r="C298">
        <v>2037</v>
      </c>
      <c r="D298" cm="1">
        <f t="array" ref="D298">(IF(B298="Vestdanmark",Skovbrug!$C$22-(Skovbrug!$C$22)*(1-Skovbrug!$C$9)^(C298-Skovbrug!$B$12),Skovbrug!$F$22-(Skovbrug!$F$22)*(1-Skovbrug!$C$9)^(C298-Skovbrug!$B$12)))*VLOOKUP(A298,Skovbrug!$A$13:$D$17,IF('Skovbrug-alder'!C298&lt;=År2,3,4),FALSE)
-IF(C298&gt;2020,SUM(INDEX($C$1:$D$311,MATCH(1,(2020=$C$1:$C$311)*(B298=$B$1:$B$311)*(A298=$A$1:$A$311),0),2):D297),0)</f>
        <v>0</v>
      </c>
      <c r="E298">
        <f t="shared" ca="1" si="7"/>
        <v>0</v>
      </c>
      <c r="F29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>
        <f ca="1">IF($C298-G$1&lt;År1,0,F297*(1-VLOOKUP($A298,[1]Hugst!$R$5:$W$9,MATCH(ROUNDUP((G$1)/10,0)*10,[1]Hugst!$R$4:$W$4,0))))</f>
        <v>0</v>
      </c>
      <c r="H298">
        <f ca="1">IF($C298-H$1&lt;År1,0,G297*(1-VLOOKUP($A298,[1]Hugst!$R$5:$W$9,MATCH(ROUNDUP((H$1)/10,0)*10,[1]Hugst!$R$4:$W$4,0))))</f>
        <v>0</v>
      </c>
      <c r="I298">
        <f ca="1">IF($C298-I$1&lt;År1,0,H297*(1-VLOOKUP($A298,[1]Hugst!$R$5:$W$9,MATCH(ROUNDUP((I$1)/10,0)*10,[1]Hugst!$R$4:$W$4,0))))</f>
        <v>0</v>
      </c>
      <c r="J298">
        <f ca="1">IF($C298-J$1&lt;År1,0,I297*(1-VLOOKUP($A298,[1]Hugst!$R$5:$W$9,MATCH(ROUNDUP((J$1)/10,0)*10,[1]Hugst!$R$4:$W$4,0))))</f>
        <v>0</v>
      </c>
      <c r="K298">
        <f ca="1">IF($C298-K$1&lt;År1,0,J297*(1-VLOOKUP($A298,[1]Hugst!$R$5:$W$9,MATCH(ROUNDUP((K$1)/10,0)*10,[1]Hugst!$R$4:$W$4,0))))</f>
        <v>0</v>
      </c>
      <c r="L298">
        <f ca="1">IF($C298-L$1&lt;År1,0,K297*(1-VLOOKUP($A298,[1]Hugst!$R$5:$W$9,MATCH(ROUNDUP((L$1)/10,0)*10,[1]Hugst!$R$4:$W$4,0))))</f>
        <v>0</v>
      </c>
      <c r="M298">
        <f ca="1">IF($C298-M$1&lt;År1,0,L297*(1-VLOOKUP($A298,[1]Hugst!$R$5:$W$9,MATCH(ROUNDUP((M$1)/10,0)*10,[1]Hugst!$R$4:$W$4,0))))</f>
        <v>0</v>
      </c>
      <c r="N298">
        <f ca="1">IF($C298-N$1&lt;År1,0,M297*(1-VLOOKUP($A298,[1]Hugst!$R$5:$W$9,MATCH(ROUNDUP((N$1)/10,0)*10,[1]Hugst!$R$4:$W$4,0))))</f>
        <v>0</v>
      </c>
      <c r="O298">
        <f ca="1">IF($C298-O$1&lt;År1,0,N297*(1-VLOOKUP($A298,[1]Hugst!$R$5:$W$9,MATCH(ROUNDUP((O$1)/10,0)*10,[1]Hugst!$R$4:$W$4,0))))</f>
        <v>0</v>
      </c>
      <c r="P298">
        <f ca="1">IF($C298-P$1&lt;År1,0,O297*(1-VLOOKUP($A298,[1]Hugst!$R$5:$W$9,MATCH(ROUNDUP((P$1)/10,0)*10,[1]Hugst!$R$4:$W$4,0))))</f>
        <v>0</v>
      </c>
      <c r="Q298">
        <f ca="1">IF($C298-Q$1&lt;År1,0,P297*(1-VLOOKUP($A298,[1]Hugst!$R$5:$W$9,MATCH(ROUNDUP((Q$1)/10,0)*10,[1]Hugst!$R$4:$W$4,0))))</f>
        <v>0</v>
      </c>
      <c r="R298">
        <f ca="1">IF($C298-R$1&lt;År1,0,Q297*(1-VLOOKUP($A298,[1]Hugst!$R$5:$W$9,MATCH(ROUNDUP((R$1)/10,0)*10,[1]Hugst!$R$4:$W$4,0))))</f>
        <v>0</v>
      </c>
      <c r="S298">
        <f ca="1">IF($C298-S$1&lt;År1,0,R297*(1-VLOOKUP($A298,[1]Hugst!$R$5:$W$9,MATCH(ROUNDUP((S$1)/10,0)*10,[1]Hugst!$R$4:$W$4,0))))</f>
        <v>0</v>
      </c>
      <c r="T298">
        <f ca="1">IF($C298-T$1&lt;År1,0,S297*(1-VLOOKUP($A298,[1]Hugst!$R$5:$W$9,MATCH(ROUNDUP((T$1)/10,0)*10,[1]Hugst!$R$4:$W$4,0))))</f>
        <v>0</v>
      </c>
      <c r="U298">
        <f ca="1">IF($C298-U$1&lt;År1,0,T297*(1-VLOOKUP($A298,[1]Hugst!$R$5:$W$9,MATCH(ROUNDUP((U$1)/10,0)*10,[1]Hugst!$R$4:$W$4,0))))</f>
        <v>0</v>
      </c>
      <c r="V298">
        <f ca="1">IF($C298-V$1&lt;År1,0,U297*(1-VLOOKUP($A298,[1]Hugst!$R$5:$W$9,MATCH(ROUNDUP((V$1)/10,0)*10,[1]Hugst!$R$4:$W$4,0))))</f>
        <v>0</v>
      </c>
      <c r="W298">
        <f ca="1">IF($C298-W$1&lt;År1,0,V297*(1-VLOOKUP($A298,[1]Hugst!$R$5:$W$9,MATCH(ROUNDUP((W$1)/10,0)*10,[1]Hugst!$R$4:$W$4,0))))</f>
        <v>0</v>
      </c>
      <c r="X298">
        <f>IF($C298-X$1&lt;År1,0,W297*(1-VLOOKUP($A298,[1]Hugst!$R$5:$W$9,MATCH(ROUNDUP((X$1)/10,0)*10,[1]Hugst!$R$4:$W$4,0))))</f>
        <v>0</v>
      </c>
      <c r="Y298">
        <f>IF($C298-Y$1&lt;År1,0,X297*(1-VLOOKUP($A298,[1]Hugst!$R$5:$W$9,MATCH(ROUNDUP((Y$1)/10,0)*10,[1]Hugst!$R$4:$W$4,0))))</f>
        <v>0</v>
      </c>
      <c r="Z298">
        <f>IF($C298-Z$1&lt;År1,0,Y297*(1-VLOOKUP($A298,[1]Hugst!$R$5:$W$9,MATCH(ROUNDUP((Z$1)/10,0)*10,[1]Hugst!$R$4:$W$4,0))))</f>
        <v>0</v>
      </c>
      <c r="AA298">
        <f>IF($C298-AA$1&lt;År1,0,Z297*(1-VLOOKUP($A298,[1]Hugst!$R$5:$W$9,MATCH(ROUNDUP((AA$1)/10,0)*10,[1]Hugst!$R$4:$W$4,0))))</f>
        <v>0</v>
      </c>
      <c r="AB298">
        <f>IF($C298-AB$1&lt;År1,0,AA297*(1-VLOOKUP($A298,[1]Hugst!$R$5:$W$9,MATCH(ROUNDUP((AB$1)/10,0)*10,[1]Hugst!$R$4:$W$4,0))))</f>
        <v>0</v>
      </c>
      <c r="AC298">
        <f>IF($C298-AC$1&lt;År1,0,AB297*(1-VLOOKUP($A298,[1]Hugst!$R$5:$W$9,MATCH(ROUNDUP((AC$1)/10,0)*10,[1]Hugst!$R$4:$W$4,0))))</f>
        <v>0</v>
      </c>
      <c r="AD298">
        <f>IF($C298-AD$1&lt;År1,0,AC297*(1-VLOOKUP($A298,[1]Hugst!$R$5:$W$9,MATCH(ROUNDUP((AD$1)/10,0)*10,[1]Hugst!$R$4:$W$4,0))))</f>
        <v>0</v>
      </c>
      <c r="AE298">
        <f>IF($C298-AE$1&lt;År1,0,AD297*(1-VLOOKUP($A298,[1]Hugst!$R$5:$W$9,MATCH(ROUNDUP((AE$1)/10,0)*10,[1]Hugst!$R$4:$W$4,0))))</f>
        <v>0</v>
      </c>
      <c r="AF298">
        <f>IF($C298-AF$1&lt;År1,0,AE297*(1-VLOOKUP($A298,[1]Hugst!$R$5:$W$9,MATCH(ROUNDUP((AF$1)/10,0)*10,[1]Hugst!$R$4:$W$4,0))))</f>
        <v>0</v>
      </c>
      <c r="AG298">
        <f>IF($C298-AG$1&lt;År1,0,AF297*(1-VLOOKUP($A298,[1]Hugst!$R$5:$W$9,MATCH(ROUNDUP((AG$1)/10,0)*10,[1]Hugst!$R$4:$W$4,0))))</f>
        <v>0</v>
      </c>
      <c r="AH298">
        <f>IF($C298-AH$1&lt;År1,0,AG297*(1-VLOOKUP($A298,[1]Hugst!$R$5:$W$9,MATCH(ROUNDUP((AH$1)/10,0)*10,[1]Hugst!$R$4:$W$4,0))))</f>
        <v>0</v>
      </c>
      <c r="AI298">
        <f>IF($C298-AI$1&lt;År1,0,AH297*(1-VLOOKUP($A298,[1]Hugst!$R$5:$W$9,MATCH(ROUNDUP((AI$1)/10,0)*10,[1]Hugst!$R$4:$W$4,0))))</f>
        <v>0</v>
      </c>
      <c r="AJ298">
        <f>IF($C298-AJ$1&lt;År1,0,AI297*(1-VLOOKUP($A298,[1]Hugst!$R$5:$W$9,MATCH(ROUNDUP((AJ$1)/10,0)*10,[1]Hugst!$R$4:$W$4,0))))</f>
        <v>0</v>
      </c>
    </row>
    <row r="299" spans="1:36" x14ac:dyDescent="0.25">
      <c r="A299" t="s">
        <v>180</v>
      </c>
      <c r="B299" t="s">
        <v>24</v>
      </c>
      <c r="C299">
        <v>2038</v>
      </c>
      <c r="D299" cm="1">
        <f t="array" ref="D299">(IF(B299="Vestdanmark",Skovbrug!$C$22-(Skovbrug!$C$22)*(1-Skovbrug!$C$9)^(C299-Skovbrug!$B$12),Skovbrug!$F$22-(Skovbrug!$F$22)*(1-Skovbrug!$C$9)^(C299-Skovbrug!$B$12)))*VLOOKUP(A299,Skovbrug!$A$13:$D$17,IF('Skovbrug-alder'!C299&lt;=År2,3,4),FALSE)
-IF(C299&gt;2020,SUM(INDEX($C$1:$D$311,MATCH(1,(2020=$C$1:$C$311)*(B299=$B$1:$B$311)*(A299=$A$1:$A$311),0),2):D298),0)</f>
        <v>0</v>
      </c>
      <c r="E299">
        <f t="shared" ca="1" si="7"/>
        <v>0</v>
      </c>
      <c r="F299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>
        <f ca="1">IF($C299-G$1&lt;År1,0,F298*(1-VLOOKUP($A299,[1]Hugst!$R$5:$W$9,MATCH(ROUNDUP((G$1)/10,0)*10,[1]Hugst!$R$4:$W$4,0))))</f>
        <v>0</v>
      </c>
      <c r="H299">
        <f ca="1">IF($C299-H$1&lt;År1,0,G298*(1-VLOOKUP($A299,[1]Hugst!$R$5:$W$9,MATCH(ROUNDUP((H$1)/10,0)*10,[1]Hugst!$R$4:$W$4,0))))</f>
        <v>0</v>
      </c>
      <c r="I299">
        <f ca="1">IF($C299-I$1&lt;År1,0,H298*(1-VLOOKUP($A299,[1]Hugst!$R$5:$W$9,MATCH(ROUNDUP((I$1)/10,0)*10,[1]Hugst!$R$4:$W$4,0))))</f>
        <v>0</v>
      </c>
      <c r="J299">
        <f ca="1">IF($C299-J$1&lt;År1,0,I298*(1-VLOOKUP($A299,[1]Hugst!$R$5:$W$9,MATCH(ROUNDUP((J$1)/10,0)*10,[1]Hugst!$R$4:$W$4,0))))</f>
        <v>0</v>
      </c>
      <c r="K299">
        <f ca="1">IF($C299-K$1&lt;År1,0,J298*(1-VLOOKUP($A299,[1]Hugst!$R$5:$W$9,MATCH(ROUNDUP((K$1)/10,0)*10,[1]Hugst!$R$4:$W$4,0))))</f>
        <v>0</v>
      </c>
      <c r="L299">
        <f ca="1">IF($C299-L$1&lt;År1,0,K298*(1-VLOOKUP($A299,[1]Hugst!$R$5:$W$9,MATCH(ROUNDUP((L$1)/10,0)*10,[1]Hugst!$R$4:$W$4,0))))</f>
        <v>0</v>
      </c>
      <c r="M299">
        <f ca="1">IF($C299-M$1&lt;År1,0,L298*(1-VLOOKUP($A299,[1]Hugst!$R$5:$W$9,MATCH(ROUNDUP((M$1)/10,0)*10,[1]Hugst!$R$4:$W$4,0))))</f>
        <v>0</v>
      </c>
      <c r="N299">
        <f ca="1">IF($C299-N$1&lt;År1,0,M298*(1-VLOOKUP($A299,[1]Hugst!$R$5:$W$9,MATCH(ROUNDUP((N$1)/10,0)*10,[1]Hugst!$R$4:$W$4,0))))</f>
        <v>0</v>
      </c>
      <c r="O299">
        <f ca="1">IF($C299-O$1&lt;År1,0,N298*(1-VLOOKUP($A299,[1]Hugst!$R$5:$W$9,MATCH(ROUNDUP((O$1)/10,0)*10,[1]Hugst!$R$4:$W$4,0))))</f>
        <v>0</v>
      </c>
      <c r="P299">
        <f ca="1">IF($C299-P$1&lt;År1,0,O298*(1-VLOOKUP($A299,[1]Hugst!$R$5:$W$9,MATCH(ROUNDUP((P$1)/10,0)*10,[1]Hugst!$R$4:$W$4,0))))</f>
        <v>0</v>
      </c>
      <c r="Q299">
        <f ca="1">IF($C299-Q$1&lt;År1,0,P298*(1-VLOOKUP($A299,[1]Hugst!$R$5:$W$9,MATCH(ROUNDUP((Q$1)/10,0)*10,[1]Hugst!$R$4:$W$4,0))))</f>
        <v>0</v>
      </c>
      <c r="R299">
        <f ca="1">IF($C299-R$1&lt;År1,0,Q298*(1-VLOOKUP($A299,[1]Hugst!$R$5:$W$9,MATCH(ROUNDUP((R$1)/10,0)*10,[1]Hugst!$R$4:$W$4,0))))</f>
        <v>0</v>
      </c>
      <c r="S299">
        <f ca="1">IF($C299-S$1&lt;År1,0,R298*(1-VLOOKUP($A299,[1]Hugst!$R$5:$W$9,MATCH(ROUNDUP((S$1)/10,0)*10,[1]Hugst!$R$4:$W$4,0))))</f>
        <v>0</v>
      </c>
      <c r="T299">
        <f ca="1">IF($C299-T$1&lt;År1,0,S298*(1-VLOOKUP($A299,[1]Hugst!$R$5:$W$9,MATCH(ROUNDUP((T$1)/10,0)*10,[1]Hugst!$R$4:$W$4,0))))</f>
        <v>0</v>
      </c>
      <c r="U299">
        <f ca="1">IF($C299-U$1&lt;År1,0,T298*(1-VLOOKUP($A299,[1]Hugst!$R$5:$W$9,MATCH(ROUNDUP((U$1)/10,0)*10,[1]Hugst!$R$4:$W$4,0))))</f>
        <v>0</v>
      </c>
      <c r="V299">
        <f ca="1">IF($C299-V$1&lt;År1,0,U298*(1-VLOOKUP($A299,[1]Hugst!$R$5:$W$9,MATCH(ROUNDUP((V$1)/10,0)*10,[1]Hugst!$R$4:$W$4,0))))</f>
        <v>0</v>
      </c>
      <c r="W299">
        <f ca="1">IF($C299-W$1&lt;År1,0,V298*(1-VLOOKUP($A299,[1]Hugst!$R$5:$W$9,MATCH(ROUNDUP((W$1)/10,0)*10,[1]Hugst!$R$4:$W$4,0))))</f>
        <v>0</v>
      </c>
      <c r="X299">
        <f ca="1">IF($C299-X$1&lt;År1,0,W298*(1-VLOOKUP($A299,[1]Hugst!$R$5:$W$9,MATCH(ROUNDUP((X$1)/10,0)*10,[1]Hugst!$R$4:$W$4,0))))</f>
        <v>0</v>
      </c>
      <c r="Y299">
        <f>IF($C299-Y$1&lt;År1,0,X298*(1-VLOOKUP($A299,[1]Hugst!$R$5:$W$9,MATCH(ROUNDUP((Y$1)/10,0)*10,[1]Hugst!$R$4:$W$4,0))))</f>
        <v>0</v>
      </c>
      <c r="Z299">
        <f>IF($C299-Z$1&lt;År1,0,Y298*(1-VLOOKUP($A299,[1]Hugst!$R$5:$W$9,MATCH(ROUNDUP((Z$1)/10,0)*10,[1]Hugst!$R$4:$W$4,0))))</f>
        <v>0</v>
      </c>
      <c r="AA299">
        <f>IF($C299-AA$1&lt;År1,0,Z298*(1-VLOOKUP($A299,[1]Hugst!$R$5:$W$9,MATCH(ROUNDUP((AA$1)/10,0)*10,[1]Hugst!$R$4:$W$4,0))))</f>
        <v>0</v>
      </c>
      <c r="AB299">
        <f>IF($C299-AB$1&lt;År1,0,AA298*(1-VLOOKUP($A299,[1]Hugst!$R$5:$W$9,MATCH(ROUNDUP((AB$1)/10,0)*10,[1]Hugst!$R$4:$W$4,0))))</f>
        <v>0</v>
      </c>
      <c r="AC299">
        <f>IF($C299-AC$1&lt;År1,0,AB298*(1-VLOOKUP($A299,[1]Hugst!$R$5:$W$9,MATCH(ROUNDUP((AC$1)/10,0)*10,[1]Hugst!$R$4:$W$4,0))))</f>
        <v>0</v>
      </c>
      <c r="AD299">
        <f>IF($C299-AD$1&lt;År1,0,AC298*(1-VLOOKUP($A299,[1]Hugst!$R$5:$W$9,MATCH(ROUNDUP((AD$1)/10,0)*10,[1]Hugst!$R$4:$W$4,0))))</f>
        <v>0</v>
      </c>
      <c r="AE299">
        <f>IF($C299-AE$1&lt;År1,0,AD298*(1-VLOOKUP($A299,[1]Hugst!$R$5:$W$9,MATCH(ROUNDUP((AE$1)/10,0)*10,[1]Hugst!$R$4:$W$4,0))))</f>
        <v>0</v>
      </c>
      <c r="AF299">
        <f>IF($C299-AF$1&lt;År1,0,AE298*(1-VLOOKUP($A299,[1]Hugst!$R$5:$W$9,MATCH(ROUNDUP((AF$1)/10,0)*10,[1]Hugst!$R$4:$W$4,0))))</f>
        <v>0</v>
      </c>
      <c r="AG299">
        <f>IF($C299-AG$1&lt;År1,0,AF298*(1-VLOOKUP($A299,[1]Hugst!$R$5:$W$9,MATCH(ROUNDUP((AG$1)/10,0)*10,[1]Hugst!$R$4:$W$4,0))))</f>
        <v>0</v>
      </c>
      <c r="AH299">
        <f>IF($C299-AH$1&lt;År1,0,AG298*(1-VLOOKUP($A299,[1]Hugst!$R$5:$W$9,MATCH(ROUNDUP((AH$1)/10,0)*10,[1]Hugst!$R$4:$W$4,0))))</f>
        <v>0</v>
      </c>
      <c r="AI299">
        <f>IF($C299-AI$1&lt;År1,0,AH298*(1-VLOOKUP($A299,[1]Hugst!$R$5:$W$9,MATCH(ROUNDUP((AI$1)/10,0)*10,[1]Hugst!$R$4:$W$4,0))))</f>
        <v>0</v>
      </c>
      <c r="AJ299">
        <f>IF($C299-AJ$1&lt;År1,0,AI298*(1-VLOOKUP($A299,[1]Hugst!$R$5:$W$9,MATCH(ROUNDUP((AJ$1)/10,0)*10,[1]Hugst!$R$4:$W$4,0))))</f>
        <v>0</v>
      </c>
    </row>
    <row r="300" spans="1:36" x14ac:dyDescent="0.25">
      <c r="A300" t="s">
        <v>180</v>
      </c>
      <c r="B300" t="s">
        <v>24</v>
      </c>
      <c r="C300">
        <v>2039</v>
      </c>
      <c r="D300" cm="1">
        <f t="array" ref="D300">(IF(B300="Vestdanmark",Skovbrug!$C$22-(Skovbrug!$C$22)*(1-Skovbrug!$C$9)^(C300-Skovbrug!$B$12),Skovbrug!$F$22-(Skovbrug!$F$22)*(1-Skovbrug!$C$9)^(C300-Skovbrug!$B$12)))*VLOOKUP(A300,Skovbrug!$A$13:$D$17,IF('Skovbrug-alder'!C300&lt;=År2,3,4),FALSE)
-IF(C300&gt;2020,SUM(INDEX($C$1:$D$311,MATCH(1,(2020=$C$1:$C$311)*(B300=$B$1:$B$311)*(A300=$A$1:$A$311),0),2):D299),0)</f>
        <v>0</v>
      </c>
      <c r="E300">
        <f t="shared" ca="1" si="7"/>
        <v>0</v>
      </c>
      <c r="F300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>
        <f ca="1">IF($C300-G$1&lt;År1,0,F299*(1-VLOOKUP($A300,[1]Hugst!$R$5:$W$9,MATCH(ROUNDUP((G$1)/10,0)*10,[1]Hugst!$R$4:$W$4,0))))</f>
        <v>0</v>
      </c>
      <c r="H300">
        <f ca="1">IF($C300-H$1&lt;År1,0,G299*(1-VLOOKUP($A300,[1]Hugst!$R$5:$W$9,MATCH(ROUNDUP((H$1)/10,0)*10,[1]Hugst!$R$4:$W$4,0))))</f>
        <v>0</v>
      </c>
      <c r="I300">
        <f ca="1">IF($C300-I$1&lt;År1,0,H299*(1-VLOOKUP($A300,[1]Hugst!$R$5:$W$9,MATCH(ROUNDUP((I$1)/10,0)*10,[1]Hugst!$R$4:$W$4,0))))</f>
        <v>0</v>
      </c>
      <c r="J300">
        <f ca="1">IF($C300-J$1&lt;År1,0,I299*(1-VLOOKUP($A300,[1]Hugst!$R$5:$W$9,MATCH(ROUNDUP((J$1)/10,0)*10,[1]Hugst!$R$4:$W$4,0))))</f>
        <v>0</v>
      </c>
      <c r="K300">
        <f ca="1">IF($C300-K$1&lt;År1,0,J299*(1-VLOOKUP($A300,[1]Hugst!$R$5:$W$9,MATCH(ROUNDUP((K$1)/10,0)*10,[1]Hugst!$R$4:$W$4,0))))</f>
        <v>0</v>
      </c>
      <c r="L300">
        <f ca="1">IF($C300-L$1&lt;År1,0,K299*(1-VLOOKUP($A300,[1]Hugst!$R$5:$W$9,MATCH(ROUNDUP((L$1)/10,0)*10,[1]Hugst!$R$4:$W$4,0))))</f>
        <v>0</v>
      </c>
      <c r="M300">
        <f ca="1">IF($C300-M$1&lt;År1,0,L299*(1-VLOOKUP($A300,[1]Hugst!$R$5:$W$9,MATCH(ROUNDUP((M$1)/10,0)*10,[1]Hugst!$R$4:$W$4,0))))</f>
        <v>0</v>
      </c>
      <c r="N300">
        <f ca="1">IF($C300-N$1&lt;År1,0,M299*(1-VLOOKUP($A300,[1]Hugst!$R$5:$W$9,MATCH(ROUNDUP((N$1)/10,0)*10,[1]Hugst!$R$4:$W$4,0))))</f>
        <v>0</v>
      </c>
      <c r="O300">
        <f ca="1">IF($C300-O$1&lt;År1,0,N299*(1-VLOOKUP($A300,[1]Hugst!$R$5:$W$9,MATCH(ROUNDUP((O$1)/10,0)*10,[1]Hugst!$R$4:$W$4,0))))</f>
        <v>0</v>
      </c>
      <c r="P300">
        <f ca="1">IF($C300-P$1&lt;År1,0,O299*(1-VLOOKUP($A300,[1]Hugst!$R$5:$W$9,MATCH(ROUNDUP((P$1)/10,0)*10,[1]Hugst!$R$4:$W$4,0))))</f>
        <v>0</v>
      </c>
      <c r="Q300">
        <f ca="1">IF($C300-Q$1&lt;År1,0,P299*(1-VLOOKUP($A300,[1]Hugst!$R$5:$W$9,MATCH(ROUNDUP((Q$1)/10,0)*10,[1]Hugst!$R$4:$W$4,0))))</f>
        <v>0</v>
      </c>
      <c r="R300">
        <f ca="1">IF($C300-R$1&lt;År1,0,Q299*(1-VLOOKUP($A300,[1]Hugst!$R$5:$W$9,MATCH(ROUNDUP((R$1)/10,0)*10,[1]Hugst!$R$4:$W$4,0))))</f>
        <v>0</v>
      </c>
      <c r="S300">
        <f ca="1">IF($C300-S$1&lt;År1,0,R299*(1-VLOOKUP($A300,[1]Hugst!$R$5:$W$9,MATCH(ROUNDUP((S$1)/10,0)*10,[1]Hugst!$R$4:$W$4,0))))</f>
        <v>0</v>
      </c>
      <c r="T300">
        <f ca="1">IF($C300-T$1&lt;År1,0,S299*(1-VLOOKUP($A300,[1]Hugst!$R$5:$W$9,MATCH(ROUNDUP((T$1)/10,0)*10,[1]Hugst!$R$4:$W$4,0))))</f>
        <v>0</v>
      </c>
      <c r="U300">
        <f ca="1">IF($C300-U$1&lt;År1,0,T299*(1-VLOOKUP($A300,[1]Hugst!$R$5:$W$9,MATCH(ROUNDUP((U$1)/10,0)*10,[1]Hugst!$R$4:$W$4,0))))</f>
        <v>0</v>
      </c>
      <c r="V300">
        <f ca="1">IF($C300-V$1&lt;År1,0,U299*(1-VLOOKUP($A300,[1]Hugst!$R$5:$W$9,MATCH(ROUNDUP((V$1)/10,0)*10,[1]Hugst!$R$4:$W$4,0))))</f>
        <v>0</v>
      </c>
      <c r="W300">
        <f ca="1">IF($C300-W$1&lt;År1,0,V299*(1-VLOOKUP($A300,[1]Hugst!$R$5:$W$9,MATCH(ROUNDUP((W$1)/10,0)*10,[1]Hugst!$R$4:$W$4,0))))</f>
        <v>0</v>
      </c>
      <c r="X300">
        <f ca="1">IF($C300-X$1&lt;År1,0,W299*(1-VLOOKUP($A300,[1]Hugst!$R$5:$W$9,MATCH(ROUNDUP((X$1)/10,0)*10,[1]Hugst!$R$4:$W$4,0))))</f>
        <v>0</v>
      </c>
      <c r="Y300">
        <f ca="1">IF($C300-Y$1&lt;År1,0,X299*(1-VLOOKUP($A300,[1]Hugst!$R$5:$W$9,MATCH(ROUNDUP((Y$1)/10,0)*10,[1]Hugst!$R$4:$W$4,0))))</f>
        <v>0</v>
      </c>
      <c r="Z300">
        <f>IF($C300-Z$1&lt;År1,0,Y299*(1-VLOOKUP($A300,[1]Hugst!$R$5:$W$9,MATCH(ROUNDUP((Z$1)/10,0)*10,[1]Hugst!$R$4:$W$4,0))))</f>
        <v>0</v>
      </c>
      <c r="AA300">
        <f>IF($C300-AA$1&lt;År1,0,Z299*(1-VLOOKUP($A300,[1]Hugst!$R$5:$W$9,MATCH(ROUNDUP((AA$1)/10,0)*10,[1]Hugst!$R$4:$W$4,0))))</f>
        <v>0</v>
      </c>
      <c r="AB300">
        <f>IF($C300-AB$1&lt;År1,0,AA299*(1-VLOOKUP($A300,[1]Hugst!$R$5:$W$9,MATCH(ROUNDUP((AB$1)/10,0)*10,[1]Hugst!$R$4:$W$4,0))))</f>
        <v>0</v>
      </c>
      <c r="AC300">
        <f>IF($C300-AC$1&lt;År1,0,AB299*(1-VLOOKUP($A300,[1]Hugst!$R$5:$W$9,MATCH(ROUNDUP((AC$1)/10,0)*10,[1]Hugst!$R$4:$W$4,0))))</f>
        <v>0</v>
      </c>
      <c r="AD300">
        <f>IF($C300-AD$1&lt;År1,0,AC299*(1-VLOOKUP($A300,[1]Hugst!$R$5:$W$9,MATCH(ROUNDUP((AD$1)/10,0)*10,[1]Hugst!$R$4:$W$4,0))))</f>
        <v>0</v>
      </c>
      <c r="AE300">
        <f>IF($C300-AE$1&lt;År1,0,AD299*(1-VLOOKUP($A300,[1]Hugst!$R$5:$W$9,MATCH(ROUNDUP((AE$1)/10,0)*10,[1]Hugst!$R$4:$W$4,0))))</f>
        <v>0</v>
      </c>
      <c r="AF300">
        <f>IF($C300-AF$1&lt;År1,0,AE299*(1-VLOOKUP($A300,[1]Hugst!$R$5:$W$9,MATCH(ROUNDUP((AF$1)/10,0)*10,[1]Hugst!$R$4:$W$4,0))))</f>
        <v>0</v>
      </c>
      <c r="AG300">
        <f>IF($C300-AG$1&lt;År1,0,AF299*(1-VLOOKUP($A300,[1]Hugst!$R$5:$W$9,MATCH(ROUNDUP((AG$1)/10,0)*10,[1]Hugst!$R$4:$W$4,0))))</f>
        <v>0</v>
      </c>
      <c r="AH300">
        <f>IF($C300-AH$1&lt;År1,0,AG299*(1-VLOOKUP($A300,[1]Hugst!$R$5:$W$9,MATCH(ROUNDUP((AH$1)/10,0)*10,[1]Hugst!$R$4:$W$4,0))))</f>
        <v>0</v>
      </c>
      <c r="AI300">
        <f>IF($C300-AI$1&lt;År1,0,AH299*(1-VLOOKUP($A300,[1]Hugst!$R$5:$W$9,MATCH(ROUNDUP((AI$1)/10,0)*10,[1]Hugst!$R$4:$W$4,0))))</f>
        <v>0</v>
      </c>
      <c r="AJ300">
        <f>IF($C300-AJ$1&lt;År1,0,AI299*(1-VLOOKUP($A300,[1]Hugst!$R$5:$W$9,MATCH(ROUNDUP((AJ$1)/10,0)*10,[1]Hugst!$R$4:$W$4,0))))</f>
        <v>0</v>
      </c>
    </row>
    <row r="301" spans="1:36" x14ac:dyDescent="0.25">
      <c r="A301" t="s">
        <v>180</v>
      </c>
      <c r="B301" t="s">
        <v>24</v>
      </c>
      <c r="C301">
        <v>2040</v>
      </c>
      <c r="D301" cm="1">
        <f t="array" ref="D301">(IF(B301="Vestdanmark",Skovbrug!$C$22-(Skovbrug!$C$22)*(1-Skovbrug!$C$9)^(C301-Skovbrug!$B$12),Skovbrug!$F$22-(Skovbrug!$F$22)*(1-Skovbrug!$C$9)^(C301-Skovbrug!$B$12)))*VLOOKUP(A301,Skovbrug!$A$13:$D$17,IF('Skovbrug-alder'!C301&lt;=År2,3,4),FALSE)
-IF(C301&gt;2020,SUM(INDEX($C$1:$D$311,MATCH(1,(2020=$C$1:$C$311)*(B301=$B$1:$B$311)*(A301=$A$1:$A$311),0),2):D300),0)</f>
        <v>0</v>
      </c>
      <c r="E301">
        <f t="shared" ca="1" si="7"/>
        <v>0</v>
      </c>
      <c r="F301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>
        <f ca="1">IF($C301-G$1&lt;År1,0,F300*(1-VLOOKUP($A301,[1]Hugst!$R$5:$W$9,MATCH(ROUNDUP((G$1)/10,0)*10,[1]Hugst!$R$4:$W$4,0))))</f>
        <v>0</v>
      </c>
      <c r="H301">
        <f ca="1">IF($C301-H$1&lt;År1,0,G300*(1-VLOOKUP($A301,[1]Hugst!$R$5:$W$9,MATCH(ROUNDUP((H$1)/10,0)*10,[1]Hugst!$R$4:$W$4,0))))</f>
        <v>0</v>
      </c>
      <c r="I301">
        <f ca="1">IF($C301-I$1&lt;År1,0,H300*(1-VLOOKUP($A301,[1]Hugst!$R$5:$W$9,MATCH(ROUNDUP((I$1)/10,0)*10,[1]Hugst!$R$4:$W$4,0))))</f>
        <v>0</v>
      </c>
      <c r="J301">
        <f ca="1">IF($C301-J$1&lt;År1,0,I300*(1-VLOOKUP($A301,[1]Hugst!$R$5:$W$9,MATCH(ROUNDUP((J$1)/10,0)*10,[1]Hugst!$R$4:$W$4,0))))</f>
        <v>0</v>
      </c>
      <c r="K301">
        <f ca="1">IF($C301-K$1&lt;År1,0,J300*(1-VLOOKUP($A301,[1]Hugst!$R$5:$W$9,MATCH(ROUNDUP((K$1)/10,0)*10,[1]Hugst!$R$4:$W$4,0))))</f>
        <v>0</v>
      </c>
      <c r="L301">
        <f ca="1">IF($C301-L$1&lt;År1,0,K300*(1-VLOOKUP($A301,[1]Hugst!$R$5:$W$9,MATCH(ROUNDUP((L$1)/10,0)*10,[1]Hugst!$R$4:$W$4,0))))</f>
        <v>0</v>
      </c>
      <c r="M301">
        <f ca="1">IF($C301-M$1&lt;År1,0,L300*(1-VLOOKUP($A301,[1]Hugst!$R$5:$W$9,MATCH(ROUNDUP((M$1)/10,0)*10,[1]Hugst!$R$4:$W$4,0))))</f>
        <v>0</v>
      </c>
      <c r="N301">
        <f ca="1">IF($C301-N$1&lt;År1,0,M300*(1-VLOOKUP($A301,[1]Hugst!$R$5:$W$9,MATCH(ROUNDUP((N$1)/10,0)*10,[1]Hugst!$R$4:$W$4,0))))</f>
        <v>0</v>
      </c>
      <c r="O301">
        <f ca="1">IF($C301-O$1&lt;År1,0,N300*(1-VLOOKUP($A301,[1]Hugst!$R$5:$W$9,MATCH(ROUNDUP((O$1)/10,0)*10,[1]Hugst!$R$4:$W$4,0))))</f>
        <v>0</v>
      </c>
      <c r="P301">
        <f ca="1">IF($C301-P$1&lt;År1,0,O300*(1-VLOOKUP($A301,[1]Hugst!$R$5:$W$9,MATCH(ROUNDUP((P$1)/10,0)*10,[1]Hugst!$R$4:$W$4,0))))</f>
        <v>0</v>
      </c>
      <c r="Q301">
        <f ca="1">IF($C301-Q$1&lt;År1,0,P300*(1-VLOOKUP($A301,[1]Hugst!$R$5:$W$9,MATCH(ROUNDUP((Q$1)/10,0)*10,[1]Hugst!$R$4:$W$4,0))))</f>
        <v>0</v>
      </c>
      <c r="R301">
        <f ca="1">IF($C301-R$1&lt;År1,0,Q300*(1-VLOOKUP($A301,[1]Hugst!$R$5:$W$9,MATCH(ROUNDUP((R$1)/10,0)*10,[1]Hugst!$R$4:$W$4,0))))</f>
        <v>0</v>
      </c>
      <c r="S301">
        <f ca="1">IF($C301-S$1&lt;År1,0,R300*(1-VLOOKUP($A301,[1]Hugst!$R$5:$W$9,MATCH(ROUNDUP((S$1)/10,0)*10,[1]Hugst!$R$4:$W$4,0))))</f>
        <v>0</v>
      </c>
      <c r="T301">
        <f ca="1">IF($C301-T$1&lt;År1,0,S300*(1-VLOOKUP($A301,[1]Hugst!$R$5:$W$9,MATCH(ROUNDUP((T$1)/10,0)*10,[1]Hugst!$R$4:$W$4,0))))</f>
        <v>0</v>
      </c>
      <c r="U301">
        <f ca="1">IF($C301-U$1&lt;År1,0,T300*(1-VLOOKUP($A301,[1]Hugst!$R$5:$W$9,MATCH(ROUNDUP((U$1)/10,0)*10,[1]Hugst!$R$4:$W$4,0))))</f>
        <v>0</v>
      </c>
      <c r="V301">
        <f ca="1">IF($C301-V$1&lt;År1,0,U300*(1-VLOOKUP($A301,[1]Hugst!$R$5:$W$9,MATCH(ROUNDUP((V$1)/10,0)*10,[1]Hugst!$R$4:$W$4,0))))</f>
        <v>0</v>
      </c>
      <c r="W301">
        <f ca="1">IF($C301-W$1&lt;År1,0,V300*(1-VLOOKUP($A301,[1]Hugst!$R$5:$W$9,MATCH(ROUNDUP((W$1)/10,0)*10,[1]Hugst!$R$4:$W$4,0))))</f>
        <v>0</v>
      </c>
      <c r="X301">
        <f ca="1">IF($C301-X$1&lt;År1,0,W300*(1-VLOOKUP($A301,[1]Hugst!$R$5:$W$9,MATCH(ROUNDUP((X$1)/10,0)*10,[1]Hugst!$R$4:$W$4,0))))</f>
        <v>0</v>
      </c>
      <c r="Y301">
        <f ca="1">IF($C301-Y$1&lt;År1,0,X300*(1-VLOOKUP($A301,[1]Hugst!$R$5:$W$9,MATCH(ROUNDUP((Y$1)/10,0)*10,[1]Hugst!$R$4:$W$4,0))))</f>
        <v>0</v>
      </c>
      <c r="Z301">
        <f ca="1">IF($C301-Z$1&lt;År1,0,Y300*(1-VLOOKUP($A301,[1]Hugst!$R$5:$W$9,MATCH(ROUNDUP((Z$1)/10,0)*10,[1]Hugst!$R$4:$W$4,0))))</f>
        <v>0</v>
      </c>
      <c r="AA301">
        <f>IF($C301-AA$1&lt;År1,0,Z300*(1-VLOOKUP($A301,[1]Hugst!$R$5:$W$9,MATCH(ROUNDUP((AA$1)/10,0)*10,[1]Hugst!$R$4:$W$4,0))))</f>
        <v>0</v>
      </c>
      <c r="AB301">
        <f>IF($C301-AB$1&lt;År1,0,AA300*(1-VLOOKUP($A301,[1]Hugst!$R$5:$W$9,MATCH(ROUNDUP((AB$1)/10,0)*10,[1]Hugst!$R$4:$W$4,0))))</f>
        <v>0</v>
      </c>
      <c r="AC301">
        <f>IF($C301-AC$1&lt;År1,0,AB300*(1-VLOOKUP($A301,[1]Hugst!$R$5:$W$9,MATCH(ROUNDUP((AC$1)/10,0)*10,[1]Hugst!$R$4:$W$4,0))))</f>
        <v>0</v>
      </c>
      <c r="AD301">
        <f>IF($C301-AD$1&lt;År1,0,AC300*(1-VLOOKUP($A301,[1]Hugst!$R$5:$W$9,MATCH(ROUNDUP((AD$1)/10,0)*10,[1]Hugst!$R$4:$W$4,0))))</f>
        <v>0</v>
      </c>
      <c r="AE301">
        <f>IF($C301-AE$1&lt;År1,0,AD300*(1-VLOOKUP($A301,[1]Hugst!$R$5:$W$9,MATCH(ROUNDUP((AE$1)/10,0)*10,[1]Hugst!$R$4:$W$4,0))))</f>
        <v>0</v>
      </c>
      <c r="AF301">
        <f>IF($C301-AF$1&lt;År1,0,AE300*(1-VLOOKUP($A301,[1]Hugst!$R$5:$W$9,MATCH(ROUNDUP((AF$1)/10,0)*10,[1]Hugst!$R$4:$W$4,0))))</f>
        <v>0</v>
      </c>
      <c r="AG301">
        <f>IF($C301-AG$1&lt;År1,0,AF300*(1-VLOOKUP($A301,[1]Hugst!$R$5:$W$9,MATCH(ROUNDUP((AG$1)/10,0)*10,[1]Hugst!$R$4:$W$4,0))))</f>
        <v>0</v>
      </c>
      <c r="AH301">
        <f>IF($C301-AH$1&lt;År1,0,AG300*(1-VLOOKUP($A301,[1]Hugst!$R$5:$W$9,MATCH(ROUNDUP((AH$1)/10,0)*10,[1]Hugst!$R$4:$W$4,0))))</f>
        <v>0</v>
      </c>
      <c r="AI301">
        <f>IF($C301-AI$1&lt;År1,0,AH300*(1-VLOOKUP($A301,[1]Hugst!$R$5:$W$9,MATCH(ROUNDUP((AI$1)/10,0)*10,[1]Hugst!$R$4:$W$4,0))))</f>
        <v>0</v>
      </c>
      <c r="AJ301">
        <f>IF($C301-AJ$1&lt;År1,0,AI300*(1-VLOOKUP($A301,[1]Hugst!$R$5:$W$9,MATCH(ROUNDUP((AJ$1)/10,0)*10,[1]Hugst!$R$4:$W$4,0))))</f>
        <v>0</v>
      </c>
    </row>
    <row r="302" spans="1:36" x14ac:dyDescent="0.25">
      <c r="A302" t="s">
        <v>180</v>
      </c>
      <c r="B302" t="s">
        <v>24</v>
      </c>
      <c r="C302">
        <v>2041</v>
      </c>
      <c r="D302" cm="1">
        <f t="array" ref="D302">(IF(B302="Vestdanmark",Skovbrug!$C$22-(Skovbrug!$C$22)*(1-Skovbrug!$C$9)^(C302-Skovbrug!$B$12),Skovbrug!$F$22-(Skovbrug!$F$22)*(1-Skovbrug!$C$9)^(C302-Skovbrug!$B$12)))*VLOOKUP(A302,Skovbrug!$A$13:$D$17,IF('Skovbrug-alder'!C302&lt;=År2,3,4),FALSE)
-IF(C302&gt;2020,SUM(INDEX($C$1:$D$311,MATCH(1,(2020=$C$1:$C$311)*(B302=$B$1:$B$311)*(A302=$A$1:$A$311),0),2):D301),0)</f>
        <v>0</v>
      </c>
      <c r="E302">
        <f t="shared" ca="1" si="7"/>
        <v>0</v>
      </c>
      <c r="F302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>
        <f ca="1">IF($C302-G$1&lt;År1,0,F301*(1-VLOOKUP($A302,[1]Hugst!$R$5:$W$9,MATCH(ROUNDUP((G$1)/10,0)*10,[1]Hugst!$R$4:$W$4,0))))</f>
        <v>0</v>
      </c>
      <c r="H302">
        <f ca="1">IF($C302-H$1&lt;År1,0,G301*(1-VLOOKUP($A302,[1]Hugst!$R$5:$W$9,MATCH(ROUNDUP((H$1)/10,0)*10,[1]Hugst!$R$4:$W$4,0))))</f>
        <v>0</v>
      </c>
      <c r="I302">
        <f ca="1">IF($C302-I$1&lt;År1,0,H301*(1-VLOOKUP($A302,[1]Hugst!$R$5:$W$9,MATCH(ROUNDUP((I$1)/10,0)*10,[1]Hugst!$R$4:$W$4,0))))</f>
        <v>0</v>
      </c>
      <c r="J302">
        <f ca="1">IF($C302-J$1&lt;År1,0,I301*(1-VLOOKUP($A302,[1]Hugst!$R$5:$W$9,MATCH(ROUNDUP((J$1)/10,0)*10,[1]Hugst!$R$4:$W$4,0))))</f>
        <v>0</v>
      </c>
      <c r="K302">
        <f ca="1">IF($C302-K$1&lt;År1,0,J301*(1-VLOOKUP($A302,[1]Hugst!$R$5:$W$9,MATCH(ROUNDUP((K$1)/10,0)*10,[1]Hugst!$R$4:$W$4,0))))</f>
        <v>0</v>
      </c>
      <c r="L302">
        <f ca="1">IF($C302-L$1&lt;År1,0,K301*(1-VLOOKUP($A302,[1]Hugst!$R$5:$W$9,MATCH(ROUNDUP((L$1)/10,0)*10,[1]Hugst!$R$4:$W$4,0))))</f>
        <v>0</v>
      </c>
      <c r="M302">
        <f ca="1">IF($C302-M$1&lt;År1,0,L301*(1-VLOOKUP($A302,[1]Hugst!$R$5:$W$9,MATCH(ROUNDUP((M$1)/10,0)*10,[1]Hugst!$R$4:$W$4,0))))</f>
        <v>0</v>
      </c>
      <c r="N302">
        <f ca="1">IF($C302-N$1&lt;År1,0,M301*(1-VLOOKUP($A302,[1]Hugst!$R$5:$W$9,MATCH(ROUNDUP((N$1)/10,0)*10,[1]Hugst!$R$4:$W$4,0))))</f>
        <v>0</v>
      </c>
      <c r="O302">
        <f ca="1">IF($C302-O$1&lt;År1,0,N301*(1-VLOOKUP($A302,[1]Hugst!$R$5:$W$9,MATCH(ROUNDUP((O$1)/10,0)*10,[1]Hugst!$R$4:$W$4,0))))</f>
        <v>0</v>
      </c>
      <c r="P302">
        <f ca="1">IF($C302-P$1&lt;År1,0,O301*(1-VLOOKUP($A302,[1]Hugst!$R$5:$W$9,MATCH(ROUNDUP((P$1)/10,0)*10,[1]Hugst!$R$4:$W$4,0))))</f>
        <v>0</v>
      </c>
      <c r="Q302">
        <f ca="1">IF($C302-Q$1&lt;År1,0,P301*(1-VLOOKUP($A302,[1]Hugst!$R$5:$W$9,MATCH(ROUNDUP((Q$1)/10,0)*10,[1]Hugst!$R$4:$W$4,0))))</f>
        <v>0</v>
      </c>
      <c r="R302">
        <f ca="1">IF($C302-R$1&lt;År1,0,Q301*(1-VLOOKUP($A302,[1]Hugst!$R$5:$W$9,MATCH(ROUNDUP((R$1)/10,0)*10,[1]Hugst!$R$4:$W$4,0))))</f>
        <v>0</v>
      </c>
      <c r="S302">
        <f ca="1">IF($C302-S$1&lt;År1,0,R301*(1-VLOOKUP($A302,[1]Hugst!$R$5:$W$9,MATCH(ROUNDUP((S$1)/10,0)*10,[1]Hugst!$R$4:$W$4,0))))</f>
        <v>0</v>
      </c>
      <c r="T302">
        <f ca="1">IF($C302-T$1&lt;År1,0,S301*(1-VLOOKUP($A302,[1]Hugst!$R$5:$W$9,MATCH(ROUNDUP((T$1)/10,0)*10,[1]Hugst!$R$4:$W$4,0))))</f>
        <v>0</v>
      </c>
      <c r="U302">
        <f ca="1">IF($C302-U$1&lt;År1,0,T301*(1-VLOOKUP($A302,[1]Hugst!$R$5:$W$9,MATCH(ROUNDUP((U$1)/10,0)*10,[1]Hugst!$R$4:$W$4,0))))</f>
        <v>0</v>
      </c>
      <c r="V302">
        <f ca="1">IF($C302-V$1&lt;År1,0,U301*(1-VLOOKUP($A302,[1]Hugst!$R$5:$W$9,MATCH(ROUNDUP((V$1)/10,0)*10,[1]Hugst!$R$4:$W$4,0))))</f>
        <v>0</v>
      </c>
      <c r="W302">
        <f ca="1">IF($C302-W$1&lt;År1,0,V301*(1-VLOOKUP($A302,[1]Hugst!$R$5:$W$9,MATCH(ROUNDUP((W$1)/10,0)*10,[1]Hugst!$R$4:$W$4,0))))</f>
        <v>0</v>
      </c>
      <c r="X302">
        <f ca="1">IF($C302-X$1&lt;År1,0,W301*(1-VLOOKUP($A302,[1]Hugst!$R$5:$W$9,MATCH(ROUNDUP((X$1)/10,0)*10,[1]Hugst!$R$4:$W$4,0))))</f>
        <v>0</v>
      </c>
      <c r="Y302">
        <f ca="1">IF($C302-Y$1&lt;År1,0,X301*(1-VLOOKUP($A302,[1]Hugst!$R$5:$W$9,MATCH(ROUNDUP((Y$1)/10,0)*10,[1]Hugst!$R$4:$W$4,0))))</f>
        <v>0</v>
      </c>
      <c r="Z302">
        <f ca="1">IF($C302-Z$1&lt;År1,0,Y301*(1-VLOOKUP($A302,[1]Hugst!$R$5:$W$9,MATCH(ROUNDUP((Z$1)/10,0)*10,[1]Hugst!$R$4:$W$4,0))))</f>
        <v>0</v>
      </c>
      <c r="AA302">
        <f ca="1">IF($C302-AA$1&lt;År1,0,Z301*(1-VLOOKUP($A302,[1]Hugst!$R$5:$W$9,MATCH(ROUNDUP((AA$1)/10,0)*10,[1]Hugst!$R$4:$W$4,0))))</f>
        <v>0</v>
      </c>
      <c r="AB302">
        <f>IF($C302-AB$1&lt;År1,0,AA301*(1-VLOOKUP($A302,[1]Hugst!$R$5:$W$9,MATCH(ROUNDUP((AB$1)/10,0)*10,[1]Hugst!$R$4:$W$4,0))))</f>
        <v>0</v>
      </c>
      <c r="AC302">
        <f>IF($C302-AC$1&lt;År1,0,AB301*(1-VLOOKUP($A302,[1]Hugst!$R$5:$W$9,MATCH(ROUNDUP((AC$1)/10,0)*10,[1]Hugst!$R$4:$W$4,0))))</f>
        <v>0</v>
      </c>
      <c r="AD302">
        <f>IF($C302-AD$1&lt;År1,0,AC301*(1-VLOOKUP($A302,[1]Hugst!$R$5:$W$9,MATCH(ROUNDUP((AD$1)/10,0)*10,[1]Hugst!$R$4:$W$4,0))))</f>
        <v>0</v>
      </c>
      <c r="AE302">
        <f>IF($C302-AE$1&lt;År1,0,AD301*(1-VLOOKUP($A302,[1]Hugst!$R$5:$W$9,MATCH(ROUNDUP((AE$1)/10,0)*10,[1]Hugst!$R$4:$W$4,0))))</f>
        <v>0</v>
      </c>
      <c r="AF302">
        <f>IF($C302-AF$1&lt;År1,0,AE301*(1-VLOOKUP($A302,[1]Hugst!$R$5:$W$9,MATCH(ROUNDUP((AF$1)/10,0)*10,[1]Hugst!$R$4:$W$4,0))))</f>
        <v>0</v>
      </c>
      <c r="AG302">
        <f>IF($C302-AG$1&lt;År1,0,AF301*(1-VLOOKUP($A302,[1]Hugst!$R$5:$W$9,MATCH(ROUNDUP((AG$1)/10,0)*10,[1]Hugst!$R$4:$W$4,0))))</f>
        <v>0</v>
      </c>
      <c r="AH302">
        <f>IF($C302-AH$1&lt;År1,0,AG301*(1-VLOOKUP($A302,[1]Hugst!$R$5:$W$9,MATCH(ROUNDUP((AH$1)/10,0)*10,[1]Hugst!$R$4:$W$4,0))))</f>
        <v>0</v>
      </c>
      <c r="AI302">
        <f>IF($C302-AI$1&lt;År1,0,AH301*(1-VLOOKUP($A302,[1]Hugst!$R$5:$W$9,MATCH(ROUNDUP((AI$1)/10,0)*10,[1]Hugst!$R$4:$W$4,0))))</f>
        <v>0</v>
      </c>
      <c r="AJ302">
        <f>IF($C302-AJ$1&lt;År1,0,AI301*(1-VLOOKUP($A302,[1]Hugst!$R$5:$W$9,MATCH(ROUNDUP((AJ$1)/10,0)*10,[1]Hugst!$R$4:$W$4,0))))</f>
        <v>0</v>
      </c>
    </row>
    <row r="303" spans="1:36" x14ac:dyDescent="0.25">
      <c r="A303" t="s">
        <v>180</v>
      </c>
      <c r="B303" t="s">
        <v>24</v>
      </c>
      <c r="C303">
        <v>2042</v>
      </c>
      <c r="D303" cm="1">
        <f t="array" ref="D303">(IF(B303="Vestdanmark",Skovbrug!$C$22-(Skovbrug!$C$22)*(1-Skovbrug!$C$9)^(C303-Skovbrug!$B$12),Skovbrug!$F$22-(Skovbrug!$F$22)*(1-Skovbrug!$C$9)^(C303-Skovbrug!$B$12)))*VLOOKUP(A303,Skovbrug!$A$13:$D$17,IF('Skovbrug-alder'!C303&lt;=År2,3,4),FALSE)
-IF(C303&gt;2020,SUM(INDEX($C$1:$D$311,MATCH(1,(2020=$C$1:$C$311)*(B303=$B$1:$B$311)*(A303=$A$1:$A$311),0),2):D302),0)</f>
        <v>0</v>
      </c>
      <c r="E303">
        <f t="shared" ca="1" si="7"/>
        <v>0</v>
      </c>
      <c r="F303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>
        <f ca="1">IF($C303-G$1&lt;År1,0,F302*(1-VLOOKUP($A303,[1]Hugst!$R$5:$W$9,MATCH(ROUNDUP((G$1)/10,0)*10,[1]Hugst!$R$4:$W$4,0))))</f>
        <v>0</v>
      </c>
      <c r="H303">
        <f ca="1">IF($C303-H$1&lt;År1,0,G302*(1-VLOOKUP($A303,[1]Hugst!$R$5:$W$9,MATCH(ROUNDUP((H$1)/10,0)*10,[1]Hugst!$R$4:$W$4,0))))</f>
        <v>0</v>
      </c>
      <c r="I303">
        <f ca="1">IF($C303-I$1&lt;År1,0,H302*(1-VLOOKUP($A303,[1]Hugst!$R$5:$W$9,MATCH(ROUNDUP((I$1)/10,0)*10,[1]Hugst!$R$4:$W$4,0))))</f>
        <v>0</v>
      </c>
      <c r="J303">
        <f ca="1">IF($C303-J$1&lt;År1,0,I302*(1-VLOOKUP($A303,[1]Hugst!$R$5:$W$9,MATCH(ROUNDUP((J$1)/10,0)*10,[1]Hugst!$R$4:$W$4,0))))</f>
        <v>0</v>
      </c>
      <c r="K303">
        <f ca="1">IF($C303-K$1&lt;År1,0,J302*(1-VLOOKUP($A303,[1]Hugst!$R$5:$W$9,MATCH(ROUNDUP((K$1)/10,0)*10,[1]Hugst!$R$4:$W$4,0))))</f>
        <v>0</v>
      </c>
      <c r="L303">
        <f ca="1">IF($C303-L$1&lt;År1,0,K302*(1-VLOOKUP($A303,[1]Hugst!$R$5:$W$9,MATCH(ROUNDUP((L$1)/10,0)*10,[1]Hugst!$R$4:$W$4,0))))</f>
        <v>0</v>
      </c>
      <c r="M303">
        <f ca="1">IF($C303-M$1&lt;År1,0,L302*(1-VLOOKUP($A303,[1]Hugst!$R$5:$W$9,MATCH(ROUNDUP((M$1)/10,0)*10,[1]Hugst!$R$4:$W$4,0))))</f>
        <v>0</v>
      </c>
      <c r="N303">
        <f ca="1">IF($C303-N$1&lt;År1,0,M302*(1-VLOOKUP($A303,[1]Hugst!$R$5:$W$9,MATCH(ROUNDUP((N$1)/10,0)*10,[1]Hugst!$R$4:$W$4,0))))</f>
        <v>0</v>
      </c>
      <c r="O303">
        <f ca="1">IF($C303-O$1&lt;År1,0,N302*(1-VLOOKUP($A303,[1]Hugst!$R$5:$W$9,MATCH(ROUNDUP((O$1)/10,0)*10,[1]Hugst!$R$4:$W$4,0))))</f>
        <v>0</v>
      </c>
      <c r="P303">
        <f ca="1">IF($C303-P$1&lt;År1,0,O302*(1-VLOOKUP($A303,[1]Hugst!$R$5:$W$9,MATCH(ROUNDUP((P$1)/10,0)*10,[1]Hugst!$R$4:$W$4,0))))</f>
        <v>0</v>
      </c>
      <c r="Q303">
        <f ca="1">IF($C303-Q$1&lt;År1,0,P302*(1-VLOOKUP($A303,[1]Hugst!$R$5:$W$9,MATCH(ROUNDUP((Q$1)/10,0)*10,[1]Hugst!$R$4:$W$4,0))))</f>
        <v>0</v>
      </c>
      <c r="R303">
        <f ca="1">IF($C303-R$1&lt;År1,0,Q302*(1-VLOOKUP($A303,[1]Hugst!$R$5:$W$9,MATCH(ROUNDUP((R$1)/10,0)*10,[1]Hugst!$R$4:$W$4,0))))</f>
        <v>0</v>
      </c>
      <c r="S303">
        <f ca="1">IF($C303-S$1&lt;År1,0,R302*(1-VLOOKUP($A303,[1]Hugst!$R$5:$W$9,MATCH(ROUNDUP((S$1)/10,0)*10,[1]Hugst!$R$4:$W$4,0))))</f>
        <v>0</v>
      </c>
      <c r="T303">
        <f ca="1">IF($C303-T$1&lt;År1,0,S302*(1-VLOOKUP($A303,[1]Hugst!$R$5:$W$9,MATCH(ROUNDUP((T$1)/10,0)*10,[1]Hugst!$R$4:$W$4,0))))</f>
        <v>0</v>
      </c>
      <c r="U303">
        <f ca="1">IF($C303-U$1&lt;År1,0,T302*(1-VLOOKUP($A303,[1]Hugst!$R$5:$W$9,MATCH(ROUNDUP((U$1)/10,0)*10,[1]Hugst!$R$4:$W$4,0))))</f>
        <v>0</v>
      </c>
      <c r="V303">
        <f ca="1">IF($C303-V$1&lt;År1,0,U302*(1-VLOOKUP($A303,[1]Hugst!$R$5:$W$9,MATCH(ROUNDUP((V$1)/10,0)*10,[1]Hugst!$R$4:$W$4,0))))</f>
        <v>0</v>
      </c>
      <c r="W303">
        <f ca="1">IF($C303-W$1&lt;År1,0,V302*(1-VLOOKUP($A303,[1]Hugst!$R$5:$W$9,MATCH(ROUNDUP((W$1)/10,0)*10,[1]Hugst!$R$4:$W$4,0))))</f>
        <v>0</v>
      </c>
      <c r="X303">
        <f ca="1">IF($C303-X$1&lt;År1,0,W302*(1-VLOOKUP($A303,[1]Hugst!$R$5:$W$9,MATCH(ROUNDUP((X$1)/10,0)*10,[1]Hugst!$R$4:$W$4,0))))</f>
        <v>0</v>
      </c>
      <c r="Y303">
        <f ca="1">IF($C303-Y$1&lt;År1,0,X302*(1-VLOOKUP($A303,[1]Hugst!$R$5:$W$9,MATCH(ROUNDUP((Y$1)/10,0)*10,[1]Hugst!$R$4:$W$4,0))))</f>
        <v>0</v>
      </c>
      <c r="Z303">
        <f ca="1">IF($C303-Z$1&lt;År1,0,Y302*(1-VLOOKUP($A303,[1]Hugst!$R$5:$W$9,MATCH(ROUNDUP((Z$1)/10,0)*10,[1]Hugst!$R$4:$W$4,0))))</f>
        <v>0</v>
      </c>
      <c r="AA303">
        <f ca="1">IF($C303-AA$1&lt;År1,0,Z302*(1-VLOOKUP($A303,[1]Hugst!$R$5:$W$9,MATCH(ROUNDUP((AA$1)/10,0)*10,[1]Hugst!$R$4:$W$4,0))))</f>
        <v>0</v>
      </c>
      <c r="AB303">
        <f ca="1">IF($C303-AB$1&lt;År1,0,AA302*(1-VLOOKUP($A303,[1]Hugst!$R$5:$W$9,MATCH(ROUNDUP((AB$1)/10,0)*10,[1]Hugst!$R$4:$W$4,0))))</f>
        <v>0</v>
      </c>
      <c r="AC303">
        <f>IF($C303-AC$1&lt;År1,0,AB302*(1-VLOOKUP($A303,[1]Hugst!$R$5:$W$9,MATCH(ROUNDUP((AC$1)/10,0)*10,[1]Hugst!$R$4:$W$4,0))))</f>
        <v>0</v>
      </c>
      <c r="AD303">
        <f>IF($C303-AD$1&lt;År1,0,AC302*(1-VLOOKUP($A303,[1]Hugst!$R$5:$W$9,MATCH(ROUNDUP((AD$1)/10,0)*10,[1]Hugst!$R$4:$W$4,0))))</f>
        <v>0</v>
      </c>
      <c r="AE303">
        <f>IF($C303-AE$1&lt;År1,0,AD302*(1-VLOOKUP($A303,[1]Hugst!$R$5:$W$9,MATCH(ROUNDUP((AE$1)/10,0)*10,[1]Hugst!$R$4:$W$4,0))))</f>
        <v>0</v>
      </c>
      <c r="AF303">
        <f>IF($C303-AF$1&lt;År1,0,AE302*(1-VLOOKUP($A303,[1]Hugst!$R$5:$W$9,MATCH(ROUNDUP((AF$1)/10,0)*10,[1]Hugst!$R$4:$W$4,0))))</f>
        <v>0</v>
      </c>
      <c r="AG303">
        <f>IF($C303-AG$1&lt;År1,0,AF302*(1-VLOOKUP($A303,[1]Hugst!$R$5:$W$9,MATCH(ROUNDUP((AG$1)/10,0)*10,[1]Hugst!$R$4:$W$4,0))))</f>
        <v>0</v>
      </c>
      <c r="AH303">
        <f>IF($C303-AH$1&lt;År1,0,AG302*(1-VLOOKUP($A303,[1]Hugst!$R$5:$W$9,MATCH(ROUNDUP((AH$1)/10,0)*10,[1]Hugst!$R$4:$W$4,0))))</f>
        <v>0</v>
      </c>
      <c r="AI303">
        <f>IF($C303-AI$1&lt;År1,0,AH302*(1-VLOOKUP($A303,[1]Hugst!$R$5:$W$9,MATCH(ROUNDUP((AI$1)/10,0)*10,[1]Hugst!$R$4:$W$4,0))))</f>
        <v>0</v>
      </c>
      <c r="AJ303">
        <f>IF($C303-AJ$1&lt;År1,0,AI302*(1-VLOOKUP($A303,[1]Hugst!$R$5:$W$9,MATCH(ROUNDUP((AJ$1)/10,0)*10,[1]Hugst!$R$4:$W$4,0))))</f>
        <v>0</v>
      </c>
    </row>
    <row r="304" spans="1:36" x14ac:dyDescent="0.25">
      <c r="A304" t="s">
        <v>180</v>
      </c>
      <c r="B304" t="s">
        <v>24</v>
      </c>
      <c r="C304">
        <v>2043</v>
      </c>
      <c r="D304" cm="1">
        <f t="array" ref="D304">(IF(B304="Vestdanmark",Skovbrug!$C$22-(Skovbrug!$C$22)*(1-Skovbrug!$C$9)^(C304-Skovbrug!$B$12),Skovbrug!$F$22-(Skovbrug!$F$22)*(1-Skovbrug!$C$9)^(C304-Skovbrug!$B$12)))*VLOOKUP(A304,Skovbrug!$A$13:$D$17,IF('Skovbrug-alder'!C304&lt;=År2,3,4),FALSE)
-IF(C304&gt;2020,SUM(INDEX($C$1:$D$311,MATCH(1,(2020=$C$1:$C$311)*(B304=$B$1:$B$311)*(A304=$A$1:$A$311),0),2):D303),0)</f>
        <v>0</v>
      </c>
      <c r="E304">
        <f t="shared" ca="1" si="7"/>
        <v>0</v>
      </c>
      <c r="F304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>
        <f ca="1">IF($C304-G$1&lt;År1,0,F303*(1-VLOOKUP($A304,[1]Hugst!$R$5:$W$9,MATCH(ROUNDUP((G$1)/10,0)*10,[1]Hugst!$R$4:$W$4,0))))</f>
        <v>0</v>
      </c>
      <c r="H304">
        <f ca="1">IF($C304-H$1&lt;År1,0,G303*(1-VLOOKUP($A304,[1]Hugst!$R$5:$W$9,MATCH(ROUNDUP((H$1)/10,0)*10,[1]Hugst!$R$4:$W$4,0))))</f>
        <v>0</v>
      </c>
      <c r="I304">
        <f ca="1">IF($C304-I$1&lt;År1,0,H303*(1-VLOOKUP($A304,[1]Hugst!$R$5:$W$9,MATCH(ROUNDUP((I$1)/10,0)*10,[1]Hugst!$R$4:$W$4,0))))</f>
        <v>0</v>
      </c>
      <c r="J304">
        <f ca="1">IF($C304-J$1&lt;År1,0,I303*(1-VLOOKUP($A304,[1]Hugst!$R$5:$W$9,MATCH(ROUNDUP((J$1)/10,0)*10,[1]Hugst!$R$4:$W$4,0))))</f>
        <v>0</v>
      </c>
      <c r="K304">
        <f ca="1">IF($C304-K$1&lt;År1,0,J303*(1-VLOOKUP($A304,[1]Hugst!$R$5:$W$9,MATCH(ROUNDUP((K$1)/10,0)*10,[1]Hugst!$R$4:$W$4,0))))</f>
        <v>0</v>
      </c>
      <c r="L304">
        <f ca="1">IF($C304-L$1&lt;År1,0,K303*(1-VLOOKUP($A304,[1]Hugst!$R$5:$W$9,MATCH(ROUNDUP((L$1)/10,0)*10,[1]Hugst!$R$4:$W$4,0))))</f>
        <v>0</v>
      </c>
      <c r="M304">
        <f ca="1">IF($C304-M$1&lt;År1,0,L303*(1-VLOOKUP($A304,[1]Hugst!$R$5:$W$9,MATCH(ROUNDUP((M$1)/10,0)*10,[1]Hugst!$R$4:$W$4,0))))</f>
        <v>0</v>
      </c>
      <c r="N304">
        <f ca="1">IF($C304-N$1&lt;År1,0,M303*(1-VLOOKUP($A304,[1]Hugst!$R$5:$W$9,MATCH(ROUNDUP((N$1)/10,0)*10,[1]Hugst!$R$4:$W$4,0))))</f>
        <v>0</v>
      </c>
      <c r="O304">
        <f ca="1">IF($C304-O$1&lt;År1,0,N303*(1-VLOOKUP($A304,[1]Hugst!$R$5:$W$9,MATCH(ROUNDUP((O$1)/10,0)*10,[1]Hugst!$R$4:$W$4,0))))</f>
        <v>0</v>
      </c>
      <c r="P304">
        <f ca="1">IF($C304-P$1&lt;År1,0,O303*(1-VLOOKUP($A304,[1]Hugst!$R$5:$W$9,MATCH(ROUNDUP((P$1)/10,0)*10,[1]Hugst!$R$4:$W$4,0))))</f>
        <v>0</v>
      </c>
      <c r="Q304">
        <f ca="1">IF($C304-Q$1&lt;År1,0,P303*(1-VLOOKUP($A304,[1]Hugst!$R$5:$W$9,MATCH(ROUNDUP((Q$1)/10,0)*10,[1]Hugst!$R$4:$W$4,0))))</f>
        <v>0</v>
      </c>
      <c r="R304">
        <f ca="1">IF($C304-R$1&lt;År1,0,Q303*(1-VLOOKUP($A304,[1]Hugst!$R$5:$W$9,MATCH(ROUNDUP((R$1)/10,0)*10,[1]Hugst!$R$4:$W$4,0))))</f>
        <v>0</v>
      </c>
      <c r="S304">
        <f ca="1">IF($C304-S$1&lt;År1,0,R303*(1-VLOOKUP($A304,[1]Hugst!$R$5:$W$9,MATCH(ROUNDUP((S$1)/10,0)*10,[1]Hugst!$R$4:$W$4,0))))</f>
        <v>0</v>
      </c>
      <c r="T304">
        <f ca="1">IF($C304-T$1&lt;År1,0,S303*(1-VLOOKUP($A304,[1]Hugst!$R$5:$W$9,MATCH(ROUNDUP((T$1)/10,0)*10,[1]Hugst!$R$4:$W$4,0))))</f>
        <v>0</v>
      </c>
      <c r="U304">
        <f ca="1">IF($C304-U$1&lt;År1,0,T303*(1-VLOOKUP($A304,[1]Hugst!$R$5:$W$9,MATCH(ROUNDUP((U$1)/10,0)*10,[1]Hugst!$R$4:$W$4,0))))</f>
        <v>0</v>
      </c>
      <c r="V304">
        <f ca="1">IF($C304-V$1&lt;År1,0,U303*(1-VLOOKUP($A304,[1]Hugst!$R$5:$W$9,MATCH(ROUNDUP((V$1)/10,0)*10,[1]Hugst!$R$4:$W$4,0))))</f>
        <v>0</v>
      </c>
      <c r="W304">
        <f ca="1">IF($C304-W$1&lt;År1,0,V303*(1-VLOOKUP($A304,[1]Hugst!$R$5:$W$9,MATCH(ROUNDUP((W$1)/10,0)*10,[1]Hugst!$R$4:$W$4,0))))</f>
        <v>0</v>
      </c>
      <c r="X304">
        <f ca="1">IF($C304-X$1&lt;År1,0,W303*(1-VLOOKUP($A304,[1]Hugst!$R$5:$W$9,MATCH(ROUNDUP((X$1)/10,0)*10,[1]Hugst!$R$4:$W$4,0))))</f>
        <v>0</v>
      </c>
      <c r="Y304">
        <f ca="1">IF($C304-Y$1&lt;År1,0,X303*(1-VLOOKUP($A304,[1]Hugst!$R$5:$W$9,MATCH(ROUNDUP((Y$1)/10,0)*10,[1]Hugst!$R$4:$W$4,0))))</f>
        <v>0</v>
      </c>
      <c r="Z304">
        <f ca="1">IF($C304-Z$1&lt;År1,0,Y303*(1-VLOOKUP($A304,[1]Hugst!$R$5:$W$9,MATCH(ROUNDUP((Z$1)/10,0)*10,[1]Hugst!$R$4:$W$4,0))))</f>
        <v>0</v>
      </c>
      <c r="AA304">
        <f ca="1">IF($C304-AA$1&lt;År1,0,Z303*(1-VLOOKUP($A304,[1]Hugst!$R$5:$W$9,MATCH(ROUNDUP((AA$1)/10,0)*10,[1]Hugst!$R$4:$W$4,0))))</f>
        <v>0</v>
      </c>
      <c r="AB304">
        <f ca="1">IF($C304-AB$1&lt;År1,0,AA303*(1-VLOOKUP($A304,[1]Hugst!$R$5:$W$9,MATCH(ROUNDUP((AB$1)/10,0)*10,[1]Hugst!$R$4:$W$4,0))))</f>
        <v>0</v>
      </c>
      <c r="AC304">
        <f ca="1">IF($C304-AC$1&lt;År1,0,AB303*(1-VLOOKUP($A304,[1]Hugst!$R$5:$W$9,MATCH(ROUNDUP((AC$1)/10,0)*10,[1]Hugst!$R$4:$W$4,0))))</f>
        <v>0</v>
      </c>
      <c r="AD304">
        <f>IF($C304-AD$1&lt;År1,0,AC303*(1-VLOOKUP($A304,[1]Hugst!$R$5:$W$9,MATCH(ROUNDUP((AD$1)/10,0)*10,[1]Hugst!$R$4:$W$4,0))))</f>
        <v>0</v>
      </c>
      <c r="AE304">
        <f>IF($C304-AE$1&lt;År1,0,AD303*(1-VLOOKUP($A304,[1]Hugst!$R$5:$W$9,MATCH(ROUNDUP((AE$1)/10,0)*10,[1]Hugst!$R$4:$W$4,0))))</f>
        <v>0</v>
      </c>
      <c r="AF304">
        <f>IF($C304-AF$1&lt;År1,0,AE303*(1-VLOOKUP($A304,[1]Hugst!$R$5:$W$9,MATCH(ROUNDUP((AF$1)/10,0)*10,[1]Hugst!$R$4:$W$4,0))))</f>
        <v>0</v>
      </c>
      <c r="AG304">
        <f>IF($C304-AG$1&lt;År1,0,AF303*(1-VLOOKUP($A304,[1]Hugst!$R$5:$W$9,MATCH(ROUNDUP((AG$1)/10,0)*10,[1]Hugst!$R$4:$W$4,0))))</f>
        <v>0</v>
      </c>
      <c r="AH304">
        <f>IF($C304-AH$1&lt;År1,0,AG303*(1-VLOOKUP($A304,[1]Hugst!$R$5:$W$9,MATCH(ROUNDUP((AH$1)/10,0)*10,[1]Hugst!$R$4:$W$4,0))))</f>
        <v>0</v>
      </c>
      <c r="AI304">
        <f>IF($C304-AI$1&lt;År1,0,AH303*(1-VLOOKUP($A304,[1]Hugst!$R$5:$W$9,MATCH(ROUNDUP((AI$1)/10,0)*10,[1]Hugst!$R$4:$W$4,0))))</f>
        <v>0</v>
      </c>
      <c r="AJ304">
        <f>IF($C304-AJ$1&lt;År1,0,AI303*(1-VLOOKUP($A304,[1]Hugst!$R$5:$W$9,MATCH(ROUNDUP((AJ$1)/10,0)*10,[1]Hugst!$R$4:$W$4,0))))</f>
        <v>0</v>
      </c>
    </row>
    <row r="305" spans="1:36" x14ac:dyDescent="0.25">
      <c r="A305" t="s">
        <v>180</v>
      </c>
      <c r="B305" t="s">
        <v>24</v>
      </c>
      <c r="C305">
        <v>2044</v>
      </c>
      <c r="D305" cm="1">
        <f t="array" ref="D305">(IF(B305="Vestdanmark",Skovbrug!$C$22-(Skovbrug!$C$22)*(1-Skovbrug!$C$9)^(C305-Skovbrug!$B$12),Skovbrug!$F$22-(Skovbrug!$F$22)*(1-Skovbrug!$C$9)^(C305-Skovbrug!$B$12)))*VLOOKUP(A305,Skovbrug!$A$13:$D$17,IF('Skovbrug-alder'!C305&lt;=År2,3,4),FALSE)
-IF(C305&gt;2020,SUM(INDEX($C$1:$D$311,MATCH(1,(2020=$C$1:$C$311)*(B305=$B$1:$B$311)*(A305=$A$1:$A$311),0),2):D304),0)</f>
        <v>0</v>
      </c>
      <c r="E305">
        <f t="shared" ca="1" si="7"/>
        <v>0</v>
      </c>
      <c r="F305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>
        <f ca="1">IF($C305-G$1&lt;År1,0,F304*(1-VLOOKUP($A305,[1]Hugst!$R$5:$W$9,MATCH(ROUNDUP((G$1)/10,0)*10,[1]Hugst!$R$4:$W$4,0))))</f>
        <v>0</v>
      </c>
      <c r="H305">
        <f ca="1">IF($C305-H$1&lt;År1,0,G304*(1-VLOOKUP($A305,[1]Hugst!$R$5:$W$9,MATCH(ROUNDUP((H$1)/10,0)*10,[1]Hugst!$R$4:$W$4,0))))</f>
        <v>0</v>
      </c>
      <c r="I305">
        <f ca="1">IF($C305-I$1&lt;År1,0,H304*(1-VLOOKUP($A305,[1]Hugst!$R$5:$W$9,MATCH(ROUNDUP((I$1)/10,0)*10,[1]Hugst!$R$4:$W$4,0))))</f>
        <v>0</v>
      </c>
      <c r="J305">
        <f ca="1">IF($C305-J$1&lt;År1,0,I304*(1-VLOOKUP($A305,[1]Hugst!$R$5:$W$9,MATCH(ROUNDUP((J$1)/10,0)*10,[1]Hugst!$R$4:$W$4,0))))</f>
        <v>0</v>
      </c>
      <c r="K305">
        <f ca="1">IF($C305-K$1&lt;År1,0,J304*(1-VLOOKUP($A305,[1]Hugst!$R$5:$W$9,MATCH(ROUNDUP((K$1)/10,0)*10,[1]Hugst!$R$4:$W$4,0))))</f>
        <v>0</v>
      </c>
      <c r="L305">
        <f ca="1">IF($C305-L$1&lt;År1,0,K304*(1-VLOOKUP($A305,[1]Hugst!$R$5:$W$9,MATCH(ROUNDUP((L$1)/10,0)*10,[1]Hugst!$R$4:$W$4,0))))</f>
        <v>0</v>
      </c>
      <c r="M305">
        <f ca="1">IF($C305-M$1&lt;År1,0,L304*(1-VLOOKUP($A305,[1]Hugst!$R$5:$W$9,MATCH(ROUNDUP((M$1)/10,0)*10,[1]Hugst!$R$4:$W$4,0))))</f>
        <v>0</v>
      </c>
      <c r="N305">
        <f ca="1">IF($C305-N$1&lt;År1,0,M304*(1-VLOOKUP($A305,[1]Hugst!$R$5:$W$9,MATCH(ROUNDUP((N$1)/10,0)*10,[1]Hugst!$R$4:$W$4,0))))</f>
        <v>0</v>
      </c>
      <c r="O305">
        <f ca="1">IF($C305-O$1&lt;År1,0,N304*(1-VLOOKUP($A305,[1]Hugst!$R$5:$W$9,MATCH(ROUNDUP((O$1)/10,0)*10,[1]Hugst!$R$4:$W$4,0))))</f>
        <v>0</v>
      </c>
      <c r="P305">
        <f ca="1">IF($C305-P$1&lt;År1,0,O304*(1-VLOOKUP($A305,[1]Hugst!$R$5:$W$9,MATCH(ROUNDUP((P$1)/10,0)*10,[1]Hugst!$R$4:$W$4,0))))</f>
        <v>0</v>
      </c>
      <c r="Q305">
        <f ca="1">IF($C305-Q$1&lt;År1,0,P304*(1-VLOOKUP($A305,[1]Hugst!$R$5:$W$9,MATCH(ROUNDUP((Q$1)/10,0)*10,[1]Hugst!$R$4:$W$4,0))))</f>
        <v>0</v>
      </c>
      <c r="R305">
        <f ca="1">IF($C305-R$1&lt;År1,0,Q304*(1-VLOOKUP($A305,[1]Hugst!$R$5:$W$9,MATCH(ROUNDUP((R$1)/10,0)*10,[1]Hugst!$R$4:$W$4,0))))</f>
        <v>0</v>
      </c>
      <c r="S305">
        <f ca="1">IF($C305-S$1&lt;År1,0,R304*(1-VLOOKUP($A305,[1]Hugst!$R$5:$W$9,MATCH(ROUNDUP((S$1)/10,0)*10,[1]Hugst!$R$4:$W$4,0))))</f>
        <v>0</v>
      </c>
      <c r="T305">
        <f ca="1">IF($C305-T$1&lt;År1,0,S304*(1-VLOOKUP($A305,[1]Hugst!$R$5:$W$9,MATCH(ROUNDUP((T$1)/10,0)*10,[1]Hugst!$R$4:$W$4,0))))</f>
        <v>0</v>
      </c>
      <c r="U305">
        <f ca="1">IF($C305-U$1&lt;År1,0,T304*(1-VLOOKUP($A305,[1]Hugst!$R$5:$W$9,MATCH(ROUNDUP((U$1)/10,0)*10,[1]Hugst!$R$4:$W$4,0))))</f>
        <v>0</v>
      </c>
      <c r="V305">
        <f ca="1">IF($C305-V$1&lt;År1,0,U304*(1-VLOOKUP($A305,[1]Hugst!$R$5:$W$9,MATCH(ROUNDUP((V$1)/10,0)*10,[1]Hugst!$R$4:$W$4,0))))</f>
        <v>0</v>
      </c>
      <c r="W305">
        <f ca="1">IF($C305-W$1&lt;År1,0,V304*(1-VLOOKUP($A305,[1]Hugst!$R$5:$W$9,MATCH(ROUNDUP((W$1)/10,0)*10,[1]Hugst!$R$4:$W$4,0))))</f>
        <v>0</v>
      </c>
      <c r="X305">
        <f ca="1">IF($C305-X$1&lt;År1,0,W304*(1-VLOOKUP($A305,[1]Hugst!$R$5:$W$9,MATCH(ROUNDUP((X$1)/10,0)*10,[1]Hugst!$R$4:$W$4,0))))</f>
        <v>0</v>
      </c>
      <c r="Y305">
        <f ca="1">IF($C305-Y$1&lt;År1,0,X304*(1-VLOOKUP($A305,[1]Hugst!$R$5:$W$9,MATCH(ROUNDUP((Y$1)/10,0)*10,[1]Hugst!$R$4:$W$4,0))))</f>
        <v>0</v>
      </c>
      <c r="Z305">
        <f ca="1">IF($C305-Z$1&lt;År1,0,Y304*(1-VLOOKUP($A305,[1]Hugst!$R$5:$W$9,MATCH(ROUNDUP((Z$1)/10,0)*10,[1]Hugst!$R$4:$W$4,0))))</f>
        <v>0</v>
      </c>
      <c r="AA305">
        <f ca="1">IF($C305-AA$1&lt;År1,0,Z304*(1-VLOOKUP($A305,[1]Hugst!$R$5:$W$9,MATCH(ROUNDUP((AA$1)/10,0)*10,[1]Hugst!$R$4:$W$4,0))))</f>
        <v>0</v>
      </c>
      <c r="AB305">
        <f ca="1">IF($C305-AB$1&lt;År1,0,AA304*(1-VLOOKUP($A305,[1]Hugst!$R$5:$W$9,MATCH(ROUNDUP((AB$1)/10,0)*10,[1]Hugst!$R$4:$W$4,0))))</f>
        <v>0</v>
      </c>
      <c r="AC305">
        <f ca="1">IF($C305-AC$1&lt;År1,0,AB304*(1-VLOOKUP($A305,[1]Hugst!$R$5:$W$9,MATCH(ROUNDUP((AC$1)/10,0)*10,[1]Hugst!$R$4:$W$4,0))))</f>
        <v>0</v>
      </c>
      <c r="AD305">
        <f ca="1">IF($C305-AD$1&lt;År1,0,AC304*(1-VLOOKUP($A305,[1]Hugst!$R$5:$W$9,MATCH(ROUNDUP((AD$1)/10,0)*10,[1]Hugst!$R$4:$W$4,0))))</f>
        <v>0</v>
      </c>
      <c r="AE305">
        <f>IF($C305-AE$1&lt;År1,0,AD304*(1-VLOOKUP($A305,[1]Hugst!$R$5:$W$9,MATCH(ROUNDUP((AE$1)/10,0)*10,[1]Hugst!$R$4:$W$4,0))))</f>
        <v>0</v>
      </c>
      <c r="AF305">
        <f>IF($C305-AF$1&lt;År1,0,AE304*(1-VLOOKUP($A305,[1]Hugst!$R$5:$W$9,MATCH(ROUNDUP((AF$1)/10,0)*10,[1]Hugst!$R$4:$W$4,0))))</f>
        <v>0</v>
      </c>
      <c r="AG305">
        <f>IF($C305-AG$1&lt;År1,0,AF304*(1-VLOOKUP($A305,[1]Hugst!$R$5:$W$9,MATCH(ROUNDUP((AG$1)/10,0)*10,[1]Hugst!$R$4:$W$4,0))))</f>
        <v>0</v>
      </c>
      <c r="AH305">
        <f>IF($C305-AH$1&lt;År1,0,AG304*(1-VLOOKUP($A305,[1]Hugst!$R$5:$W$9,MATCH(ROUNDUP((AH$1)/10,0)*10,[1]Hugst!$R$4:$W$4,0))))</f>
        <v>0</v>
      </c>
      <c r="AI305">
        <f>IF($C305-AI$1&lt;År1,0,AH304*(1-VLOOKUP($A305,[1]Hugst!$R$5:$W$9,MATCH(ROUNDUP((AI$1)/10,0)*10,[1]Hugst!$R$4:$W$4,0))))</f>
        <v>0</v>
      </c>
      <c r="AJ305">
        <f>IF($C305-AJ$1&lt;År1,0,AI304*(1-VLOOKUP($A305,[1]Hugst!$R$5:$W$9,MATCH(ROUNDUP((AJ$1)/10,0)*10,[1]Hugst!$R$4:$W$4,0))))</f>
        <v>0</v>
      </c>
    </row>
    <row r="306" spans="1:36" x14ac:dyDescent="0.25">
      <c r="A306" t="s">
        <v>180</v>
      </c>
      <c r="B306" t="s">
        <v>24</v>
      </c>
      <c r="C306">
        <v>2045</v>
      </c>
      <c r="D306" cm="1">
        <f t="array" ref="D306">(IF(B306="Vestdanmark",Skovbrug!$C$22-(Skovbrug!$C$22)*(1-Skovbrug!$C$9)^(C306-Skovbrug!$B$12),Skovbrug!$F$22-(Skovbrug!$F$22)*(1-Skovbrug!$C$9)^(C306-Skovbrug!$B$12)))*VLOOKUP(A306,Skovbrug!$A$13:$D$17,IF('Skovbrug-alder'!C306&lt;=År2,3,4),FALSE)
-IF(C306&gt;2020,SUM(INDEX($C$1:$D$311,MATCH(1,(2020=$C$1:$C$311)*(B306=$B$1:$B$311)*(A306=$A$1:$A$311),0),2):D305),0)</f>
        <v>0</v>
      </c>
      <c r="E306">
        <f t="shared" ca="1" si="7"/>
        <v>0</v>
      </c>
      <c r="F306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>
        <f ca="1">IF($C306-G$1&lt;År1,0,F305*(1-VLOOKUP($A306,[1]Hugst!$R$5:$W$9,MATCH(ROUNDUP((G$1)/10,0)*10,[1]Hugst!$R$4:$W$4,0))))</f>
        <v>0</v>
      </c>
      <c r="H306">
        <f ca="1">IF($C306-H$1&lt;År1,0,G305*(1-VLOOKUP($A306,[1]Hugst!$R$5:$W$9,MATCH(ROUNDUP((H$1)/10,0)*10,[1]Hugst!$R$4:$W$4,0))))</f>
        <v>0</v>
      </c>
      <c r="I306">
        <f ca="1">IF($C306-I$1&lt;År1,0,H305*(1-VLOOKUP($A306,[1]Hugst!$R$5:$W$9,MATCH(ROUNDUP((I$1)/10,0)*10,[1]Hugst!$R$4:$W$4,0))))</f>
        <v>0</v>
      </c>
      <c r="J306">
        <f ca="1">IF($C306-J$1&lt;År1,0,I305*(1-VLOOKUP($A306,[1]Hugst!$R$5:$W$9,MATCH(ROUNDUP((J$1)/10,0)*10,[1]Hugst!$R$4:$W$4,0))))</f>
        <v>0</v>
      </c>
      <c r="K306">
        <f ca="1">IF($C306-K$1&lt;År1,0,J305*(1-VLOOKUP($A306,[1]Hugst!$R$5:$W$9,MATCH(ROUNDUP((K$1)/10,0)*10,[1]Hugst!$R$4:$W$4,0))))</f>
        <v>0</v>
      </c>
      <c r="L306">
        <f ca="1">IF($C306-L$1&lt;År1,0,K305*(1-VLOOKUP($A306,[1]Hugst!$R$5:$W$9,MATCH(ROUNDUP((L$1)/10,0)*10,[1]Hugst!$R$4:$W$4,0))))</f>
        <v>0</v>
      </c>
      <c r="M306">
        <f ca="1">IF($C306-M$1&lt;År1,0,L305*(1-VLOOKUP($A306,[1]Hugst!$R$5:$W$9,MATCH(ROUNDUP((M$1)/10,0)*10,[1]Hugst!$R$4:$W$4,0))))</f>
        <v>0</v>
      </c>
      <c r="N306">
        <f ca="1">IF($C306-N$1&lt;År1,0,M305*(1-VLOOKUP($A306,[1]Hugst!$R$5:$W$9,MATCH(ROUNDUP((N$1)/10,0)*10,[1]Hugst!$R$4:$W$4,0))))</f>
        <v>0</v>
      </c>
      <c r="O306">
        <f ca="1">IF($C306-O$1&lt;År1,0,N305*(1-VLOOKUP($A306,[1]Hugst!$R$5:$W$9,MATCH(ROUNDUP((O$1)/10,0)*10,[1]Hugst!$R$4:$W$4,0))))</f>
        <v>0</v>
      </c>
      <c r="P306">
        <f ca="1">IF($C306-P$1&lt;År1,0,O305*(1-VLOOKUP($A306,[1]Hugst!$R$5:$W$9,MATCH(ROUNDUP((P$1)/10,0)*10,[1]Hugst!$R$4:$W$4,0))))</f>
        <v>0</v>
      </c>
      <c r="Q306">
        <f ca="1">IF($C306-Q$1&lt;År1,0,P305*(1-VLOOKUP($A306,[1]Hugst!$R$5:$W$9,MATCH(ROUNDUP((Q$1)/10,0)*10,[1]Hugst!$R$4:$W$4,0))))</f>
        <v>0</v>
      </c>
      <c r="R306">
        <f ca="1">IF($C306-R$1&lt;År1,0,Q305*(1-VLOOKUP($A306,[1]Hugst!$R$5:$W$9,MATCH(ROUNDUP((R$1)/10,0)*10,[1]Hugst!$R$4:$W$4,0))))</f>
        <v>0</v>
      </c>
      <c r="S306">
        <f ca="1">IF($C306-S$1&lt;År1,0,R305*(1-VLOOKUP($A306,[1]Hugst!$R$5:$W$9,MATCH(ROUNDUP((S$1)/10,0)*10,[1]Hugst!$R$4:$W$4,0))))</f>
        <v>0</v>
      </c>
      <c r="T306">
        <f ca="1">IF($C306-T$1&lt;År1,0,S305*(1-VLOOKUP($A306,[1]Hugst!$R$5:$W$9,MATCH(ROUNDUP((T$1)/10,0)*10,[1]Hugst!$R$4:$W$4,0))))</f>
        <v>0</v>
      </c>
      <c r="U306">
        <f ca="1">IF($C306-U$1&lt;År1,0,T305*(1-VLOOKUP($A306,[1]Hugst!$R$5:$W$9,MATCH(ROUNDUP((U$1)/10,0)*10,[1]Hugst!$R$4:$W$4,0))))</f>
        <v>0</v>
      </c>
      <c r="V306">
        <f ca="1">IF($C306-V$1&lt;År1,0,U305*(1-VLOOKUP($A306,[1]Hugst!$R$5:$W$9,MATCH(ROUNDUP((V$1)/10,0)*10,[1]Hugst!$R$4:$W$4,0))))</f>
        <v>0</v>
      </c>
      <c r="W306">
        <f ca="1">IF($C306-W$1&lt;År1,0,V305*(1-VLOOKUP($A306,[1]Hugst!$R$5:$W$9,MATCH(ROUNDUP((W$1)/10,0)*10,[1]Hugst!$R$4:$W$4,0))))</f>
        <v>0</v>
      </c>
      <c r="X306">
        <f ca="1">IF($C306-X$1&lt;År1,0,W305*(1-VLOOKUP($A306,[1]Hugst!$R$5:$W$9,MATCH(ROUNDUP((X$1)/10,0)*10,[1]Hugst!$R$4:$W$4,0))))</f>
        <v>0</v>
      </c>
      <c r="Y306">
        <f ca="1">IF($C306-Y$1&lt;År1,0,X305*(1-VLOOKUP($A306,[1]Hugst!$R$5:$W$9,MATCH(ROUNDUP((Y$1)/10,0)*10,[1]Hugst!$R$4:$W$4,0))))</f>
        <v>0</v>
      </c>
      <c r="Z306">
        <f ca="1">IF($C306-Z$1&lt;År1,0,Y305*(1-VLOOKUP($A306,[1]Hugst!$R$5:$W$9,MATCH(ROUNDUP((Z$1)/10,0)*10,[1]Hugst!$R$4:$W$4,0))))</f>
        <v>0</v>
      </c>
      <c r="AA306">
        <f ca="1">IF($C306-AA$1&lt;År1,0,Z305*(1-VLOOKUP($A306,[1]Hugst!$R$5:$W$9,MATCH(ROUNDUP((AA$1)/10,0)*10,[1]Hugst!$R$4:$W$4,0))))</f>
        <v>0</v>
      </c>
      <c r="AB306">
        <f ca="1">IF($C306-AB$1&lt;År1,0,AA305*(1-VLOOKUP($A306,[1]Hugst!$R$5:$W$9,MATCH(ROUNDUP((AB$1)/10,0)*10,[1]Hugst!$R$4:$W$4,0))))</f>
        <v>0</v>
      </c>
      <c r="AC306">
        <f ca="1">IF($C306-AC$1&lt;År1,0,AB305*(1-VLOOKUP($A306,[1]Hugst!$R$5:$W$9,MATCH(ROUNDUP((AC$1)/10,0)*10,[1]Hugst!$R$4:$W$4,0))))</f>
        <v>0</v>
      </c>
      <c r="AD306">
        <f ca="1">IF($C306-AD$1&lt;År1,0,AC305*(1-VLOOKUP($A306,[1]Hugst!$R$5:$W$9,MATCH(ROUNDUP((AD$1)/10,0)*10,[1]Hugst!$R$4:$W$4,0))))</f>
        <v>0</v>
      </c>
      <c r="AE306">
        <f ca="1">IF($C306-AE$1&lt;År1,0,AD305*(1-VLOOKUP($A306,[1]Hugst!$R$5:$W$9,MATCH(ROUNDUP((AE$1)/10,0)*10,[1]Hugst!$R$4:$W$4,0))))</f>
        <v>0</v>
      </c>
      <c r="AF306">
        <f>IF($C306-AF$1&lt;År1,0,AE305*(1-VLOOKUP($A306,[1]Hugst!$R$5:$W$9,MATCH(ROUNDUP((AF$1)/10,0)*10,[1]Hugst!$R$4:$W$4,0))))</f>
        <v>0</v>
      </c>
      <c r="AG306">
        <f>IF($C306-AG$1&lt;År1,0,AF305*(1-VLOOKUP($A306,[1]Hugst!$R$5:$W$9,MATCH(ROUNDUP((AG$1)/10,0)*10,[1]Hugst!$R$4:$W$4,0))))</f>
        <v>0</v>
      </c>
      <c r="AH306">
        <f>IF($C306-AH$1&lt;År1,0,AG305*(1-VLOOKUP($A306,[1]Hugst!$R$5:$W$9,MATCH(ROUNDUP((AH$1)/10,0)*10,[1]Hugst!$R$4:$W$4,0))))</f>
        <v>0</v>
      </c>
      <c r="AI306">
        <f>IF($C306-AI$1&lt;År1,0,AH305*(1-VLOOKUP($A306,[1]Hugst!$R$5:$W$9,MATCH(ROUNDUP((AI$1)/10,0)*10,[1]Hugst!$R$4:$W$4,0))))</f>
        <v>0</v>
      </c>
      <c r="AJ306">
        <f>IF($C306-AJ$1&lt;År1,0,AI305*(1-VLOOKUP($A306,[1]Hugst!$R$5:$W$9,MATCH(ROUNDUP((AJ$1)/10,0)*10,[1]Hugst!$R$4:$W$4,0))))</f>
        <v>0</v>
      </c>
    </row>
    <row r="307" spans="1:36" x14ac:dyDescent="0.25">
      <c r="A307" t="s">
        <v>180</v>
      </c>
      <c r="B307" t="s">
        <v>24</v>
      </c>
      <c r="C307">
        <v>2046</v>
      </c>
      <c r="D307" cm="1">
        <f t="array" ref="D307">(IF(B307="Vestdanmark",Skovbrug!$C$22-(Skovbrug!$C$22)*(1-Skovbrug!$C$9)^(C307-Skovbrug!$B$12),Skovbrug!$F$22-(Skovbrug!$F$22)*(1-Skovbrug!$C$9)^(C307-Skovbrug!$B$12)))*VLOOKUP(A307,Skovbrug!$A$13:$D$17,IF('Skovbrug-alder'!C307&lt;=År2,3,4),FALSE)
-IF(C307&gt;2020,SUM(INDEX($C$1:$D$311,MATCH(1,(2020=$C$1:$C$311)*(B307=$B$1:$B$311)*(A307=$A$1:$A$311),0),2):D306),0)</f>
        <v>0</v>
      </c>
      <c r="E307">
        <f t="shared" ca="1" si="7"/>
        <v>0</v>
      </c>
      <c r="F307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>
        <f ca="1">IF($C307-G$1&lt;År1,0,F306*(1-VLOOKUP($A307,[1]Hugst!$R$5:$W$9,MATCH(ROUNDUP((G$1)/10,0)*10,[1]Hugst!$R$4:$W$4,0))))</f>
        <v>0</v>
      </c>
      <c r="H307">
        <f ca="1">IF($C307-H$1&lt;År1,0,G306*(1-VLOOKUP($A307,[1]Hugst!$R$5:$W$9,MATCH(ROUNDUP((H$1)/10,0)*10,[1]Hugst!$R$4:$W$4,0))))</f>
        <v>0</v>
      </c>
      <c r="I307">
        <f ca="1">IF($C307-I$1&lt;År1,0,H306*(1-VLOOKUP($A307,[1]Hugst!$R$5:$W$9,MATCH(ROUNDUP((I$1)/10,0)*10,[1]Hugst!$R$4:$W$4,0))))</f>
        <v>0</v>
      </c>
      <c r="J307">
        <f ca="1">IF($C307-J$1&lt;År1,0,I306*(1-VLOOKUP($A307,[1]Hugst!$R$5:$W$9,MATCH(ROUNDUP((J$1)/10,0)*10,[1]Hugst!$R$4:$W$4,0))))</f>
        <v>0</v>
      </c>
      <c r="K307">
        <f ca="1">IF($C307-K$1&lt;År1,0,J306*(1-VLOOKUP($A307,[1]Hugst!$R$5:$W$9,MATCH(ROUNDUP((K$1)/10,0)*10,[1]Hugst!$R$4:$W$4,0))))</f>
        <v>0</v>
      </c>
      <c r="L307">
        <f ca="1">IF($C307-L$1&lt;År1,0,K306*(1-VLOOKUP($A307,[1]Hugst!$R$5:$W$9,MATCH(ROUNDUP((L$1)/10,0)*10,[1]Hugst!$R$4:$W$4,0))))</f>
        <v>0</v>
      </c>
      <c r="M307">
        <f ca="1">IF($C307-M$1&lt;År1,0,L306*(1-VLOOKUP($A307,[1]Hugst!$R$5:$W$9,MATCH(ROUNDUP((M$1)/10,0)*10,[1]Hugst!$R$4:$W$4,0))))</f>
        <v>0</v>
      </c>
      <c r="N307">
        <f ca="1">IF($C307-N$1&lt;År1,0,M306*(1-VLOOKUP($A307,[1]Hugst!$R$5:$W$9,MATCH(ROUNDUP((N$1)/10,0)*10,[1]Hugst!$R$4:$W$4,0))))</f>
        <v>0</v>
      </c>
      <c r="O307">
        <f ca="1">IF($C307-O$1&lt;År1,0,N306*(1-VLOOKUP($A307,[1]Hugst!$R$5:$W$9,MATCH(ROUNDUP((O$1)/10,0)*10,[1]Hugst!$R$4:$W$4,0))))</f>
        <v>0</v>
      </c>
      <c r="P307">
        <f ca="1">IF($C307-P$1&lt;År1,0,O306*(1-VLOOKUP($A307,[1]Hugst!$R$5:$W$9,MATCH(ROUNDUP((P$1)/10,0)*10,[1]Hugst!$R$4:$W$4,0))))</f>
        <v>0</v>
      </c>
      <c r="Q307">
        <f ca="1">IF($C307-Q$1&lt;År1,0,P306*(1-VLOOKUP($A307,[1]Hugst!$R$5:$W$9,MATCH(ROUNDUP((Q$1)/10,0)*10,[1]Hugst!$R$4:$W$4,0))))</f>
        <v>0</v>
      </c>
      <c r="R307">
        <f ca="1">IF($C307-R$1&lt;År1,0,Q306*(1-VLOOKUP($A307,[1]Hugst!$R$5:$W$9,MATCH(ROUNDUP((R$1)/10,0)*10,[1]Hugst!$R$4:$W$4,0))))</f>
        <v>0</v>
      </c>
      <c r="S307">
        <f ca="1">IF($C307-S$1&lt;År1,0,R306*(1-VLOOKUP($A307,[1]Hugst!$R$5:$W$9,MATCH(ROUNDUP((S$1)/10,0)*10,[1]Hugst!$R$4:$W$4,0))))</f>
        <v>0</v>
      </c>
      <c r="T307">
        <f ca="1">IF($C307-T$1&lt;År1,0,S306*(1-VLOOKUP($A307,[1]Hugst!$R$5:$W$9,MATCH(ROUNDUP((T$1)/10,0)*10,[1]Hugst!$R$4:$W$4,0))))</f>
        <v>0</v>
      </c>
      <c r="U307">
        <f ca="1">IF($C307-U$1&lt;År1,0,T306*(1-VLOOKUP($A307,[1]Hugst!$R$5:$W$9,MATCH(ROUNDUP((U$1)/10,0)*10,[1]Hugst!$R$4:$W$4,0))))</f>
        <v>0</v>
      </c>
      <c r="V307">
        <f ca="1">IF($C307-V$1&lt;År1,0,U306*(1-VLOOKUP($A307,[1]Hugst!$R$5:$W$9,MATCH(ROUNDUP((V$1)/10,0)*10,[1]Hugst!$R$4:$W$4,0))))</f>
        <v>0</v>
      </c>
      <c r="W307">
        <f ca="1">IF($C307-W$1&lt;År1,0,V306*(1-VLOOKUP($A307,[1]Hugst!$R$5:$W$9,MATCH(ROUNDUP((W$1)/10,0)*10,[1]Hugst!$R$4:$W$4,0))))</f>
        <v>0</v>
      </c>
      <c r="X307">
        <f ca="1">IF($C307-X$1&lt;År1,0,W306*(1-VLOOKUP($A307,[1]Hugst!$R$5:$W$9,MATCH(ROUNDUP((X$1)/10,0)*10,[1]Hugst!$R$4:$W$4,0))))</f>
        <v>0</v>
      </c>
      <c r="Y307">
        <f ca="1">IF($C307-Y$1&lt;År1,0,X306*(1-VLOOKUP($A307,[1]Hugst!$R$5:$W$9,MATCH(ROUNDUP((Y$1)/10,0)*10,[1]Hugst!$R$4:$W$4,0))))</f>
        <v>0</v>
      </c>
      <c r="Z307">
        <f ca="1">IF($C307-Z$1&lt;År1,0,Y306*(1-VLOOKUP($A307,[1]Hugst!$R$5:$W$9,MATCH(ROUNDUP((Z$1)/10,0)*10,[1]Hugst!$R$4:$W$4,0))))</f>
        <v>0</v>
      </c>
      <c r="AA307">
        <f ca="1">IF($C307-AA$1&lt;År1,0,Z306*(1-VLOOKUP($A307,[1]Hugst!$R$5:$W$9,MATCH(ROUNDUP((AA$1)/10,0)*10,[1]Hugst!$R$4:$W$4,0))))</f>
        <v>0</v>
      </c>
      <c r="AB307">
        <f ca="1">IF($C307-AB$1&lt;År1,0,AA306*(1-VLOOKUP($A307,[1]Hugst!$R$5:$W$9,MATCH(ROUNDUP((AB$1)/10,0)*10,[1]Hugst!$R$4:$W$4,0))))</f>
        <v>0</v>
      </c>
      <c r="AC307">
        <f ca="1">IF($C307-AC$1&lt;År1,0,AB306*(1-VLOOKUP($A307,[1]Hugst!$R$5:$W$9,MATCH(ROUNDUP((AC$1)/10,0)*10,[1]Hugst!$R$4:$W$4,0))))</f>
        <v>0</v>
      </c>
      <c r="AD307">
        <f ca="1">IF($C307-AD$1&lt;År1,0,AC306*(1-VLOOKUP($A307,[1]Hugst!$R$5:$W$9,MATCH(ROUNDUP((AD$1)/10,0)*10,[1]Hugst!$R$4:$W$4,0))))</f>
        <v>0</v>
      </c>
      <c r="AE307">
        <f ca="1">IF($C307-AE$1&lt;År1,0,AD306*(1-VLOOKUP($A307,[1]Hugst!$R$5:$W$9,MATCH(ROUNDUP((AE$1)/10,0)*10,[1]Hugst!$R$4:$W$4,0))))</f>
        <v>0</v>
      </c>
      <c r="AF307">
        <f ca="1">IF($C307-AF$1&lt;År1,0,AE306*(1-VLOOKUP($A307,[1]Hugst!$R$5:$W$9,MATCH(ROUNDUP((AF$1)/10,0)*10,[1]Hugst!$R$4:$W$4,0))))</f>
        <v>0</v>
      </c>
      <c r="AG307">
        <f>IF($C307-AG$1&lt;År1,0,AF306*(1-VLOOKUP($A307,[1]Hugst!$R$5:$W$9,MATCH(ROUNDUP((AG$1)/10,0)*10,[1]Hugst!$R$4:$W$4,0))))</f>
        <v>0</v>
      </c>
      <c r="AH307">
        <f>IF($C307-AH$1&lt;År1,0,AG306*(1-VLOOKUP($A307,[1]Hugst!$R$5:$W$9,MATCH(ROUNDUP((AH$1)/10,0)*10,[1]Hugst!$R$4:$W$4,0))))</f>
        <v>0</v>
      </c>
      <c r="AI307">
        <f>IF($C307-AI$1&lt;År1,0,AH306*(1-VLOOKUP($A307,[1]Hugst!$R$5:$W$9,MATCH(ROUNDUP((AI$1)/10,0)*10,[1]Hugst!$R$4:$W$4,0))))</f>
        <v>0</v>
      </c>
      <c r="AJ307">
        <f>IF($C307-AJ$1&lt;År1,0,AI306*(1-VLOOKUP($A307,[1]Hugst!$R$5:$W$9,MATCH(ROUNDUP((AJ$1)/10,0)*10,[1]Hugst!$R$4:$W$4,0))))</f>
        <v>0</v>
      </c>
    </row>
    <row r="308" spans="1:36" x14ac:dyDescent="0.25">
      <c r="A308" t="s">
        <v>180</v>
      </c>
      <c r="B308" t="s">
        <v>24</v>
      </c>
      <c r="C308">
        <v>2047</v>
      </c>
      <c r="D308" cm="1">
        <f t="array" ref="D308">(IF(B308="Vestdanmark",Skovbrug!$C$22-(Skovbrug!$C$22)*(1-Skovbrug!$C$9)^(C308-Skovbrug!$B$12),Skovbrug!$F$22-(Skovbrug!$F$22)*(1-Skovbrug!$C$9)^(C308-Skovbrug!$B$12)))*VLOOKUP(A308,Skovbrug!$A$13:$D$17,IF('Skovbrug-alder'!C308&lt;=År2,3,4),FALSE)
-IF(C308&gt;2020,SUM(INDEX($C$1:$D$311,MATCH(1,(2020=$C$1:$C$311)*(B308=$B$1:$B$311)*(A308=$A$1:$A$311),0),2):D307),0)</f>
        <v>0</v>
      </c>
      <c r="E308">
        <f t="shared" ca="1" si="7"/>
        <v>0</v>
      </c>
      <c r="F30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>
        <f ca="1">IF($C308-G$1&lt;År1,0,F307*(1-VLOOKUP($A308,[1]Hugst!$R$5:$W$9,MATCH(ROUNDUP((G$1)/10,0)*10,[1]Hugst!$R$4:$W$4,0))))</f>
        <v>0</v>
      </c>
      <c r="H308">
        <f ca="1">IF($C308-H$1&lt;År1,0,G307*(1-VLOOKUP($A308,[1]Hugst!$R$5:$W$9,MATCH(ROUNDUP((H$1)/10,0)*10,[1]Hugst!$R$4:$W$4,0))))</f>
        <v>0</v>
      </c>
      <c r="I308">
        <f ca="1">IF($C308-I$1&lt;År1,0,H307*(1-VLOOKUP($A308,[1]Hugst!$R$5:$W$9,MATCH(ROUNDUP((I$1)/10,0)*10,[1]Hugst!$R$4:$W$4,0))))</f>
        <v>0</v>
      </c>
      <c r="J308">
        <f ca="1">IF($C308-J$1&lt;År1,0,I307*(1-VLOOKUP($A308,[1]Hugst!$R$5:$W$9,MATCH(ROUNDUP((J$1)/10,0)*10,[1]Hugst!$R$4:$W$4,0))))</f>
        <v>0</v>
      </c>
      <c r="K308">
        <f ca="1">IF($C308-K$1&lt;År1,0,J307*(1-VLOOKUP($A308,[1]Hugst!$R$5:$W$9,MATCH(ROUNDUP((K$1)/10,0)*10,[1]Hugst!$R$4:$W$4,0))))</f>
        <v>0</v>
      </c>
      <c r="L308">
        <f ca="1">IF($C308-L$1&lt;År1,0,K307*(1-VLOOKUP($A308,[1]Hugst!$R$5:$W$9,MATCH(ROUNDUP((L$1)/10,0)*10,[1]Hugst!$R$4:$W$4,0))))</f>
        <v>0</v>
      </c>
      <c r="M308">
        <f ca="1">IF($C308-M$1&lt;År1,0,L307*(1-VLOOKUP($A308,[1]Hugst!$R$5:$W$9,MATCH(ROUNDUP((M$1)/10,0)*10,[1]Hugst!$R$4:$W$4,0))))</f>
        <v>0</v>
      </c>
      <c r="N308">
        <f ca="1">IF($C308-N$1&lt;År1,0,M307*(1-VLOOKUP($A308,[1]Hugst!$R$5:$W$9,MATCH(ROUNDUP((N$1)/10,0)*10,[1]Hugst!$R$4:$W$4,0))))</f>
        <v>0</v>
      </c>
      <c r="O308">
        <f ca="1">IF($C308-O$1&lt;År1,0,N307*(1-VLOOKUP($A308,[1]Hugst!$R$5:$W$9,MATCH(ROUNDUP((O$1)/10,0)*10,[1]Hugst!$R$4:$W$4,0))))</f>
        <v>0</v>
      </c>
      <c r="P308">
        <f ca="1">IF($C308-P$1&lt;År1,0,O307*(1-VLOOKUP($A308,[1]Hugst!$R$5:$W$9,MATCH(ROUNDUP((P$1)/10,0)*10,[1]Hugst!$R$4:$W$4,0))))</f>
        <v>0</v>
      </c>
      <c r="Q308">
        <f ca="1">IF($C308-Q$1&lt;År1,0,P307*(1-VLOOKUP($A308,[1]Hugst!$R$5:$W$9,MATCH(ROUNDUP((Q$1)/10,0)*10,[1]Hugst!$R$4:$W$4,0))))</f>
        <v>0</v>
      </c>
      <c r="R308">
        <f ca="1">IF($C308-R$1&lt;År1,0,Q307*(1-VLOOKUP($A308,[1]Hugst!$R$5:$W$9,MATCH(ROUNDUP((R$1)/10,0)*10,[1]Hugst!$R$4:$W$4,0))))</f>
        <v>0</v>
      </c>
      <c r="S308">
        <f ca="1">IF($C308-S$1&lt;År1,0,R307*(1-VLOOKUP($A308,[1]Hugst!$R$5:$W$9,MATCH(ROUNDUP((S$1)/10,0)*10,[1]Hugst!$R$4:$W$4,0))))</f>
        <v>0</v>
      </c>
      <c r="T308">
        <f ca="1">IF($C308-T$1&lt;År1,0,S307*(1-VLOOKUP($A308,[1]Hugst!$R$5:$W$9,MATCH(ROUNDUP((T$1)/10,0)*10,[1]Hugst!$R$4:$W$4,0))))</f>
        <v>0</v>
      </c>
      <c r="U308">
        <f ca="1">IF($C308-U$1&lt;År1,0,T307*(1-VLOOKUP($A308,[1]Hugst!$R$5:$W$9,MATCH(ROUNDUP((U$1)/10,0)*10,[1]Hugst!$R$4:$W$4,0))))</f>
        <v>0</v>
      </c>
      <c r="V308">
        <f ca="1">IF($C308-V$1&lt;År1,0,U307*(1-VLOOKUP($A308,[1]Hugst!$R$5:$W$9,MATCH(ROUNDUP((V$1)/10,0)*10,[1]Hugst!$R$4:$W$4,0))))</f>
        <v>0</v>
      </c>
      <c r="W308">
        <f ca="1">IF($C308-W$1&lt;År1,0,V307*(1-VLOOKUP($A308,[1]Hugst!$R$5:$W$9,MATCH(ROUNDUP((W$1)/10,0)*10,[1]Hugst!$R$4:$W$4,0))))</f>
        <v>0</v>
      </c>
      <c r="X308">
        <f ca="1">IF($C308-X$1&lt;År1,0,W307*(1-VLOOKUP($A308,[1]Hugst!$R$5:$W$9,MATCH(ROUNDUP((X$1)/10,0)*10,[1]Hugst!$R$4:$W$4,0))))</f>
        <v>0</v>
      </c>
      <c r="Y308">
        <f ca="1">IF($C308-Y$1&lt;År1,0,X307*(1-VLOOKUP($A308,[1]Hugst!$R$5:$W$9,MATCH(ROUNDUP((Y$1)/10,0)*10,[1]Hugst!$R$4:$W$4,0))))</f>
        <v>0</v>
      </c>
      <c r="Z308">
        <f ca="1">IF($C308-Z$1&lt;År1,0,Y307*(1-VLOOKUP($A308,[1]Hugst!$R$5:$W$9,MATCH(ROUNDUP((Z$1)/10,0)*10,[1]Hugst!$R$4:$W$4,0))))</f>
        <v>0</v>
      </c>
      <c r="AA308">
        <f ca="1">IF($C308-AA$1&lt;År1,0,Z307*(1-VLOOKUP($A308,[1]Hugst!$R$5:$W$9,MATCH(ROUNDUP((AA$1)/10,0)*10,[1]Hugst!$R$4:$W$4,0))))</f>
        <v>0</v>
      </c>
      <c r="AB308">
        <f ca="1">IF($C308-AB$1&lt;År1,0,AA307*(1-VLOOKUP($A308,[1]Hugst!$R$5:$W$9,MATCH(ROUNDUP((AB$1)/10,0)*10,[1]Hugst!$R$4:$W$4,0))))</f>
        <v>0</v>
      </c>
      <c r="AC308">
        <f ca="1">IF($C308-AC$1&lt;År1,0,AB307*(1-VLOOKUP($A308,[1]Hugst!$R$5:$W$9,MATCH(ROUNDUP((AC$1)/10,0)*10,[1]Hugst!$R$4:$W$4,0))))</f>
        <v>0</v>
      </c>
      <c r="AD308">
        <f ca="1">IF($C308-AD$1&lt;År1,0,AC307*(1-VLOOKUP($A308,[1]Hugst!$R$5:$W$9,MATCH(ROUNDUP((AD$1)/10,0)*10,[1]Hugst!$R$4:$W$4,0))))</f>
        <v>0</v>
      </c>
      <c r="AE308">
        <f ca="1">IF($C308-AE$1&lt;År1,0,AD307*(1-VLOOKUP($A308,[1]Hugst!$R$5:$W$9,MATCH(ROUNDUP((AE$1)/10,0)*10,[1]Hugst!$R$4:$W$4,0))))</f>
        <v>0</v>
      </c>
      <c r="AF308">
        <f ca="1">IF($C308-AF$1&lt;År1,0,AE307*(1-VLOOKUP($A308,[1]Hugst!$R$5:$W$9,MATCH(ROUNDUP((AF$1)/10,0)*10,[1]Hugst!$R$4:$W$4,0))))</f>
        <v>0</v>
      </c>
      <c r="AG308">
        <f ca="1">IF($C308-AG$1&lt;År1,0,AF307*(1-VLOOKUP($A308,[1]Hugst!$R$5:$W$9,MATCH(ROUNDUP((AG$1)/10,0)*10,[1]Hugst!$R$4:$W$4,0))))</f>
        <v>0</v>
      </c>
      <c r="AH308">
        <f>IF($C308-AH$1&lt;År1,0,AG307*(1-VLOOKUP($A308,[1]Hugst!$R$5:$W$9,MATCH(ROUNDUP((AH$1)/10,0)*10,[1]Hugst!$R$4:$W$4,0))))</f>
        <v>0</v>
      </c>
      <c r="AI308">
        <f>IF($C308-AI$1&lt;År1,0,AH307*(1-VLOOKUP($A308,[1]Hugst!$R$5:$W$9,MATCH(ROUNDUP((AI$1)/10,0)*10,[1]Hugst!$R$4:$W$4,0))))</f>
        <v>0</v>
      </c>
      <c r="AJ308">
        <f>IF($C308-AJ$1&lt;År1,0,AI307*(1-VLOOKUP($A308,[1]Hugst!$R$5:$W$9,MATCH(ROUNDUP((AJ$1)/10,0)*10,[1]Hugst!$R$4:$W$4,0))))</f>
        <v>0</v>
      </c>
    </row>
    <row r="309" spans="1:36" x14ac:dyDescent="0.25">
      <c r="A309" t="s">
        <v>180</v>
      </c>
      <c r="B309" t="s">
        <v>24</v>
      </c>
      <c r="C309">
        <v>2048</v>
      </c>
      <c r="D309" cm="1">
        <f t="array" ref="D309">(IF(B309="Vestdanmark",Skovbrug!$C$22-(Skovbrug!$C$22)*(1-Skovbrug!$C$9)^(C309-Skovbrug!$B$12),Skovbrug!$F$22-(Skovbrug!$F$22)*(1-Skovbrug!$C$9)^(C309-Skovbrug!$B$12)))*VLOOKUP(A309,Skovbrug!$A$13:$D$17,IF('Skovbrug-alder'!C309&lt;=År2,3,4),FALSE)
-IF(C309&gt;2020,SUM(INDEX($C$1:$D$311,MATCH(1,(2020=$C$1:$C$311)*(B309=$B$1:$B$311)*(A309=$A$1:$A$311),0),2):D308),0)</f>
        <v>0</v>
      </c>
      <c r="E309">
        <f t="shared" ca="1" si="7"/>
        <v>0</v>
      </c>
      <c r="F309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>
        <f ca="1">IF($C309-G$1&lt;År1,0,F308*(1-VLOOKUP($A309,[1]Hugst!$R$5:$W$9,MATCH(ROUNDUP((G$1)/10,0)*10,[1]Hugst!$R$4:$W$4,0))))</f>
        <v>0</v>
      </c>
      <c r="H309">
        <f ca="1">IF($C309-H$1&lt;År1,0,G308*(1-VLOOKUP($A309,[1]Hugst!$R$5:$W$9,MATCH(ROUNDUP((H$1)/10,0)*10,[1]Hugst!$R$4:$W$4,0))))</f>
        <v>0</v>
      </c>
      <c r="I309">
        <f ca="1">IF($C309-I$1&lt;År1,0,H308*(1-VLOOKUP($A309,[1]Hugst!$R$5:$W$9,MATCH(ROUNDUP((I$1)/10,0)*10,[1]Hugst!$R$4:$W$4,0))))</f>
        <v>0</v>
      </c>
      <c r="J309">
        <f ca="1">IF($C309-J$1&lt;År1,0,I308*(1-VLOOKUP($A309,[1]Hugst!$R$5:$W$9,MATCH(ROUNDUP((J$1)/10,0)*10,[1]Hugst!$R$4:$W$4,0))))</f>
        <v>0</v>
      </c>
      <c r="K309">
        <f ca="1">IF($C309-K$1&lt;År1,0,J308*(1-VLOOKUP($A309,[1]Hugst!$R$5:$W$9,MATCH(ROUNDUP((K$1)/10,0)*10,[1]Hugst!$R$4:$W$4,0))))</f>
        <v>0</v>
      </c>
      <c r="L309">
        <f ca="1">IF($C309-L$1&lt;År1,0,K308*(1-VLOOKUP($A309,[1]Hugst!$R$5:$W$9,MATCH(ROUNDUP((L$1)/10,0)*10,[1]Hugst!$R$4:$W$4,0))))</f>
        <v>0</v>
      </c>
      <c r="M309">
        <f ca="1">IF($C309-M$1&lt;År1,0,L308*(1-VLOOKUP($A309,[1]Hugst!$R$5:$W$9,MATCH(ROUNDUP((M$1)/10,0)*10,[1]Hugst!$R$4:$W$4,0))))</f>
        <v>0</v>
      </c>
      <c r="N309">
        <f ca="1">IF($C309-N$1&lt;År1,0,M308*(1-VLOOKUP($A309,[1]Hugst!$R$5:$W$9,MATCH(ROUNDUP((N$1)/10,0)*10,[1]Hugst!$R$4:$W$4,0))))</f>
        <v>0</v>
      </c>
      <c r="O309">
        <f ca="1">IF($C309-O$1&lt;År1,0,N308*(1-VLOOKUP($A309,[1]Hugst!$R$5:$W$9,MATCH(ROUNDUP((O$1)/10,0)*10,[1]Hugst!$R$4:$W$4,0))))</f>
        <v>0</v>
      </c>
      <c r="P309">
        <f ca="1">IF($C309-P$1&lt;År1,0,O308*(1-VLOOKUP($A309,[1]Hugst!$R$5:$W$9,MATCH(ROUNDUP((P$1)/10,0)*10,[1]Hugst!$R$4:$W$4,0))))</f>
        <v>0</v>
      </c>
      <c r="Q309">
        <f ca="1">IF($C309-Q$1&lt;År1,0,P308*(1-VLOOKUP($A309,[1]Hugst!$R$5:$W$9,MATCH(ROUNDUP((Q$1)/10,0)*10,[1]Hugst!$R$4:$W$4,0))))</f>
        <v>0</v>
      </c>
      <c r="R309">
        <f ca="1">IF($C309-R$1&lt;År1,0,Q308*(1-VLOOKUP($A309,[1]Hugst!$R$5:$W$9,MATCH(ROUNDUP((R$1)/10,0)*10,[1]Hugst!$R$4:$W$4,0))))</f>
        <v>0</v>
      </c>
      <c r="S309">
        <f ca="1">IF($C309-S$1&lt;År1,0,R308*(1-VLOOKUP($A309,[1]Hugst!$R$5:$W$9,MATCH(ROUNDUP((S$1)/10,0)*10,[1]Hugst!$R$4:$W$4,0))))</f>
        <v>0</v>
      </c>
      <c r="T309">
        <f ca="1">IF($C309-T$1&lt;År1,0,S308*(1-VLOOKUP($A309,[1]Hugst!$R$5:$W$9,MATCH(ROUNDUP((T$1)/10,0)*10,[1]Hugst!$R$4:$W$4,0))))</f>
        <v>0</v>
      </c>
      <c r="U309">
        <f ca="1">IF($C309-U$1&lt;År1,0,T308*(1-VLOOKUP($A309,[1]Hugst!$R$5:$W$9,MATCH(ROUNDUP((U$1)/10,0)*10,[1]Hugst!$R$4:$W$4,0))))</f>
        <v>0</v>
      </c>
      <c r="V309">
        <f ca="1">IF($C309-V$1&lt;År1,0,U308*(1-VLOOKUP($A309,[1]Hugst!$R$5:$W$9,MATCH(ROUNDUP((V$1)/10,0)*10,[1]Hugst!$R$4:$W$4,0))))</f>
        <v>0</v>
      </c>
      <c r="W309">
        <f ca="1">IF($C309-W$1&lt;År1,0,V308*(1-VLOOKUP($A309,[1]Hugst!$R$5:$W$9,MATCH(ROUNDUP((W$1)/10,0)*10,[1]Hugst!$R$4:$W$4,0))))</f>
        <v>0</v>
      </c>
      <c r="X309">
        <f ca="1">IF($C309-X$1&lt;År1,0,W308*(1-VLOOKUP($A309,[1]Hugst!$R$5:$W$9,MATCH(ROUNDUP((X$1)/10,0)*10,[1]Hugst!$R$4:$W$4,0))))</f>
        <v>0</v>
      </c>
      <c r="Y309">
        <f ca="1">IF($C309-Y$1&lt;År1,0,X308*(1-VLOOKUP($A309,[1]Hugst!$R$5:$W$9,MATCH(ROUNDUP((Y$1)/10,0)*10,[1]Hugst!$R$4:$W$4,0))))</f>
        <v>0</v>
      </c>
      <c r="Z309">
        <f ca="1">IF($C309-Z$1&lt;År1,0,Y308*(1-VLOOKUP($A309,[1]Hugst!$R$5:$W$9,MATCH(ROUNDUP((Z$1)/10,0)*10,[1]Hugst!$R$4:$W$4,0))))</f>
        <v>0</v>
      </c>
      <c r="AA309">
        <f ca="1">IF($C309-AA$1&lt;År1,0,Z308*(1-VLOOKUP($A309,[1]Hugst!$R$5:$W$9,MATCH(ROUNDUP((AA$1)/10,0)*10,[1]Hugst!$R$4:$W$4,0))))</f>
        <v>0</v>
      </c>
      <c r="AB309">
        <f ca="1">IF($C309-AB$1&lt;År1,0,AA308*(1-VLOOKUP($A309,[1]Hugst!$R$5:$W$9,MATCH(ROUNDUP((AB$1)/10,0)*10,[1]Hugst!$R$4:$W$4,0))))</f>
        <v>0</v>
      </c>
      <c r="AC309">
        <f ca="1">IF($C309-AC$1&lt;År1,0,AB308*(1-VLOOKUP($A309,[1]Hugst!$R$5:$W$9,MATCH(ROUNDUP((AC$1)/10,0)*10,[1]Hugst!$R$4:$W$4,0))))</f>
        <v>0</v>
      </c>
      <c r="AD309">
        <f ca="1">IF($C309-AD$1&lt;År1,0,AC308*(1-VLOOKUP($A309,[1]Hugst!$R$5:$W$9,MATCH(ROUNDUP((AD$1)/10,0)*10,[1]Hugst!$R$4:$W$4,0))))</f>
        <v>0</v>
      </c>
      <c r="AE309">
        <f ca="1">IF($C309-AE$1&lt;År1,0,AD308*(1-VLOOKUP($A309,[1]Hugst!$R$5:$W$9,MATCH(ROUNDUP((AE$1)/10,0)*10,[1]Hugst!$R$4:$W$4,0))))</f>
        <v>0</v>
      </c>
      <c r="AF309">
        <f ca="1">IF($C309-AF$1&lt;År1,0,AE308*(1-VLOOKUP($A309,[1]Hugst!$R$5:$W$9,MATCH(ROUNDUP((AF$1)/10,0)*10,[1]Hugst!$R$4:$W$4,0))))</f>
        <v>0</v>
      </c>
      <c r="AG309">
        <f ca="1">IF($C309-AG$1&lt;År1,0,AF308*(1-VLOOKUP($A309,[1]Hugst!$R$5:$W$9,MATCH(ROUNDUP((AG$1)/10,0)*10,[1]Hugst!$R$4:$W$4,0))))</f>
        <v>0</v>
      </c>
      <c r="AH309">
        <f ca="1">IF($C309-AH$1&lt;År1,0,AG308*(1-VLOOKUP($A309,[1]Hugst!$R$5:$W$9,MATCH(ROUNDUP((AH$1)/10,0)*10,[1]Hugst!$R$4:$W$4,0))))</f>
        <v>0</v>
      </c>
      <c r="AI309">
        <f>IF($C309-AI$1&lt;År1,0,AH308*(1-VLOOKUP($A309,[1]Hugst!$R$5:$W$9,MATCH(ROUNDUP((AI$1)/10,0)*10,[1]Hugst!$R$4:$W$4,0))))</f>
        <v>0</v>
      </c>
      <c r="AJ309">
        <f>IF($C309-AJ$1&lt;År1,0,AI308*(1-VLOOKUP($A309,[1]Hugst!$R$5:$W$9,MATCH(ROUNDUP((AJ$1)/10,0)*10,[1]Hugst!$R$4:$W$4,0))))</f>
        <v>0</v>
      </c>
    </row>
    <row r="310" spans="1:36" x14ac:dyDescent="0.25">
      <c r="A310" t="s">
        <v>180</v>
      </c>
      <c r="B310" t="s">
        <v>24</v>
      </c>
      <c r="C310">
        <v>2049</v>
      </c>
      <c r="D310" cm="1">
        <f t="array" ref="D310">(IF(B310="Vestdanmark",Skovbrug!$C$22-(Skovbrug!$C$22)*(1-Skovbrug!$C$9)^(C310-Skovbrug!$B$12),Skovbrug!$F$22-(Skovbrug!$F$22)*(1-Skovbrug!$C$9)^(C310-Skovbrug!$B$12)))*VLOOKUP(A310,Skovbrug!$A$13:$D$17,IF('Skovbrug-alder'!C310&lt;=År2,3,4),FALSE)
-IF(C310&gt;2020,SUM(INDEX($C$1:$D$311,MATCH(1,(2020=$C$1:$C$311)*(B310=$B$1:$B$311)*(A310=$A$1:$A$311),0),2):D309),0)</f>
        <v>0</v>
      </c>
      <c r="E310">
        <f t="shared" ca="1" si="7"/>
        <v>0</v>
      </c>
      <c r="F310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>
        <f ca="1">IF($C310-G$1&lt;År1,0,F309*(1-VLOOKUP($A310,[1]Hugst!$R$5:$W$9,MATCH(ROUNDUP((G$1)/10,0)*10,[1]Hugst!$R$4:$W$4,0))))</f>
        <v>0</v>
      </c>
      <c r="H310">
        <f ca="1">IF($C310-H$1&lt;År1,0,G309*(1-VLOOKUP($A310,[1]Hugst!$R$5:$W$9,MATCH(ROUNDUP((H$1)/10,0)*10,[1]Hugst!$R$4:$W$4,0))))</f>
        <v>0</v>
      </c>
      <c r="I310">
        <f ca="1">IF($C310-I$1&lt;År1,0,H309*(1-VLOOKUP($A310,[1]Hugst!$R$5:$W$9,MATCH(ROUNDUP((I$1)/10,0)*10,[1]Hugst!$R$4:$W$4,0))))</f>
        <v>0</v>
      </c>
      <c r="J310">
        <f ca="1">IF($C310-J$1&lt;År1,0,I309*(1-VLOOKUP($A310,[1]Hugst!$R$5:$W$9,MATCH(ROUNDUP((J$1)/10,0)*10,[1]Hugst!$R$4:$W$4,0))))</f>
        <v>0</v>
      </c>
      <c r="K310">
        <f ca="1">IF($C310-K$1&lt;År1,0,J309*(1-VLOOKUP($A310,[1]Hugst!$R$5:$W$9,MATCH(ROUNDUP((K$1)/10,0)*10,[1]Hugst!$R$4:$W$4,0))))</f>
        <v>0</v>
      </c>
      <c r="L310">
        <f ca="1">IF($C310-L$1&lt;År1,0,K309*(1-VLOOKUP($A310,[1]Hugst!$R$5:$W$9,MATCH(ROUNDUP((L$1)/10,0)*10,[1]Hugst!$R$4:$W$4,0))))</f>
        <v>0</v>
      </c>
      <c r="M310">
        <f ca="1">IF($C310-M$1&lt;År1,0,L309*(1-VLOOKUP($A310,[1]Hugst!$R$5:$W$9,MATCH(ROUNDUP((M$1)/10,0)*10,[1]Hugst!$R$4:$W$4,0))))</f>
        <v>0</v>
      </c>
      <c r="N310">
        <f ca="1">IF($C310-N$1&lt;År1,0,M309*(1-VLOOKUP($A310,[1]Hugst!$R$5:$W$9,MATCH(ROUNDUP((N$1)/10,0)*10,[1]Hugst!$R$4:$W$4,0))))</f>
        <v>0</v>
      </c>
      <c r="O310">
        <f ca="1">IF($C310-O$1&lt;År1,0,N309*(1-VLOOKUP($A310,[1]Hugst!$R$5:$W$9,MATCH(ROUNDUP((O$1)/10,0)*10,[1]Hugst!$R$4:$W$4,0))))</f>
        <v>0</v>
      </c>
      <c r="P310">
        <f ca="1">IF($C310-P$1&lt;År1,0,O309*(1-VLOOKUP($A310,[1]Hugst!$R$5:$W$9,MATCH(ROUNDUP((P$1)/10,0)*10,[1]Hugst!$R$4:$W$4,0))))</f>
        <v>0</v>
      </c>
      <c r="Q310">
        <f ca="1">IF($C310-Q$1&lt;År1,0,P309*(1-VLOOKUP($A310,[1]Hugst!$R$5:$W$9,MATCH(ROUNDUP((Q$1)/10,0)*10,[1]Hugst!$R$4:$W$4,0))))</f>
        <v>0</v>
      </c>
      <c r="R310">
        <f ca="1">IF($C310-R$1&lt;År1,0,Q309*(1-VLOOKUP($A310,[1]Hugst!$R$5:$W$9,MATCH(ROUNDUP((R$1)/10,0)*10,[1]Hugst!$R$4:$W$4,0))))</f>
        <v>0</v>
      </c>
      <c r="S310">
        <f ca="1">IF($C310-S$1&lt;År1,0,R309*(1-VLOOKUP($A310,[1]Hugst!$R$5:$W$9,MATCH(ROUNDUP((S$1)/10,0)*10,[1]Hugst!$R$4:$W$4,0))))</f>
        <v>0</v>
      </c>
      <c r="T310">
        <f ca="1">IF($C310-T$1&lt;År1,0,S309*(1-VLOOKUP($A310,[1]Hugst!$R$5:$W$9,MATCH(ROUNDUP((T$1)/10,0)*10,[1]Hugst!$R$4:$W$4,0))))</f>
        <v>0</v>
      </c>
      <c r="U310">
        <f ca="1">IF($C310-U$1&lt;År1,0,T309*(1-VLOOKUP($A310,[1]Hugst!$R$5:$W$9,MATCH(ROUNDUP((U$1)/10,0)*10,[1]Hugst!$R$4:$W$4,0))))</f>
        <v>0</v>
      </c>
      <c r="V310">
        <f ca="1">IF($C310-V$1&lt;År1,0,U309*(1-VLOOKUP($A310,[1]Hugst!$R$5:$W$9,MATCH(ROUNDUP((V$1)/10,0)*10,[1]Hugst!$R$4:$W$4,0))))</f>
        <v>0</v>
      </c>
      <c r="W310">
        <f ca="1">IF($C310-W$1&lt;År1,0,V309*(1-VLOOKUP($A310,[1]Hugst!$R$5:$W$9,MATCH(ROUNDUP((W$1)/10,0)*10,[1]Hugst!$R$4:$W$4,0))))</f>
        <v>0</v>
      </c>
      <c r="X310">
        <f ca="1">IF($C310-X$1&lt;År1,0,W309*(1-VLOOKUP($A310,[1]Hugst!$R$5:$W$9,MATCH(ROUNDUP((X$1)/10,0)*10,[1]Hugst!$R$4:$W$4,0))))</f>
        <v>0</v>
      </c>
      <c r="Y310">
        <f ca="1">IF($C310-Y$1&lt;År1,0,X309*(1-VLOOKUP($A310,[1]Hugst!$R$5:$W$9,MATCH(ROUNDUP((Y$1)/10,0)*10,[1]Hugst!$R$4:$W$4,0))))</f>
        <v>0</v>
      </c>
      <c r="Z310">
        <f ca="1">IF($C310-Z$1&lt;År1,0,Y309*(1-VLOOKUP($A310,[1]Hugst!$R$5:$W$9,MATCH(ROUNDUP((Z$1)/10,0)*10,[1]Hugst!$R$4:$W$4,0))))</f>
        <v>0</v>
      </c>
      <c r="AA310">
        <f ca="1">IF($C310-AA$1&lt;År1,0,Z309*(1-VLOOKUP($A310,[1]Hugst!$R$5:$W$9,MATCH(ROUNDUP((AA$1)/10,0)*10,[1]Hugst!$R$4:$W$4,0))))</f>
        <v>0</v>
      </c>
      <c r="AB310">
        <f ca="1">IF($C310-AB$1&lt;År1,0,AA309*(1-VLOOKUP($A310,[1]Hugst!$R$5:$W$9,MATCH(ROUNDUP((AB$1)/10,0)*10,[1]Hugst!$R$4:$W$4,0))))</f>
        <v>0</v>
      </c>
      <c r="AC310">
        <f ca="1">IF($C310-AC$1&lt;År1,0,AB309*(1-VLOOKUP($A310,[1]Hugst!$R$5:$W$9,MATCH(ROUNDUP((AC$1)/10,0)*10,[1]Hugst!$R$4:$W$4,0))))</f>
        <v>0</v>
      </c>
      <c r="AD310">
        <f ca="1">IF($C310-AD$1&lt;År1,0,AC309*(1-VLOOKUP($A310,[1]Hugst!$R$5:$W$9,MATCH(ROUNDUP((AD$1)/10,0)*10,[1]Hugst!$R$4:$W$4,0))))</f>
        <v>0</v>
      </c>
      <c r="AE310">
        <f ca="1">IF($C310-AE$1&lt;År1,0,AD309*(1-VLOOKUP($A310,[1]Hugst!$R$5:$W$9,MATCH(ROUNDUP((AE$1)/10,0)*10,[1]Hugst!$R$4:$W$4,0))))</f>
        <v>0</v>
      </c>
      <c r="AF310">
        <f ca="1">IF($C310-AF$1&lt;År1,0,AE309*(1-VLOOKUP($A310,[1]Hugst!$R$5:$W$9,MATCH(ROUNDUP((AF$1)/10,0)*10,[1]Hugst!$R$4:$W$4,0))))</f>
        <v>0</v>
      </c>
      <c r="AG310">
        <f ca="1">IF($C310-AG$1&lt;År1,0,AF309*(1-VLOOKUP($A310,[1]Hugst!$R$5:$W$9,MATCH(ROUNDUP((AG$1)/10,0)*10,[1]Hugst!$R$4:$W$4,0))))</f>
        <v>0</v>
      </c>
      <c r="AH310">
        <f ca="1">IF($C310-AH$1&lt;År1,0,AG309*(1-VLOOKUP($A310,[1]Hugst!$R$5:$W$9,MATCH(ROUNDUP((AH$1)/10,0)*10,[1]Hugst!$R$4:$W$4,0))))</f>
        <v>0</v>
      </c>
      <c r="AI310">
        <f ca="1">IF($C310-AI$1&lt;År1,0,AH309*(1-VLOOKUP($A310,[1]Hugst!$R$5:$W$9,MATCH(ROUNDUP((AI$1)/10,0)*10,[1]Hugst!$R$4:$W$4,0))))</f>
        <v>0</v>
      </c>
      <c r="AJ310">
        <f>IF($C310-AJ$1&lt;År1,0,AI309*(1-VLOOKUP($A310,[1]Hugst!$R$5:$W$9,MATCH(ROUNDUP((AJ$1)/10,0)*10,[1]Hugst!$R$4:$W$4,0))))</f>
        <v>0</v>
      </c>
    </row>
    <row r="311" spans="1:36" x14ac:dyDescent="0.25">
      <c r="A311" t="s">
        <v>180</v>
      </c>
      <c r="B311" t="s">
        <v>24</v>
      </c>
      <c r="C311">
        <v>2050</v>
      </c>
      <c r="D311" cm="1">
        <f t="array" ref="D311">(IF(B311="Vestdanmark",Skovbrug!$C$22-(Skovbrug!$C$22)*(1-Skovbrug!$C$9)^(C311-Skovbrug!$B$12),Skovbrug!$F$22-(Skovbrug!$F$22)*(1-Skovbrug!$C$9)^(C311-Skovbrug!$B$12)))*VLOOKUP(A311,Skovbrug!$A$13:$D$17,IF('Skovbrug-alder'!C311&lt;=År2,3,4),FALSE)
-IF(C311&gt;2020,SUM(INDEX($C$1:$D$311,MATCH(1,(2020=$C$1:$C$311)*(B311=$B$1:$B$311)*(A311=$A$1:$A$311),0),2):D310),0)</f>
        <v>0</v>
      </c>
      <c r="E311">
        <f ca="1">IF(C311=2020,SUM(G311:AJ311),SUM(F310:AJ310)-SUM(G311:AJ311))</f>
        <v>0</v>
      </c>
      <c r="F311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>
        <f ca="1">IF($C311-G$1&lt;År1,0,F310*(1-VLOOKUP($A311,[1]Hugst!$R$5:$W$9,MATCH(ROUNDUP((G$1)/10,0)*10,[1]Hugst!$R$4:$W$4,0))))</f>
        <v>0</v>
      </c>
      <c r="H311">
        <f ca="1">IF($C311-H$1&lt;År1,0,G310*(1-VLOOKUP($A311,[1]Hugst!$R$5:$W$9,MATCH(ROUNDUP((H$1)/10,0)*10,[1]Hugst!$R$4:$W$4,0))))</f>
        <v>0</v>
      </c>
      <c r="I311">
        <f ca="1">IF($C311-I$1&lt;År1,0,H310*(1-VLOOKUP($A311,[1]Hugst!$R$5:$W$9,MATCH(ROUNDUP((I$1)/10,0)*10,[1]Hugst!$R$4:$W$4,0))))</f>
        <v>0</v>
      </c>
      <c r="J311">
        <f ca="1">IF($C311-J$1&lt;År1,0,I310*(1-VLOOKUP($A311,[1]Hugst!$R$5:$W$9,MATCH(ROUNDUP((J$1)/10,0)*10,[1]Hugst!$R$4:$W$4,0))))</f>
        <v>0</v>
      </c>
      <c r="K311">
        <f ca="1">IF($C311-K$1&lt;År1,0,J310*(1-VLOOKUP($A311,[1]Hugst!$R$5:$W$9,MATCH(ROUNDUP((K$1)/10,0)*10,[1]Hugst!$R$4:$W$4,0))))</f>
        <v>0</v>
      </c>
      <c r="L311">
        <f ca="1">IF($C311-L$1&lt;År1,0,K310*(1-VLOOKUP($A311,[1]Hugst!$R$5:$W$9,MATCH(ROUNDUP((L$1)/10,0)*10,[1]Hugst!$R$4:$W$4,0))))</f>
        <v>0</v>
      </c>
      <c r="M311">
        <f ca="1">IF($C311-M$1&lt;År1,0,L310*(1-VLOOKUP($A311,[1]Hugst!$R$5:$W$9,MATCH(ROUNDUP((M$1)/10,0)*10,[1]Hugst!$R$4:$W$4,0))))</f>
        <v>0</v>
      </c>
      <c r="N311">
        <f ca="1">IF($C311-N$1&lt;År1,0,M310*(1-VLOOKUP($A311,[1]Hugst!$R$5:$W$9,MATCH(ROUNDUP((N$1)/10,0)*10,[1]Hugst!$R$4:$W$4,0))))</f>
        <v>0</v>
      </c>
      <c r="O311">
        <f ca="1">IF($C311-O$1&lt;År1,0,N310*(1-VLOOKUP($A311,[1]Hugst!$R$5:$W$9,MATCH(ROUNDUP((O$1)/10,0)*10,[1]Hugst!$R$4:$W$4,0))))</f>
        <v>0</v>
      </c>
      <c r="P311">
        <f ca="1">IF($C311-P$1&lt;År1,0,O310*(1-VLOOKUP($A311,[1]Hugst!$R$5:$W$9,MATCH(ROUNDUP((P$1)/10,0)*10,[1]Hugst!$R$4:$W$4,0))))</f>
        <v>0</v>
      </c>
      <c r="Q311">
        <f ca="1">IF($C311-Q$1&lt;År1,0,P310*(1-VLOOKUP($A311,[1]Hugst!$R$5:$W$9,MATCH(ROUNDUP((Q$1)/10,0)*10,[1]Hugst!$R$4:$W$4,0))))</f>
        <v>0</v>
      </c>
      <c r="R311">
        <f ca="1">IF($C311-R$1&lt;År1,0,Q310*(1-VLOOKUP($A311,[1]Hugst!$R$5:$W$9,MATCH(ROUNDUP((R$1)/10,0)*10,[1]Hugst!$R$4:$W$4,0))))</f>
        <v>0</v>
      </c>
      <c r="S311">
        <f ca="1">IF($C311-S$1&lt;År1,0,R310*(1-VLOOKUP($A311,[1]Hugst!$R$5:$W$9,MATCH(ROUNDUP((S$1)/10,0)*10,[1]Hugst!$R$4:$W$4,0))))</f>
        <v>0</v>
      </c>
      <c r="T311">
        <f ca="1">IF($C311-T$1&lt;År1,0,S310*(1-VLOOKUP($A311,[1]Hugst!$R$5:$W$9,MATCH(ROUNDUP((T$1)/10,0)*10,[1]Hugst!$R$4:$W$4,0))))</f>
        <v>0</v>
      </c>
      <c r="U311">
        <f ca="1">IF($C311-U$1&lt;År1,0,T310*(1-VLOOKUP($A311,[1]Hugst!$R$5:$W$9,MATCH(ROUNDUP((U$1)/10,0)*10,[1]Hugst!$R$4:$W$4,0))))</f>
        <v>0</v>
      </c>
      <c r="V311">
        <f ca="1">IF($C311-V$1&lt;År1,0,U310*(1-VLOOKUP($A311,[1]Hugst!$R$5:$W$9,MATCH(ROUNDUP((V$1)/10,0)*10,[1]Hugst!$R$4:$W$4,0))))</f>
        <v>0</v>
      </c>
      <c r="W311">
        <f ca="1">IF($C311-W$1&lt;År1,0,V310*(1-VLOOKUP($A311,[1]Hugst!$R$5:$W$9,MATCH(ROUNDUP((W$1)/10,0)*10,[1]Hugst!$R$4:$W$4,0))))</f>
        <v>0</v>
      </c>
      <c r="X311">
        <f ca="1">IF($C311-X$1&lt;År1,0,W310*(1-VLOOKUP($A311,[1]Hugst!$R$5:$W$9,MATCH(ROUNDUP((X$1)/10,0)*10,[1]Hugst!$R$4:$W$4,0))))</f>
        <v>0</v>
      </c>
      <c r="Y311">
        <f ca="1">IF($C311-Y$1&lt;År1,0,X310*(1-VLOOKUP($A311,[1]Hugst!$R$5:$W$9,MATCH(ROUNDUP((Y$1)/10,0)*10,[1]Hugst!$R$4:$W$4,0))))</f>
        <v>0</v>
      </c>
      <c r="Z311">
        <f ca="1">IF($C311-Z$1&lt;År1,0,Y310*(1-VLOOKUP($A311,[1]Hugst!$R$5:$W$9,MATCH(ROUNDUP((Z$1)/10,0)*10,[1]Hugst!$R$4:$W$4,0))))</f>
        <v>0</v>
      </c>
      <c r="AA311">
        <f ca="1">IF($C311-AA$1&lt;År1,0,Z310*(1-VLOOKUP($A311,[1]Hugst!$R$5:$W$9,MATCH(ROUNDUP((AA$1)/10,0)*10,[1]Hugst!$R$4:$W$4,0))))</f>
        <v>0</v>
      </c>
      <c r="AB311">
        <f ca="1">IF($C311-AB$1&lt;År1,0,AA310*(1-VLOOKUP($A311,[1]Hugst!$R$5:$W$9,MATCH(ROUNDUP((AB$1)/10,0)*10,[1]Hugst!$R$4:$W$4,0))))</f>
        <v>0</v>
      </c>
      <c r="AC311">
        <f ca="1">IF($C311-AC$1&lt;År1,0,AB310*(1-VLOOKUP($A311,[1]Hugst!$R$5:$W$9,MATCH(ROUNDUP((AC$1)/10,0)*10,[1]Hugst!$R$4:$W$4,0))))</f>
        <v>0</v>
      </c>
      <c r="AD311">
        <f ca="1">IF($C311-AD$1&lt;År1,0,AC310*(1-VLOOKUP($A311,[1]Hugst!$R$5:$W$9,MATCH(ROUNDUP((AD$1)/10,0)*10,[1]Hugst!$R$4:$W$4,0))))</f>
        <v>0</v>
      </c>
      <c r="AE311">
        <f ca="1">IF($C311-AE$1&lt;År1,0,AD310*(1-VLOOKUP($A311,[1]Hugst!$R$5:$W$9,MATCH(ROUNDUP((AE$1)/10,0)*10,[1]Hugst!$R$4:$W$4,0))))</f>
        <v>0</v>
      </c>
      <c r="AF311">
        <f ca="1">IF($C311-AF$1&lt;År1,0,AE310*(1-VLOOKUP($A311,[1]Hugst!$R$5:$W$9,MATCH(ROUNDUP((AF$1)/10,0)*10,[1]Hugst!$R$4:$W$4,0))))</f>
        <v>0</v>
      </c>
      <c r="AG311">
        <f ca="1">IF($C311-AG$1&lt;År1,0,AF310*(1-VLOOKUP($A311,[1]Hugst!$R$5:$W$9,MATCH(ROUNDUP((AG$1)/10,0)*10,[1]Hugst!$R$4:$W$4,0))))</f>
        <v>0</v>
      </c>
      <c r="AH311">
        <f ca="1">IF($C311-AH$1&lt;År1,0,AG310*(1-VLOOKUP($A311,[1]Hugst!$R$5:$W$9,MATCH(ROUNDUP((AH$1)/10,0)*10,[1]Hugst!$R$4:$W$4,0))))</f>
        <v>0</v>
      </c>
      <c r="AI311">
        <f ca="1">IF($C311-AI$1&lt;År1,0,AH310*(1-VLOOKUP($A311,[1]Hugst!$R$5:$W$9,MATCH(ROUNDUP((AI$1)/10,0)*10,[1]Hugst!$R$4:$W$4,0))))</f>
        <v>0</v>
      </c>
      <c r="AJ311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E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293" t="s">
        <v>271</v>
      </c>
      <c r="F1" s="73"/>
    </row>
    <row r="2" spans="1:7" s="296" customFormat="1" x14ac:dyDescent="0.25">
      <c r="A2" s="295"/>
      <c r="C2" s="416" t="s">
        <v>317</v>
      </c>
      <c r="D2" s="416"/>
      <c r="E2" s="416"/>
    </row>
    <row r="3" spans="1:7" x14ac:dyDescent="0.25">
      <c r="B3" s="300"/>
      <c r="C3" s="2">
        <f>År1</f>
        <v>2019</v>
      </c>
      <c r="D3" s="2">
        <f>År2</f>
        <v>2030</v>
      </c>
      <c r="E3" s="2">
        <f>År3</f>
        <v>2050</v>
      </c>
      <c r="F3" s="301" t="s">
        <v>318</v>
      </c>
      <c r="G3" s="1" t="s">
        <v>314</v>
      </c>
    </row>
    <row r="4" spans="1:7" x14ac:dyDescent="0.25">
      <c r="A4" s="102" t="s">
        <v>98</v>
      </c>
      <c r="B4" s="2" t="s">
        <v>23</v>
      </c>
      <c r="C4" s="107">
        <f>(502+3901)/10/F4</f>
        <v>2.9353333333333332E-3</v>
      </c>
      <c r="D4" s="3">
        <f>C4</f>
        <v>2.9353333333333332E-3</v>
      </c>
      <c r="E4" s="3">
        <f>D4</f>
        <v>2.9353333333333332E-3</v>
      </c>
      <c r="F4" s="297">
        <v>150000</v>
      </c>
      <c r="G4" s="417"/>
    </row>
    <row r="5" spans="1:7" x14ac:dyDescent="0.25">
      <c r="A5" s="102" t="s">
        <v>98</v>
      </c>
      <c r="B5" s="2" t="s">
        <v>24</v>
      </c>
      <c r="C5" s="298">
        <f>(0.6)/F5</f>
        <v>1.2E-5</v>
      </c>
      <c r="D5" s="3">
        <f t="shared" ref="D5:E5" si="0">C5</f>
        <v>1.2E-5</v>
      </c>
      <c r="E5" s="3">
        <f t="shared" si="0"/>
        <v>1.2E-5</v>
      </c>
      <c r="F5" s="104">
        <v>50000</v>
      </c>
      <c r="G5" s="417"/>
    </row>
    <row r="6" spans="1:7" x14ac:dyDescent="0.25">
      <c r="A6" s="102" t="s">
        <v>99</v>
      </c>
      <c r="B6" s="2" t="s">
        <v>23</v>
      </c>
      <c r="C6" s="107">
        <f>17/F6</f>
        <v>3.6170212765957447E-4</v>
      </c>
      <c r="D6" s="3">
        <f t="shared" ref="D6:E6" si="1">C6</f>
        <v>3.6170212765957447E-4</v>
      </c>
      <c r="E6" s="3">
        <f t="shared" si="1"/>
        <v>3.6170212765957447E-4</v>
      </c>
      <c r="F6" s="297">
        <v>47000</v>
      </c>
      <c r="G6" s="418"/>
    </row>
    <row r="7" spans="1:7" x14ac:dyDescent="0.25">
      <c r="A7" s="102" t="s">
        <v>99</v>
      </c>
      <c r="B7" s="2" t="s">
        <v>24</v>
      </c>
      <c r="C7" s="7">
        <f>0/F7</f>
        <v>0</v>
      </c>
      <c r="D7" s="3">
        <f t="shared" ref="D7:E7" si="2">C7</f>
        <v>0</v>
      </c>
      <c r="E7" s="3">
        <f t="shared" si="2"/>
        <v>0</v>
      </c>
      <c r="F7" s="297">
        <v>20000</v>
      </c>
      <c r="G7" s="418"/>
    </row>
    <row r="8" spans="1:7" x14ac:dyDescent="0.25">
      <c r="A8" s="294"/>
      <c r="C8" s="1" t="s">
        <v>240</v>
      </c>
      <c r="F8" s="73"/>
    </row>
    <row r="9" spans="1:7" x14ac:dyDescent="0.25">
      <c r="A9" s="294"/>
    </row>
    <row r="10" spans="1:7" x14ac:dyDescent="0.25">
      <c r="B10" s="1" t="s">
        <v>23</v>
      </c>
      <c r="E10" s="1" t="s">
        <v>24</v>
      </c>
    </row>
    <row r="11" spans="1:7" x14ac:dyDescent="0.25">
      <c r="B11" s="138">
        <f>År1</f>
        <v>2019</v>
      </c>
      <c r="C11" s="138">
        <f>År2</f>
        <v>2030</v>
      </c>
      <c r="D11" s="138">
        <f>År3</f>
        <v>2050</v>
      </c>
      <c r="E11" s="138">
        <f>År1</f>
        <v>2019</v>
      </c>
      <c r="F11" s="138">
        <f>År2</f>
        <v>2030</v>
      </c>
      <c r="G11" s="138">
        <f>År3</f>
        <v>2050</v>
      </c>
    </row>
    <row r="12" spans="1:7" x14ac:dyDescent="0.25">
      <c r="A12" s="102" t="s">
        <v>98</v>
      </c>
      <c r="B12" s="1">
        <f>C4*$F4</f>
        <v>440.29999999999995</v>
      </c>
      <c r="C12" s="1">
        <f t="shared" ref="C12:D12" si="3">D4*$F4</f>
        <v>440.29999999999995</v>
      </c>
      <c r="D12" s="1">
        <f t="shared" si="3"/>
        <v>440.29999999999995</v>
      </c>
      <c r="E12" s="1">
        <f>C5*$F$5</f>
        <v>0.6</v>
      </c>
      <c r="F12" s="1">
        <f t="shared" ref="F12:G12" si="4">D5*$F$5</f>
        <v>0.6</v>
      </c>
      <c r="G12" s="1">
        <f t="shared" si="4"/>
        <v>0.6</v>
      </c>
    </row>
    <row r="13" spans="1:7" x14ac:dyDescent="0.25">
      <c r="A13" s="102" t="s">
        <v>99</v>
      </c>
      <c r="B13" s="1">
        <f>C6*$F6</f>
        <v>17</v>
      </c>
      <c r="C13" s="1">
        <f t="shared" ref="C13:D13" si="5">D6*$F6</f>
        <v>17</v>
      </c>
      <c r="D13" s="1">
        <f t="shared" si="5"/>
        <v>17</v>
      </c>
      <c r="E13" s="1">
        <f>C7*$F$7</f>
        <v>0</v>
      </c>
      <c r="F13" s="1">
        <f t="shared" ref="F13:G13" si="6">D7*$F$7</f>
        <v>0</v>
      </c>
      <c r="G13" s="1">
        <f t="shared" si="6"/>
        <v>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D5" sqref="C5:D5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03" t="s">
        <v>271</v>
      </c>
    </row>
    <row r="2" spans="1:10" ht="15.75" x14ac:dyDescent="0.25">
      <c r="A2" s="201" t="s">
        <v>25</v>
      </c>
    </row>
    <row r="3" spans="1:10" x14ac:dyDescent="0.25">
      <c r="A3" s="6" t="s">
        <v>301</v>
      </c>
    </row>
    <row r="4" spans="1:10" x14ac:dyDescent="0.25">
      <c r="A4" s="24" t="s">
        <v>154</v>
      </c>
      <c r="B4" s="82">
        <f>År1</f>
        <v>2019</v>
      </c>
      <c r="C4" s="82">
        <f>År2</f>
        <v>2030</v>
      </c>
      <c r="D4" s="82">
        <f>År3</f>
        <v>2050</v>
      </c>
      <c r="F4" s="24" t="s">
        <v>321</v>
      </c>
      <c r="G4" s="24"/>
      <c r="H4" s="82">
        <f>År1</f>
        <v>2019</v>
      </c>
      <c r="I4" s="82">
        <f>År2</f>
        <v>2030</v>
      </c>
      <c r="J4" s="82">
        <f>År3</f>
        <v>2050</v>
      </c>
    </row>
    <row r="5" spans="1:10" x14ac:dyDescent="0.25">
      <c r="A5" s="2" t="s">
        <v>220</v>
      </c>
      <c r="B5" s="84">
        <v>0</v>
      </c>
      <c r="C5" s="3"/>
      <c r="D5" s="3"/>
      <c r="F5" s="24" t="str">
        <f>A5</f>
        <v>Planteprotein*</v>
      </c>
      <c r="G5" s="24" t="s">
        <v>49</v>
      </c>
      <c r="H5" s="10">
        <f ca="1">SUMIFS('Resultat-Produktion &amp; forbrug'!$O$4:$O$1001,'Resultat-Produktion &amp; forbrug'!$A$4:$A$1001,Adfærd!$G5,'Resultat-Produktion &amp; forbrug'!$E$4:$E$1001,Adfærd!H$4)</f>
        <v>212954.7645341866</v>
      </c>
      <c r="I5" s="10">
        <f ca="1">SUMIFS('Resultat-Produktion &amp; forbrug'!$O$4:$O$1001,'Resultat-Produktion &amp; forbrug'!$A$4:$A$1001,Adfærd!$G5,'Resultat-Produktion &amp; forbrug'!$E$4:$E$1001,Adfærd!I$4)</f>
        <v>214017.95756831454</v>
      </c>
      <c r="J5" s="10">
        <f ca="1">SUMIFS('Resultat-Produktion &amp; forbrug'!$O$4:$O$1001,'Resultat-Produktion &amp; forbrug'!$A$4:$A$1001,Adfærd!$G5,'Resultat-Produktion &amp; forbrug'!$E$4:$E$1001,Adfærd!J$4)</f>
        <v>210893.10462341903</v>
      </c>
    </row>
    <row r="6" spans="1:10" x14ac:dyDescent="0.25">
      <c r="A6" s="2" t="s">
        <v>106</v>
      </c>
      <c r="B6" s="84">
        <v>0</v>
      </c>
      <c r="C6" s="3"/>
      <c r="D6" s="3"/>
      <c r="F6" s="24" t="str">
        <f t="shared" ref="F6:F7" si="0">A6</f>
        <v>Muslinger</v>
      </c>
      <c r="G6" s="24" t="s">
        <v>106</v>
      </c>
      <c r="H6" s="10">
        <f ca="1">SUMIFS('Resultat-Produktion &amp; forbrug'!$O$4:$O$1001,'Resultat-Produktion &amp; forbrug'!$A$4:$A$1001,Adfærd!$G6,'Resultat-Produktion &amp; forbrug'!$E$4:$E$1001,Adfærd!H$4)</f>
        <v>880.09999999999991</v>
      </c>
      <c r="I6" s="10">
        <f ca="1">SUMIFS('Resultat-Produktion &amp; forbrug'!$O$4:$O$1001,'Resultat-Produktion &amp; forbrug'!$A$4:$A$1001,Adfærd!$G6,'Resultat-Produktion &amp; forbrug'!$E$4:$E$1001,Adfærd!I$4)</f>
        <v>880.09999999999991</v>
      </c>
      <c r="J6" s="10">
        <f ca="1">SUMIFS('Resultat-Produktion &amp; forbrug'!$O$4:$O$1001,'Resultat-Produktion &amp; forbrug'!$A$4:$A$1001,Adfærd!$G6,'Resultat-Produktion &amp; forbrug'!$E$4:$E$1001,Adfærd!J$4)</f>
        <v>880.09999999999991</v>
      </c>
    </row>
    <row r="7" spans="1:10" x14ac:dyDescent="0.25">
      <c r="A7" s="2" t="s">
        <v>99</v>
      </c>
      <c r="B7" s="84">
        <v>0</v>
      </c>
      <c r="C7" s="3"/>
      <c r="D7" s="3"/>
      <c r="F7" s="24" t="str">
        <f t="shared" si="0"/>
        <v>Tang</v>
      </c>
      <c r="G7" s="24" t="s">
        <v>99</v>
      </c>
      <c r="H7" s="10">
        <f ca="1">SUMIFS('Resultat-Produktion &amp; forbrug'!$O$4:$O$1001,'Resultat-Produktion &amp; forbrug'!$A$4:$A$1001,Adfærd!$G7,'Resultat-Produktion &amp; forbrug'!$E$4:$E$1001,Adfærd!H$4)</f>
        <v>76.5</v>
      </c>
      <c r="I7" s="10">
        <f ca="1">SUMIFS('Resultat-Produktion &amp; forbrug'!$O$4:$O$1001,'Resultat-Produktion &amp; forbrug'!$A$4:$A$1001,Adfærd!$G7,'Resultat-Produktion &amp; forbrug'!$E$4:$E$1001,Adfærd!I$4)</f>
        <v>382.5</v>
      </c>
      <c r="J7" s="10">
        <f ca="1">SUMIFS('Resultat-Produktion &amp; forbrug'!$O$4:$O$1001,'Resultat-Produktion &amp; forbrug'!$A$4:$A$1001,Adfærd!$G7,'Resultat-Produktion &amp; forbrug'!$E$4:$E$1001,Adfærd!J$4)</f>
        <v>382.5</v>
      </c>
    </row>
    <row r="8" spans="1:10" x14ac:dyDescent="0.25">
      <c r="A8" s="2" t="s">
        <v>206</v>
      </c>
      <c r="B8" s="84">
        <v>0</v>
      </c>
      <c r="C8" s="3"/>
      <c r="D8" s="3"/>
    </row>
    <row r="9" spans="1:10" x14ac:dyDescent="0.25">
      <c r="A9" s="1" t="s">
        <v>221</v>
      </c>
      <c r="B9" s="13"/>
      <c r="C9" s="13"/>
      <c r="D9" s="13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2">
        <f>År1</f>
        <v>2019</v>
      </c>
      <c r="C11" s="82">
        <f>År2</f>
        <v>2030</v>
      </c>
      <c r="D11" s="82">
        <f>År3</f>
        <v>2050</v>
      </c>
    </row>
    <row r="12" spans="1:10" x14ac:dyDescent="0.25">
      <c r="A12" s="1" t="s">
        <v>319</v>
      </c>
      <c r="B12" s="84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64" t="s">
        <v>320</v>
      </c>
      <c r="B13" s="84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B14" s="13"/>
      <c r="C14" s="13"/>
      <c r="D14" s="13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2">
        <f>År1</f>
        <v>2019</v>
      </c>
      <c r="C16" s="82">
        <f>År2</f>
        <v>2030</v>
      </c>
      <c r="D16" s="82">
        <f>År3</f>
        <v>2050</v>
      </c>
    </row>
    <row r="17" spans="1:9" hidden="1" x14ac:dyDescent="0.25">
      <c r="A17" s="2" t="s">
        <v>48</v>
      </c>
      <c r="B17" s="103">
        <v>218</v>
      </c>
      <c r="C17" s="108">
        <f>B17</f>
        <v>218</v>
      </c>
      <c r="D17" s="108">
        <f>B17</f>
        <v>218</v>
      </c>
      <c r="I17" s="105"/>
    </row>
    <row r="18" spans="1:9" hidden="1" x14ac:dyDescent="0.25">
      <c r="A18" s="2" t="s">
        <v>6</v>
      </c>
      <c r="B18" s="103">
        <v>199</v>
      </c>
      <c r="C18" s="108">
        <f>B18</f>
        <v>199</v>
      </c>
      <c r="D18" s="108">
        <f>B18</f>
        <v>199</v>
      </c>
    </row>
    <row r="19" spans="1:9" hidden="1" x14ac:dyDescent="0.25">
      <c r="A19" s="2" t="s">
        <v>12</v>
      </c>
      <c r="B19" s="103">
        <v>91</v>
      </c>
      <c r="C19" s="108">
        <f>B19</f>
        <v>91</v>
      </c>
      <c r="D19" s="108">
        <f>B19</f>
        <v>91</v>
      </c>
    </row>
    <row r="20" spans="1:9" hidden="1" x14ac:dyDescent="0.25">
      <c r="A20" s="2" t="s">
        <v>13</v>
      </c>
      <c r="B20" s="108">
        <f>B32*B34</f>
        <v>89.78</v>
      </c>
      <c r="C20" s="108">
        <f>$B20*(1-SUM(C$5:C$8))</f>
        <v>89.78</v>
      </c>
      <c r="D20" s="108">
        <f>$B20*(1-SUM(D$5:D$8))</f>
        <v>89.78</v>
      </c>
    </row>
    <row r="21" spans="1:9" hidden="1" x14ac:dyDescent="0.25">
      <c r="A21" s="2" t="s">
        <v>14</v>
      </c>
      <c r="B21" s="108">
        <f>B32*B33</f>
        <v>44.22</v>
      </c>
      <c r="C21" s="108">
        <f>$B21*(1-SUM(C$5:C$8))</f>
        <v>44.22</v>
      </c>
      <c r="D21" s="108">
        <f>$B21*(1-SUM(D$5:D$8))</f>
        <v>44.22</v>
      </c>
    </row>
    <row r="22" spans="1:9" hidden="1" x14ac:dyDescent="0.25">
      <c r="A22" s="2" t="s">
        <v>49</v>
      </c>
      <c r="B22" s="108">
        <f>SUM($B$20:$B$21,$B$27)*B5</f>
        <v>0</v>
      </c>
      <c r="C22" s="108">
        <f t="shared" ref="C22:D22" si="1">SUM($B$20:$B$21,$B$27)*C5</f>
        <v>0</v>
      </c>
      <c r="D22" s="108">
        <f t="shared" si="1"/>
        <v>0</v>
      </c>
      <c r="F22" s="1" t="s">
        <v>205</v>
      </c>
    </row>
    <row r="23" spans="1:9" hidden="1" x14ac:dyDescent="0.25">
      <c r="A23" s="2" t="s">
        <v>106</v>
      </c>
      <c r="B23" s="108">
        <f>SUM($B$20:$B$21,$B$27)*B6</f>
        <v>0</v>
      </c>
      <c r="C23" s="108">
        <f t="shared" ref="C23:D25" si="2">SUM($B$20:$B$21,$B$27)*C6</f>
        <v>0</v>
      </c>
      <c r="D23" s="108">
        <f t="shared" si="2"/>
        <v>0</v>
      </c>
      <c r="F23" s="1" t="s">
        <v>207</v>
      </c>
    </row>
    <row r="24" spans="1:9" hidden="1" x14ac:dyDescent="0.25">
      <c r="A24" s="2" t="s">
        <v>99</v>
      </c>
      <c r="B24" s="108">
        <f>SUM($B$20:$B$21,$B$27)*B7</f>
        <v>0</v>
      </c>
      <c r="C24" s="108">
        <f t="shared" si="2"/>
        <v>0</v>
      </c>
      <c r="D24" s="108">
        <f t="shared" si="2"/>
        <v>0</v>
      </c>
    </row>
    <row r="25" spans="1:9" hidden="1" x14ac:dyDescent="0.25">
      <c r="A25" s="2" t="s">
        <v>206</v>
      </c>
      <c r="B25" s="108">
        <f>SUM($B$20:$B$21,$B$27)*B8</f>
        <v>0</v>
      </c>
      <c r="C25" s="108">
        <f t="shared" si="2"/>
        <v>0</v>
      </c>
      <c r="D25" s="108">
        <f t="shared" si="2"/>
        <v>0</v>
      </c>
    </row>
    <row r="26" spans="1:9" hidden="1" x14ac:dyDescent="0.25">
      <c r="A26" s="2" t="s">
        <v>116</v>
      </c>
      <c r="B26" s="103">
        <f>304+44</f>
        <v>348</v>
      </c>
      <c r="C26" s="108">
        <f>B26</f>
        <v>348</v>
      </c>
      <c r="D26" s="108">
        <f>B26</f>
        <v>348</v>
      </c>
      <c r="F26" s="1" t="s">
        <v>313</v>
      </c>
    </row>
    <row r="27" spans="1:9" hidden="1" x14ac:dyDescent="0.25">
      <c r="A27" s="2" t="s">
        <v>96</v>
      </c>
      <c r="B27" s="103">
        <v>26</v>
      </c>
      <c r="C27" s="108">
        <f>$B27*(1-SUM(C$5:C$8))</f>
        <v>26</v>
      </c>
      <c r="D27" s="108">
        <f>$B27*(1-SUM(D$5:D$8))</f>
        <v>26</v>
      </c>
    </row>
    <row r="28" spans="1:9" hidden="1" x14ac:dyDescent="0.25">
      <c r="A28" s="2" t="s">
        <v>15</v>
      </c>
      <c r="B28" s="103">
        <v>24</v>
      </c>
      <c r="C28" s="108">
        <f>B28</f>
        <v>24</v>
      </c>
      <c r="D28" s="108">
        <f>B28</f>
        <v>24</v>
      </c>
    </row>
    <row r="29" spans="1:9" hidden="1" x14ac:dyDescent="0.25">
      <c r="A29" s="2" t="s">
        <v>54</v>
      </c>
      <c r="B29" s="103">
        <v>190</v>
      </c>
      <c r="C29" s="108">
        <f>B29</f>
        <v>190</v>
      </c>
      <c r="D29" s="108">
        <f>B29</f>
        <v>190</v>
      </c>
    </row>
    <row r="30" spans="1:9" hidden="1" x14ac:dyDescent="0.25">
      <c r="A30" s="2" t="s">
        <v>19</v>
      </c>
      <c r="B30" s="103">
        <v>37</v>
      </c>
      <c r="C30" s="109">
        <f>B30</f>
        <v>37</v>
      </c>
      <c r="D30" s="109">
        <f>B30</f>
        <v>37</v>
      </c>
    </row>
    <row r="31" spans="1:9" hidden="1" x14ac:dyDescent="0.25">
      <c r="A31" s="286" t="s">
        <v>30</v>
      </c>
      <c r="B31" s="285">
        <f>SUM(B17:B30)</f>
        <v>1267</v>
      </c>
      <c r="C31" s="285">
        <f>SUM(C17:C30)</f>
        <v>1267</v>
      </c>
      <c r="D31" s="285">
        <f>SUM(D17:D30)</f>
        <v>1267</v>
      </c>
    </row>
    <row r="32" spans="1:9" hidden="1" x14ac:dyDescent="0.25">
      <c r="A32" s="4" t="s">
        <v>18</v>
      </c>
      <c r="B32" s="97">
        <v>134</v>
      </c>
      <c r="C32" s="13"/>
    </row>
    <row r="33" spans="1:4" hidden="1" x14ac:dyDescent="0.25">
      <c r="A33" s="4" t="s">
        <v>20</v>
      </c>
      <c r="B33" s="99">
        <v>0.33</v>
      </c>
      <c r="C33" s="13" t="s">
        <v>152</v>
      </c>
    </row>
    <row r="34" spans="1:4" hidden="1" x14ac:dyDescent="0.25">
      <c r="A34" s="5" t="s">
        <v>21</v>
      </c>
      <c r="B34" s="110">
        <v>0.67</v>
      </c>
      <c r="C34" s="13"/>
    </row>
    <row r="36" spans="1:4" x14ac:dyDescent="0.25">
      <c r="C36" s="98"/>
      <c r="D36" s="98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E19" sqref="E19"/>
    </sheetView>
  </sheetViews>
  <sheetFormatPr defaultColWidth="9.140625" defaultRowHeight="12" x14ac:dyDescent="0.2"/>
  <cols>
    <col min="1" max="1" width="15.85546875" style="114" customWidth="1"/>
    <col min="2" max="2" width="10.140625" style="114" bestFit="1" customWidth="1"/>
    <col min="3" max="3" width="10.140625" style="114" customWidth="1"/>
    <col min="4" max="4" width="11.85546875" style="114" bestFit="1" customWidth="1"/>
    <col min="5" max="5" width="11" style="114" customWidth="1"/>
    <col min="6" max="6" width="13.42578125" style="114" customWidth="1"/>
    <col min="7" max="7" width="24.28515625" style="114" customWidth="1"/>
    <col min="8" max="8" width="10" style="114" hidden="1" customWidth="1"/>
    <col min="9" max="12" width="9.28515625" style="114" hidden="1" customWidth="1"/>
    <col min="13" max="13" width="24.28515625" style="114" hidden="1" customWidth="1"/>
    <col min="14" max="14" width="12.7109375" style="114" hidden="1" customWidth="1"/>
    <col min="15" max="15" width="9.28515625" style="114" hidden="1" customWidth="1"/>
    <col min="16" max="16" width="9.85546875" style="114" hidden="1" customWidth="1"/>
    <col min="17" max="22" width="0" style="114" hidden="1" customWidth="1"/>
    <col min="23" max="23" width="2.5703125" style="114" hidden="1" customWidth="1"/>
    <col min="24" max="16384" width="9.140625" style="114"/>
  </cols>
  <sheetData>
    <row r="1" spans="1:29" ht="12.75" thickBot="1" x14ac:dyDescent="0.25">
      <c r="A1" s="202" t="s">
        <v>271</v>
      </c>
    </row>
    <row r="2" spans="1:29" ht="46.5" customHeight="1" x14ac:dyDescent="0.2">
      <c r="A2" s="206" t="s">
        <v>138</v>
      </c>
      <c r="B2" s="206">
        <f>År1</f>
        <v>2019</v>
      </c>
      <c r="C2" s="206">
        <f>År2</f>
        <v>2030</v>
      </c>
      <c r="D2" s="206">
        <f>År3</f>
        <v>2050</v>
      </c>
      <c r="E2" s="113"/>
      <c r="F2" s="422" t="s">
        <v>324</v>
      </c>
      <c r="G2" s="423"/>
      <c r="M2" s="113"/>
      <c r="Z2" s="318" t="s">
        <v>150</v>
      </c>
      <c r="AA2" s="206">
        <f>År1</f>
        <v>2019</v>
      </c>
      <c r="AB2" s="206">
        <f>År2</f>
        <v>2030</v>
      </c>
      <c r="AC2" s="206">
        <f>År3</f>
        <v>2050</v>
      </c>
    </row>
    <row r="3" spans="1:29" x14ac:dyDescent="0.2">
      <c r="A3" s="161" t="s">
        <v>135</v>
      </c>
      <c r="B3" s="207">
        <f>N12/SUMIFS('Resultater - Danmark'!H$3:H$504,'Resultater - Danmark'!$F$3:$F$504,$A3)</f>
        <v>0.16508293217043288</v>
      </c>
      <c r="C3" s="162">
        <v>0.75</v>
      </c>
      <c r="D3" s="162">
        <v>0.9</v>
      </c>
      <c r="E3" s="134"/>
      <c r="F3" s="155" t="s">
        <v>103</v>
      </c>
      <c r="G3" s="156">
        <v>0.85</v>
      </c>
      <c r="H3" s="134"/>
      <c r="N3" s="222"/>
      <c r="Z3" s="161" t="s">
        <v>110</v>
      </c>
      <c r="AA3" s="207">
        <f ca="1">SUM(C12:C14)/SUM(C12:C15)</f>
        <v>0.73155031690147754</v>
      </c>
      <c r="AB3" s="207">
        <f ca="1">SUM(D12:D14)/SUM(D12:D15)</f>
        <v>0.8068119346222018</v>
      </c>
      <c r="AC3" s="207">
        <f ca="1">SUM(E12:E14)/SUM(E12:E15)</f>
        <v>0.78911321116899646</v>
      </c>
    </row>
    <row r="4" spans="1:29" x14ac:dyDescent="0.2">
      <c r="A4" s="161" t="s">
        <v>136</v>
      </c>
      <c r="B4" s="207">
        <f ca="1">N13/SUMIFS('Resultater - Danmark'!H$3:H$504,'Resultater - Danmark'!$F$3:$F$504,$A4)</f>
        <v>0.30985833926453143</v>
      </c>
      <c r="C4" s="162">
        <v>0.75</v>
      </c>
      <c r="D4" s="162">
        <v>0.9</v>
      </c>
      <c r="E4" s="134"/>
      <c r="F4" s="155"/>
      <c r="G4" s="156"/>
      <c r="N4" s="222"/>
      <c r="Z4" s="206" t="s">
        <v>202</v>
      </c>
      <c r="AA4" s="161"/>
      <c r="AB4" s="161"/>
      <c r="AC4" s="161"/>
    </row>
    <row r="5" spans="1:29" x14ac:dyDescent="0.2">
      <c r="A5" s="161" t="s">
        <v>137</v>
      </c>
      <c r="B5" s="207">
        <v>0.5</v>
      </c>
      <c r="C5" s="162">
        <v>0.75</v>
      </c>
      <c r="D5" s="162">
        <v>0.9</v>
      </c>
      <c r="E5" s="134"/>
      <c r="F5" s="155"/>
      <c r="G5" s="156"/>
      <c r="N5" s="222"/>
      <c r="Z5" s="161" t="s">
        <v>135</v>
      </c>
      <c r="AA5" s="319">
        <f t="shared" ref="AA5:AC6" ca="1" si="0">C12/C$29</f>
        <v>0.22267199142680771</v>
      </c>
      <c r="AB5" s="319">
        <f t="shared" ca="1" si="0"/>
        <v>0.39645373789996108</v>
      </c>
      <c r="AC5" s="319">
        <f t="shared" ca="1" si="0"/>
        <v>0.36928693081137037</v>
      </c>
    </row>
    <row r="6" spans="1:29" x14ac:dyDescent="0.2">
      <c r="A6" s="161" t="s">
        <v>140</v>
      </c>
      <c r="B6" s="207">
        <f ca="1">N15/SUMIFS('Resultater - Danmark'!H$3:H$504,'Resultater - Danmark'!$F$3:$F$504,$A6)</f>
        <v>0.37924884410556858</v>
      </c>
      <c r="C6" s="162">
        <v>0.75</v>
      </c>
      <c r="D6" s="162">
        <v>0.9</v>
      </c>
      <c r="E6" s="134"/>
      <c r="F6" s="155"/>
      <c r="G6" s="156"/>
      <c r="Z6" s="161" t="s">
        <v>136</v>
      </c>
      <c r="AA6" s="319">
        <f t="shared" ca="1" si="0"/>
        <v>0.33257225498473725</v>
      </c>
      <c r="AB6" s="319">
        <f t="shared" ca="1" si="0"/>
        <v>0.33118846318466977</v>
      </c>
      <c r="AC6" s="319">
        <f t="shared" ca="1" si="0"/>
        <v>0.33872867269452439</v>
      </c>
    </row>
    <row r="7" spans="1:29" x14ac:dyDescent="0.2">
      <c r="A7" s="161" t="s">
        <v>101</v>
      </c>
      <c r="B7" s="207">
        <f ca="1">N16/SUMIFS('Resultater - Danmark'!H$3:H$504,'Resultater - Danmark'!$F$3:$F$504,$A7)</f>
        <v>0.25812101313640656</v>
      </c>
      <c r="C7" s="162">
        <v>0.75</v>
      </c>
      <c r="D7" s="162">
        <v>0.9</v>
      </c>
      <c r="F7" s="155"/>
      <c r="G7" s="157"/>
      <c r="N7" s="141"/>
    </row>
    <row r="8" spans="1:29" ht="12.75" thickBot="1" x14ac:dyDescent="0.25">
      <c r="A8" s="161" t="s">
        <v>208</v>
      </c>
      <c r="B8" s="207">
        <v>0</v>
      </c>
      <c r="C8" s="162">
        <v>0.75</v>
      </c>
      <c r="D8" s="162">
        <v>0.9</v>
      </c>
      <c r="F8" s="158"/>
      <c r="G8" s="159"/>
      <c r="I8" s="141"/>
    </row>
    <row r="10" spans="1:29" ht="23.45" customHeight="1" x14ac:dyDescent="0.2">
      <c r="B10" s="115"/>
      <c r="C10" s="420" t="s">
        <v>210</v>
      </c>
      <c r="D10" s="420"/>
      <c r="E10" s="420"/>
      <c r="F10" s="419" t="s">
        <v>325</v>
      </c>
      <c r="G10" s="419"/>
      <c r="J10" s="421" t="s">
        <v>211</v>
      </c>
      <c r="K10" s="421"/>
      <c r="L10" s="421"/>
    </row>
    <row r="11" spans="1:29" x14ac:dyDescent="0.2">
      <c r="C11" s="116">
        <f>År1</f>
        <v>2019</v>
      </c>
      <c r="D11" s="116">
        <f>År2</f>
        <v>2030</v>
      </c>
      <c r="E11" s="116">
        <f>År3</f>
        <v>2050</v>
      </c>
      <c r="F11" s="116">
        <v>2030</v>
      </c>
      <c r="G11" s="116">
        <v>2050</v>
      </c>
      <c r="H11" s="116" t="s">
        <v>105</v>
      </c>
      <c r="I11" s="116" t="s">
        <v>144</v>
      </c>
      <c r="J11" s="116">
        <f>År1</f>
        <v>2019</v>
      </c>
      <c r="K11" s="116">
        <f>År2</f>
        <v>2030</v>
      </c>
      <c r="L11" s="116">
        <f>År3</f>
        <v>2050</v>
      </c>
      <c r="M11" s="113" t="s">
        <v>214</v>
      </c>
    </row>
    <row r="12" spans="1:29" x14ac:dyDescent="0.2">
      <c r="A12" s="117" t="s">
        <v>135</v>
      </c>
      <c r="B12" s="117" t="s">
        <v>139</v>
      </c>
      <c r="C12" s="118">
        <f>SUMIFS('Resultater - Danmark'!H$3:H$504,'Resultater - Danmark'!$F$3:$F$504,$A12)*B3</f>
        <v>2914869.3333333335</v>
      </c>
      <c r="D12" s="118">
        <f>SUMIFS('Resultater - Danmark'!I$3:I$504,'Resultater - Danmark'!$F$3:$F$504,$A12)*C3</f>
        <v>12485034.123782061</v>
      </c>
      <c r="E12" s="118">
        <f>SUMIFS('Resultater - Danmark'!J$3:J$504,'Resultater - Danmark'!$F$3:$F$504,$A12)*D3</f>
        <v>13384026.259465635</v>
      </c>
      <c r="F12" s="215">
        <f>SUMIFS('Resultat-Produktion &amp; forbrug'!$G$4:$G$291,'Resultat-Produktion &amp; forbrug'!$A$4:$A$291,$A12,'Resultat-Produktion &amp; forbrug'!$E$4:$E$291,Biogasanlæg!F$11)-SUMIFS('Resultat-Produktion &amp; forbrug'!$H$4:$H$291,'Resultat-Produktion &amp; forbrug'!$A$4:$A$291,$A12,'Resultat-Produktion &amp; forbrug'!$E$4:$E$291,Biogasanlæg!F$11)-SUMIFS('Resultat-Produktion &amp; forbrug'!$I$4:$I$291,'Resultat-Produktion &amp; forbrug'!$A$4:$A$291,$A12,'Resultat-Produktion &amp; forbrug'!$E$4:$E$291,Biogasanlæg!F$11)-SUMIFS('Resultat-Produktion &amp; forbrug'!$J$4:$J$291,'Resultat-Produktion &amp; forbrug'!$A$4:$A$291,$A12,'Resultat-Produktion &amp; forbrug'!$E$4:$E$291,Biogasanlæg!F$11)-SUMIFS('Resultat-Produktion &amp; forbrug'!$K$4:$K$291,'Resultat-Produktion &amp; forbrug'!$A$4:$A$291,$A12,'Resultat-Produktion &amp; forbrug'!$E$4:$E$291,Biogasanlæg!F$11)-SUMIFS('Resultat-Produktion &amp; forbrug'!$N$4:$N$291,'Resultat-Produktion &amp; forbrug'!$A$4:$A$291,$A12,'Resultat-Produktion &amp; forbrug'!$E$4:$E$291,Biogasanlæg!F$11)</f>
        <v>4161678.0412606858</v>
      </c>
      <c r="G12" s="215">
        <f>SUMIFS('Resultat-Produktion &amp; forbrug'!$G$4:$G$291,'Resultat-Produktion &amp; forbrug'!$A$4:$A$291,$A12,'Resultat-Produktion &amp; forbrug'!$E$4:$E$291,Biogasanlæg!G$11)-SUMIFS('Resultat-Produktion &amp; forbrug'!$H$4:$H$291,'Resultat-Produktion &amp; forbrug'!$A$4:$A$291,$A12,'Resultat-Produktion &amp; forbrug'!$E$4:$E$291,Biogasanlæg!G$11)-SUMIFS('Resultat-Produktion &amp; forbrug'!$I$4:$I$291,'Resultat-Produktion &amp; forbrug'!$A$4:$A$291,$A12,'Resultat-Produktion &amp; forbrug'!$E$4:$E$291,Biogasanlæg!G$11)-SUMIFS('Resultat-Produktion &amp; forbrug'!$J$4:$J$291,'Resultat-Produktion &amp; forbrug'!$A$4:$A$291,$A12,'Resultat-Produktion &amp; forbrug'!$E$4:$E$291,Biogasanlæg!G$11)-SUMIFS('Resultat-Produktion &amp; forbrug'!$K$4:$K$291,'Resultat-Produktion &amp; forbrug'!$A$4:$A$291,$A12,'Resultat-Produktion &amp; forbrug'!$E$4:$E$291,Biogasanlæg!G$11)-SUMIFS('Resultat-Produktion &amp; forbrug'!$N$4:$N$291,'Resultat-Produktion &amp; forbrug'!$A$4:$A$291,$A12,'Resultat-Produktion &amp; forbrug'!$E$4:$E$291,Biogasanlæg!G$11)</f>
        <v>1487114.028829515</v>
      </c>
      <c r="H12" s="119">
        <f>VLOOKUP(A12,[1]Biogasudbytte!$A$2:$C$18,3,FALSE)</f>
        <v>0.05</v>
      </c>
      <c r="I12" s="120">
        <f>VLOOKUP(A12,[1]Biogasudbytte!$A$2:$C$18,2,FALSE)*IFERROR(VLOOKUP(A12,$F$3:$G$8,2,FALSE),1)</f>
        <v>12</v>
      </c>
      <c r="J12" s="119">
        <f t="shared" ref="J12:J28" ca="1" si="1">C12/C$29</f>
        <v>0.22267199142680771</v>
      </c>
      <c r="K12" s="119">
        <f t="shared" ref="K12:K28" ca="1" si="2">D12/D$29</f>
        <v>0.39645373789996108</v>
      </c>
      <c r="L12" s="119">
        <f t="shared" ref="L12:L28" ca="1" si="3">E12/E$29</f>
        <v>0.36928693081137037</v>
      </c>
      <c r="M12" s="114" t="s">
        <v>212</v>
      </c>
      <c r="N12" s="114">
        <f>S12+2/3*T12</f>
        <v>2914869.3333333335</v>
      </c>
      <c r="O12" s="136">
        <f t="shared" ref="O12:O16" si="4">N12-C12</f>
        <v>0</v>
      </c>
      <c r="P12" s="115">
        <f>C12*I12</f>
        <v>34978432</v>
      </c>
      <c r="Q12" s="114">
        <f>P12*35.9/1000000000</f>
        <v>1.2557257088</v>
      </c>
      <c r="S12" s="114">
        <v>2517134</v>
      </c>
      <c r="T12" s="114">
        <v>596603</v>
      </c>
      <c r="Y12" s="136"/>
      <c r="Z12" s="136"/>
      <c r="AA12" s="136"/>
    </row>
    <row r="13" spans="1:29" x14ac:dyDescent="0.2">
      <c r="A13" s="114" t="s">
        <v>136</v>
      </c>
      <c r="B13" s="114" t="s">
        <v>139</v>
      </c>
      <c r="C13" s="121">
        <f ca="1">SUMIFS('Resultater - Danmark'!H$3:H$504,'Resultater - Danmark'!$F$3:$F$504,$A13)*B4</f>
        <v>4353509.666666667</v>
      </c>
      <c r="D13" s="121">
        <f ca="1">SUMIFS('Resultater - Danmark'!I$3:I$504,'Resultater - Danmark'!$F$3:$F$504,$A13)*C4</f>
        <v>10429714.413001494</v>
      </c>
      <c r="E13" s="121">
        <f ca="1">SUMIFS('Resultater - Danmark'!J$3:J$504,'Resultater - Danmark'!$F$3:$F$504,$A13)*D4</f>
        <v>12276506.618354082</v>
      </c>
      <c r="F13" s="216">
        <f ca="1">SUMIFS('Resultat-Produktion &amp; forbrug'!$G$4:$G$291,'Resultat-Produktion &amp; forbrug'!$A$4:$A$291,$A13,'Resultat-Produktion &amp; forbrug'!$E$4:$E$291,Biogasanlæg!F$11)-SUMIFS('Resultat-Produktion &amp; forbrug'!$H$4:$H$291,'Resultat-Produktion &amp; forbrug'!$A$4:$A$291,$A13,'Resultat-Produktion &amp; forbrug'!$E$4:$E$291,Biogasanlæg!F$11)-SUMIFS('Resultat-Produktion &amp; forbrug'!$I$4:$I$291,'Resultat-Produktion &amp; forbrug'!$A$4:$A$291,$A13,'Resultat-Produktion &amp; forbrug'!$E$4:$E$291,Biogasanlæg!F$11)-SUMIFS('Resultat-Produktion &amp; forbrug'!$J$4:$J$291,'Resultat-Produktion &amp; forbrug'!$A$4:$A$291,$A13,'Resultat-Produktion &amp; forbrug'!$E$4:$E$291,Biogasanlæg!F$11)-SUMIFS('Resultat-Produktion &amp; forbrug'!$K$4:$K$291,'Resultat-Produktion &amp; forbrug'!$A$4:$A$291,$A13,'Resultat-Produktion &amp; forbrug'!$E$4:$E$291,Biogasanlæg!F$11)-SUMIFS('Resultat-Produktion &amp; forbrug'!$N$4:$N$291,'Resultat-Produktion &amp; forbrug'!$A$4:$A$291,$A13,'Resultat-Produktion &amp; forbrug'!$E$4:$E$291,Biogasanlæg!F$11)</f>
        <v>3476571.4710004963</v>
      </c>
      <c r="G13" s="216">
        <f ca="1">SUMIFS('Resultat-Produktion &amp; forbrug'!$G$4:$G$291,'Resultat-Produktion &amp; forbrug'!$A$4:$A$291,$A13,'Resultat-Produktion &amp; forbrug'!$E$4:$E$291,Biogasanlæg!G$11)-SUMIFS('Resultat-Produktion &amp; forbrug'!$H$4:$H$291,'Resultat-Produktion &amp; forbrug'!$A$4:$A$291,$A13,'Resultat-Produktion &amp; forbrug'!$E$4:$E$291,Biogasanlæg!G$11)-SUMIFS('Resultat-Produktion &amp; forbrug'!$I$4:$I$291,'Resultat-Produktion &amp; forbrug'!$A$4:$A$291,$A13,'Resultat-Produktion &amp; forbrug'!$E$4:$E$291,Biogasanlæg!G$11)-SUMIFS('Resultat-Produktion &amp; forbrug'!$J$4:$J$291,'Resultat-Produktion &amp; forbrug'!$A$4:$A$291,$A13,'Resultat-Produktion &amp; forbrug'!$E$4:$E$291,Biogasanlæg!G$11)-SUMIFS('Resultat-Produktion &amp; forbrug'!$K$4:$K$291,'Resultat-Produktion &amp; forbrug'!$A$4:$A$291,$A13,'Resultat-Produktion &amp; forbrug'!$E$4:$E$291,Biogasanlæg!G$11)-SUMIFS('Resultat-Produktion &amp; forbrug'!$N$4:$N$291,'Resultat-Produktion &amp; forbrug'!$A$4:$A$291,$A13,'Resultat-Produktion &amp; forbrug'!$E$4:$E$291,Biogasanlæg!G$11)</f>
        <v>1364056.2909282297</v>
      </c>
      <c r="H13" s="122">
        <f>VLOOKUP(A13,[1]Biogasudbytte!$A$2:$C$18,3,FALSE)</f>
        <v>7.5999999999999998E-2</v>
      </c>
      <c r="I13" s="123">
        <f>VLOOKUP(A13,[1]Biogasudbytte!$A$2:$C$18,2,FALSE)*IFERROR(VLOOKUP(A13,$F$3:$G$8,2,FALSE),1)</f>
        <v>14.1</v>
      </c>
      <c r="J13" s="122">
        <f t="shared" ca="1" si="1"/>
        <v>0.33257225498473725</v>
      </c>
      <c r="K13" s="122">
        <f t="shared" ca="1" si="2"/>
        <v>0.33118846318466977</v>
      </c>
      <c r="L13" s="122">
        <f t="shared" ca="1" si="3"/>
        <v>0.33872867269452439</v>
      </c>
      <c r="M13" s="114" t="s">
        <v>213</v>
      </c>
      <c r="N13" s="114">
        <f>S13+1/3*T13</f>
        <v>4353509.666666667</v>
      </c>
      <c r="O13" s="136">
        <f t="shared" ca="1" si="4"/>
        <v>0</v>
      </c>
      <c r="P13" s="115">
        <f t="shared" ref="P13:P28" ca="1" si="5">C13*I13</f>
        <v>61384486.300000004</v>
      </c>
      <c r="Q13" s="114">
        <f t="shared" ref="Q13:Q28" ca="1" si="6">P13*35.9/1000000000</f>
        <v>2.2037030581699999</v>
      </c>
      <c r="S13" s="114">
        <v>4154642</v>
      </c>
      <c r="T13" s="114">
        <v>596603</v>
      </c>
    </row>
    <row r="14" spans="1:29" x14ac:dyDescent="0.2">
      <c r="A14" s="114" t="s">
        <v>137</v>
      </c>
      <c r="B14" s="114" t="s">
        <v>139</v>
      </c>
      <c r="C14" s="121">
        <f ca="1">SUMIFS('Resultater - Danmark'!H$3:H$504,'Resultater - Danmark'!$F$3:$F$504,$A14)*B5</f>
        <v>4441.5</v>
      </c>
      <c r="D14" s="121">
        <f ca="1">SUMIFS('Resultater - Danmark'!I$3:I$504,'Resultater - Danmark'!$F$3:$F$504,$A14)*C5</f>
        <v>6782.1960455237531</v>
      </c>
      <c r="E14" s="121">
        <f ca="1">SUMIFS('Resultater - Danmark'!J$3:J$504,'Resultater - Danmark'!$F$3:$F$504,$A14)*D5</f>
        <v>8404.7671078658786</v>
      </c>
      <c r="F14" s="216">
        <f ca="1">SUMIFS('Resultat-Produktion &amp; forbrug'!$G$4:$G$291,'Resultat-Produktion &amp; forbrug'!$A$4:$A$291,$A14,'Resultat-Produktion &amp; forbrug'!$E$4:$E$291,Biogasanlæg!F$11)-SUMIFS('Resultat-Produktion &amp; forbrug'!$H$4:$H$291,'Resultat-Produktion &amp; forbrug'!$A$4:$A$291,$A14,'Resultat-Produktion &amp; forbrug'!$E$4:$E$291,Biogasanlæg!F$11)-SUMIFS('Resultat-Produktion &amp; forbrug'!$I$4:$I$291,'Resultat-Produktion &amp; forbrug'!$A$4:$A$291,$A14,'Resultat-Produktion &amp; forbrug'!$E$4:$E$291,Biogasanlæg!F$11)-SUMIFS('Resultat-Produktion &amp; forbrug'!$J$4:$J$291,'Resultat-Produktion &amp; forbrug'!$A$4:$A$291,$A14,'Resultat-Produktion &amp; forbrug'!$E$4:$E$291,Biogasanlæg!F$11)-SUMIFS('Resultat-Produktion &amp; forbrug'!$K$4:$K$291,'Resultat-Produktion &amp; forbrug'!$A$4:$A$291,$A14,'Resultat-Produktion &amp; forbrug'!$E$4:$E$291,Biogasanlæg!F$11)-SUMIFS('Resultat-Produktion &amp; forbrug'!$N$4:$N$291,'Resultat-Produktion &amp; forbrug'!$A$4:$A$291,$A14,'Resultat-Produktion &amp; forbrug'!$E$4:$E$291,Biogasanlæg!F$11)</f>
        <v>2260.7320151745844</v>
      </c>
      <c r="G14" s="216">
        <f ca="1">SUMIFS('Resultat-Produktion &amp; forbrug'!$G$4:$G$291,'Resultat-Produktion &amp; forbrug'!$A$4:$A$291,$A14,'Resultat-Produktion &amp; forbrug'!$E$4:$E$291,Biogasanlæg!G$11)-SUMIFS('Resultat-Produktion &amp; forbrug'!$H$4:$H$291,'Resultat-Produktion &amp; forbrug'!$A$4:$A$291,$A14,'Resultat-Produktion &amp; forbrug'!$E$4:$E$291,Biogasanlæg!G$11)-SUMIFS('Resultat-Produktion &amp; forbrug'!$I$4:$I$291,'Resultat-Produktion &amp; forbrug'!$A$4:$A$291,$A14,'Resultat-Produktion &amp; forbrug'!$E$4:$E$291,Biogasanlæg!G$11)-SUMIFS('Resultat-Produktion &amp; forbrug'!$J$4:$J$291,'Resultat-Produktion &amp; forbrug'!$A$4:$A$291,$A14,'Resultat-Produktion &amp; forbrug'!$E$4:$E$291,Biogasanlæg!G$11)-SUMIFS('Resultat-Produktion &amp; forbrug'!$K$4:$K$291,'Resultat-Produktion &amp; forbrug'!$A$4:$A$291,$A14,'Resultat-Produktion &amp; forbrug'!$E$4:$E$291,Biogasanlæg!G$11)-SUMIFS('Resultat-Produktion &amp; forbrug'!$N$4:$N$291,'Resultat-Produktion &amp; forbrug'!$A$4:$A$291,$A14,'Resultat-Produktion &amp; forbrug'!$E$4:$E$291,Biogasanlæg!G$11)</f>
        <v>933.86301198509682</v>
      </c>
      <c r="H14" s="122">
        <f>VLOOKUP(A14,[1]Biogasudbytte!$A$2:$C$18,3,FALSE)</f>
        <v>6.3E-2</v>
      </c>
      <c r="I14" s="123">
        <f>VLOOKUP(A14,[1]Biogasudbytte!$A$2:$C$18,2,FALSE)*IFERROR(VLOOKUP(A14,$F$3:$G$8,2,FALSE),1)</f>
        <v>13.1</v>
      </c>
      <c r="J14" s="122">
        <f t="shared" ca="1" si="1"/>
        <v>3.3929399119623192E-4</v>
      </c>
      <c r="K14" s="122">
        <f t="shared" ca="1" si="2"/>
        <v>2.1536400675881427E-4</v>
      </c>
      <c r="L14" s="122">
        <f t="shared" ca="1" si="3"/>
        <v>2.3190111774123702E-4</v>
      </c>
      <c r="M14" s="114" t="s">
        <v>145</v>
      </c>
      <c r="N14" s="115">
        <v>11417</v>
      </c>
      <c r="O14" s="136">
        <f t="shared" ca="1" si="4"/>
        <v>6975.5</v>
      </c>
      <c r="P14" s="115">
        <f t="shared" ca="1" si="5"/>
        <v>58183.65</v>
      </c>
      <c r="Q14" s="114">
        <f t="shared" ca="1" si="6"/>
        <v>2.0887930350000001E-3</v>
      </c>
    </row>
    <row r="15" spans="1:29" x14ac:dyDescent="0.2">
      <c r="A15" s="114" t="s">
        <v>140</v>
      </c>
      <c r="B15" s="114" t="s">
        <v>139</v>
      </c>
      <c r="C15" s="121">
        <f ca="1">SUMIFS('Resultater - Danmark'!H$3:H$504,'Resultater - Danmark'!$F$3:$F$504,$A15)*B6</f>
        <v>2668834</v>
      </c>
      <c r="D15" s="121">
        <f ca="1">SUMIFS('Resultater - Danmark'!I$3:I$504,'Resultater - Danmark'!$F$3:$F$504,$A15)*C6</f>
        <v>5488473.8162016999</v>
      </c>
      <c r="E15" s="121">
        <f ca="1">SUMIFS('Resultater - Danmark'!J$3:J$504,'Resultater - Danmark'!$F$3:$F$504,$A15)*D6</f>
        <v>6859902.6806595214</v>
      </c>
      <c r="F15" s="216">
        <f ca="1">SUMIFS('Resultat-Produktion &amp; forbrug'!$G$4:$G$291,'Resultat-Produktion &amp; forbrug'!$A$4:$A$291,$A15,'Resultat-Produktion &amp; forbrug'!$E$4:$E$291,Biogasanlæg!F$11)-SUMIFS('Resultat-Produktion &amp; forbrug'!$H$4:$H$291,'Resultat-Produktion &amp; forbrug'!$A$4:$A$291,$A15,'Resultat-Produktion &amp; forbrug'!$E$4:$E$291,Biogasanlæg!F$11)-SUMIFS('Resultat-Produktion &amp; forbrug'!$I$4:$I$291,'Resultat-Produktion &amp; forbrug'!$A$4:$A$291,$A15,'Resultat-Produktion &amp; forbrug'!$E$4:$E$291,Biogasanlæg!F$11)-SUMIFS('Resultat-Produktion &amp; forbrug'!$J$4:$J$291,'Resultat-Produktion &amp; forbrug'!$A$4:$A$291,$A15,'Resultat-Produktion &amp; forbrug'!$E$4:$E$291,Biogasanlæg!F$11)-SUMIFS('Resultat-Produktion &amp; forbrug'!$K$4:$K$291,'Resultat-Produktion &amp; forbrug'!$A$4:$A$291,$A15,'Resultat-Produktion &amp; forbrug'!$E$4:$E$291,Biogasanlæg!F$11)-SUMIFS('Resultat-Produktion &amp; forbrug'!$N$4:$N$291,'Resultat-Produktion &amp; forbrug'!$A$4:$A$291,$A15,'Resultat-Produktion &amp; forbrug'!$E$4:$E$291,Biogasanlæg!F$11)</f>
        <v>1829491.2720672339</v>
      </c>
      <c r="G15" s="216">
        <f ca="1">SUMIFS('Resultat-Produktion &amp; forbrug'!$G$4:$G$291,'Resultat-Produktion &amp; forbrug'!$A$4:$A$291,$A15,'Resultat-Produktion &amp; forbrug'!$E$4:$E$291,Biogasanlæg!G$11)-SUMIFS('Resultat-Produktion &amp; forbrug'!$H$4:$H$291,'Resultat-Produktion &amp; forbrug'!$A$4:$A$291,$A15,'Resultat-Produktion &amp; forbrug'!$E$4:$E$291,Biogasanlæg!G$11)-SUMIFS('Resultat-Produktion &amp; forbrug'!$I$4:$I$291,'Resultat-Produktion &amp; forbrug'!$A$4:$A$291,$A15,'Resultat-Produktion &amp; forbrug'!$E$4:$E$291,Biogasanlæg!G$11)-SUMIFS('Resultat-Produktion &amp; forbrug'!$J$4:$J$291,'Resultat-Produktion &amp; forbrug'!$A$4:$A$291,$A15,'Resultat-Produktion &amp; forbrug'!$E$4:$E$291,Biogasanlæg!G$11)-SUMIFS('Resultat-Produktion &amp; forbrug'!$K$4:$K$291,'Resultat-Produktion &amp; forbrug'!$A$4:$A$291,$A15,'Resultat-Produktion &amp; forbrug'!$E$4:$E$291,Biogasanlæg!G$11)-SUMIFS('Resultat-Produktion &amp; forbrug'!$N$4:$N$291,'Resultat-Produktion &amp; forbrug'!$A$4:$A$291,$A15,'Resultat-Produktion &amp; forbrug'!$E$4:$E$291,Biogasanlæg!G$11)</f>
        <v>762211.40896216873</v>
      </c>
      <c r="H15" s="122">
        <f>VLOOKUP(A15,[1]Biogasudbytte!$A$2:$C$18,3,FALSE)</f>
        <v>0.06</v>
      </c>
      <c r="I15" s="123">
        <f>VLOOKUP(A15,[1]Biogasudbytte!$A$2:$C$18,2,FALSE)*IFERROR(VLOOKUP(A15,$F$3:$G$8,2,FALSE),1)</f>
        <v>13.9</v>
      </c>
      <c r="J15" s="122">
        <f t="shared" ca="1" si="1"/>
        <v>0.20387691989197443</v>
      </c>
      <c r="K15" s="122">
        <f t="shared" ca="1" si="2"/>
        <v>0.17428274029739535</v>
      </c>
      <c r="L15" s="122">
        <f t="shared" ca="1" si="3"/>
        <v>0.18927580964762611</v>
      </c>
      <c r="M15" s="124" t="s">
        <v>291</v>
      </c>
      <c r="N15" s="125">
        <f>SUM(S15:Z15)</f>
        <v>2668834</v>
      </c>
      <c r="O15" s="136">
        <f t="shared" ca="1" si="4"/>
        <v>0</v>
      </c>
      <c r="P15" s="115">
        <f ca="1">C15*I15</f>
        <v>37096792.600000001</v>
      </c>
      <c r="Q15" s="114">
        <f t="shared" ca="1" si="6"/>
        <v>1.3317748543399999</v>
      </c>
      <c r="S15" s="149">
        <v>2666649</v>
      </c>
      <c r="T15" s="114">
        <v>2185</v>
      </c>
      <c r="U15" s="149" t="s">
        <v>293</v>
      </c>
    </row>
    <row r="16" spans="1:29" x14ac:dyDescent="0.2">
      <c r="A16" s="114" t="s">
        <v>101</v>
      </c>
      <c r="B16" s="114" t="s">
        <v>139</v>
      </c>
      <c r="C16" s="121">
        <f ca="1">SUMIFS('Resultater - Danmark'!H$3:H$504,'Resultater - Danmark'!$F$3:$F$504,$A16)*B7</f>
        <v>757087</v>
      </c>
      <c r="D16" s="121">
        <f ca="1">SUMIFS('Resultater - Danmark'!I$3:I$504,'Resultater - Danmark'!$F$3:$F$504,$A16)*C7</f>
        <v>2189034.0302520017</v>
      </c>
      <c r="E16" s="121">
        <f ca="1">SUMIFS('Resultater - Danmark'!J$3:J$504,'Resultater - Danmark'!$F$3:$F$504,$A16)*D7</f>
        <v>2591309.4281481998</v>
      </c>
      <c r="F16" s="216">
        <f ca="1">SUMIFS('Resultat-Produktion &amp; forbrug'!$G$4:$G$291,'Resultat-Produktion &amp; forbrug'!$A$4:$A$291,$A16,'Resultat-Produktion &amp; forbrug'!$E$4:$E$291,Biogasanlæg!F$11)-SUMIFS('Resultat-Produktion &amp; forbrug'!$H$4:$H$291,'Resultat-Produktion &amp; forbrug'!$A$4:$A$291,$A16,'Resultat-Produktion &amp; forbrug'!$E$4:$E$291,Biogasanlæg!F$11)-SUMIFS('Resultat-Produktion &amp; forbrug'!$I$4:$I$291,'Resultat-Produktion &amp; forbrug'!$A$4:$A$291,$A16,'Resultat-Produktion &amp; forbrug'!$E$4:$E$291,Biogasanlæg!F$11)-SUMIFS('Resultat-Produktion &amp; forbrug'!$J$4:$J$291,'Resultat-Produktion &amp; forbrug'!$A$4:$A$291,$A16,'Resultat-Produktion &amp; forbrug'!$E$4:$E$291,Biogasanlæg!F$11)-SUMIFS('Resultat-Produktion &amp; forbrug'!$K$4:$K$291,'Resultat-Produktion &amp; forbrug'!$A$4:$A$291,$A16,'Resultat-Produktion &amp; forbrug'!$E$4:$E$291,Biogasanlæg!F$11)-SUMIFS('Resultat-Produktion &amp; forbrug'!$N$4:$N$291,'Resultat-Produktion &amp; forbrug'!$A$4:$A$291,$A16,'Resultat-Produktion &amp; forbrug'!$E$4:$E$291,Biogasanlæg!F$11)</f>
        <v>729678.01008400088</v>
      </c>
      <c r="G16" s="216">
        <f ca="1">SUMIFS('Resultat-Produktion &amp; forbrug'!$G$4:$G$291,'Resultat-Produktion &amp; forbrug'!$A$4:$A$291,$A16,'Resultat-Produktion &amp; forbrug'!$E$4:$E$291,Biogasanlæg!G$11)-SUMIFS('Resultat-Produktion &amp; forbrug'!$H$4:$H$291,'Resultat-Produktion &amp; forbrug'!$A$4:$A$291,$A16,'Resultat-Produktion &amp; forbrug'!$E$4:$E$291,Biogasanlæg!G$11)-SUMIFS('Resultat-Produktion &amp; forbrug'!$I$4:$I$291,'Resultat-Produktion &amp; forbrug'!$A$4:$A$291,$A16,'Resultat-Produktion &amp; forbrug'!$E$4:$E$291,Biogasanlæg!G$11)-SUMIFS('Resultat-Produktion &amp; forbrug'!$J$4:$J$291,'Resultat-Produktion &amp; forbrug'!$A$4:$A$291,$A16,'Resultat-Produktion &amp; forbrug'!$E$4:$E$291,Biogasanlæg!G$11)-SUMIFS('Resultat-Produktion &amp; forbrug'!$K$4:$K$291,'Resultat-Produktion &amp; forbrug'!$A$4:$A$291,$A16,'Resultat-Produktion &amp; forbrug'!$E$4:$E$291,Biogasanlæg!G$11)-SUMIFS('Resultat-Produktion &amp; forbrug'!$N$4:$N$291,'Resultat-Produktion &amp; forbrug'!$A$4:$A$291,$A16,'Resultat-Produktion &amp; forbrug'!$E$4:$E$291,Biogasanlæg!G$11)</f>
        <v>287923.26979424478</v>
      </c>
      <c r="H16" s="122">
        <f>VLOOKUP(A16,[1]Biogasudbytte!$A$2:$C$18,3,FALSE)</f>
        <v>0.3</v>
      </c>
      <c r="I16" s="123">
        <f>VLOOKUP(A16,[1]Biogasudbytte!$A$2:$C$18,2,FALSE)*IFERROR(VLOOKUP(A16,$F$3:$G$8,2,FALSE),1)</f>
        <v>60</v>
      </c>
      <c r="J16" s="122">
        <f t="shared" ca="1" si="1"/>
        <v>5.7835206554718369E-2</v>
      </c>
      <c r="K16" s="122">
        <f t="shared" ca="1" si="2"/>
        <v>6.9511281673672085E-2</v>
      </c>
      <c r="L16" s="122">
        <f t="shared" ca="1" si="3"/>
        <v>7.1498418110666664E-2</v>
      </c>
      <c r="M16" s="220" t="s">
        <v>156</v>
      </c>
      <c r="N16" s="221">
        <v>757087</v>
      </c>
      <c r="O16" s="136">
        <f t="shared" ca="1" si="4"/>
        <v>0</v>
      </c>
      <c r="P16" s="115">
        <f t="shared" ca="1" si="5"/>
        <v>45425220</v>
      </c>
      <c r="Q16" s="114">
        <f t="shared" ca="1" si="6"/>
        <v>1.6307653980000001</v>
      </c>
    </row>
    <row r="17" spans="1:23" x14ac:dyDescent="0.2">
      <c r="A17" s="114" t="s">
        <v>208</v>
      </c>
      <c r="B17" s="114" t="s">
        <v>139</v>
      </c>
      <c r="C17" s="121">
        <f ca="1">SUMIFS('Resultater - Danmark'!H$3:H$504,'Resultater - Danmark'!$F$3:$F$504,$A17)*B8</f>
        <v>0</v>
      </c>
      <c r="D17" s="121">
        <f ca="1">SUMIFS('Resultater - Danmark'!I$3:I$504,'Resultater - Danmark'!$F$3:$F$504,$A17)*C8</f>
        <v>0</v>
      </c>
      <c r="E17" s="121">
        <f ca="1">SUMIFS('Resultater - Danmark'!J$3:J$504,'Resultater - Danmark'!$F$3:$F$504,$A17)*D8</f>
        <v>0</v>
      </c>
      <c r="F17" s="216">
        <f ca="1">SUMIFS('Resultat-Produktion &amp; forbrug'!$G$4:$G$291,'Resultat-Produktion &amp; forbrug'!$A$4:$A$291,$A17,'Resultat-Produktion &amp; forbrug'!$E$4:$E$291,Biogasanlæg!F$11)-SUMIFS('Resultat-Produktion &amp; forbrug'!$H$4:$H$291,'Resultat-Produktion &amp; forbrug'!$A$4:$A$291,$A17,'Resultat-Produktion &amp; forbrug'!$E$4:$E$291,Biogasanlæg!F$11)-SUMIFS('Resultat-Produktion &amp; forbrug'!$I$4:$I$291,'Resultat-Produktion &amp; forbrug'!$A$4:$A$291,$A17,'Resultat-Produktion &amp; forbrug'!$E$4:$E$291,Biogasanlæg!F$11)-SUMIFS('Resultat-Produktion &amp; forbrug'!$J$4:$J$291,'Resultat-Produktion &amp; forbrug'!$A$4:$A$291,$A17,'Resultat-Produktion &amp; forbrug'!$E$4:$E$291,Biogasanlæg!F$11)-SUMIFS('Resultat-Produktion &amp; forbrug'!$K$4:$K$291,'Resultat-Produktion &amp; forbrug'!$A$4:$A$291,$A17,'Resultat-Produktion &amp; forbrug'!$E$4:$E$291,Biogasanlæg!F$11)-SUMIFS('Resultat-Produktion &amp; forbrug'!$N$4:$N$291,'Resultat-Produktion &amp; forbrug'!$A$4:$A$291,$A17,'Resultat-Produktion &amp; forbrug'!$E$4:$E$291,Biogasanlæg!F$11)</f>
        <v>0</v>
      </c>
      <c r="G17" s="216">
        <f ca="1">SUMIFS('Resultat-Produktion &amp; forbrug'!$G$4:$G$291,'Resultat-Produktion &amp; forbrug'!$A$4:$A$291,$A17,'Resultat-Produktion &amp; forbrug'!$E$4:$E$291,Biogasanlæg!G$11)-SUMIFS('Resultat-Produktion &amp; forbrug'!$H$4:$H$291,'Resultat-Produktion &amp; forbrug'!$A$4:$A$291,$A17,'Resultat-Produktion &amp; forbrug'!$E$4:$E$291,Biogasanlæg!G$11)-SUMIFS('Resultat-Produktion &amp; forbrug'!$I$4:$I$291,'Resultat-Produktion &amp; forbrug'!$A$4:$A$291,$A17,'Resultat-Produktion &amp; forbrug'!$E$4:$E$291,Biogasanlæg!G$11)-SUMIFS('Resultat-Produktion &amp; forbrug'!$J$4:$J$291,'Resultat-Produktion &amp; forbrug'!$A$4:$A$291,$A17,'Resultat-Produktion &amp; forbrug'!$E$4:$E$291,Biogasanlæg!G$11)-SUMIFS('Resultat-Produktion &amp; forbrug'!$K$4:$K$291,'Resultat-Produktion &amp; forbrug'!$A$4:$A$291,$A17,'Resultat-Produktion &amp; forbrug'!$E$4:$E$291,Biogasanlæg!G$11)-SUMIFS('Resultat-Produktion &amp; forbrug'!$N$4:$N$291,'Resultat-Produktion &amp; forbrug'!$A$4:$A$291,$A17,'Resultat-Produktion &amp; forbrug'!$E$4:$E$291,Biogasanlæg!G$11)</f>
        <v>0</v>
      </c>
      <c r="H17" s="122">
        <f>VLOOKUP(A17,[1]Biogasudbytte!$A$2:$C$18,3,FALSE)</f>
        <v>4.2763387558472386E-2</v>
      </c>
      <c r="I17" s="123">
        <f>VLOOKUP(A17,[1]Biogasudbytte!$A$2:$C$18,2,FALSE)*IFERROR(VLOOKUP(A17,$F$3:$G$8,2,FALSE),1)</f>
        <v>15.822453396634783</v>
      </c>
      <c r="J17" s="122">
        <f t="shared" ca="1" si="1"/>
        <v>0</v>
      </c>
      <c r="K17" s="122">
        <f t="shared" ca="1" si="2"/>
        <v>0</v>
      </c>
      <c r="L17" s="122">
        <f t="shared" ca="1" si="3"/>
        <v>0</v>
      </c>
      <c r="M17" s="114" t="s">
        <v>149</v>
      </c>
      <c r="N17" s="115"/>
      <c r="O17" s="136"/>
      <c r="P17" s="115">
        <f t="shared" ca="1" si="5"/>
        <v>0</v>
      </c>
      <c r="Q17" s="114">
        <f t="shared" ca="1" si="6"/>
        <v>0</v>
      </c>
    </row>
    <row r="18" spans="1:23" x14ac:dyDescent="0.2">
      <c r="A18" s="114" t="s">
        <v>102</v>
      </c>
      <c r="B18" s="114" t="s">
        <v>139</v>
      </c>
      <c r="C18" s="223">
        <f t="shared" ref="C18" si="7">N18</f>
        <v>729134</v>
      </c>
      <c r="D18" s="224"/>
      <c r="E18" s="224"/>
      <c r="F18" s="216">
        <f ca="1">SUMIFS('Resultat-Produktion &amp; forbrug'!$G$4:$G$291,'Resultat-Produktion &amp; forbrug'!$A$4:$A$291,$A18,'Resultat-Produktion &amp; forbrug'!$E$4:$E$291,Biogasanlæg!F$11)-SUMIFS('Resultat-Produktion &amp; forbrug'!$H$4:$H$291,'Resultat-Produktion &amp; forbrug'!$A$4:$A$291,$A18,'Resultat-Produktion &amp; forbrug'!$E$4:$E$291,Biogasanlæg!F$11)-SUMIFS('Resultat-Produktion &amp; forbrug'!$I$4:$I$291,'Resultat-Produktion &amp; forbrug'!$A$4:$A$291,$A18,'Resultat-Produktion &amp; forbrug'!$E$4:$E$291,Biogasanlæg!F$11)-SUMIFS('Resultat-Produktion &amp; forbrug'!$J$4:$J$291,'Resultat-Produktion &amp; forbrug'!$A$4:$A$291,$A18,'Resultat-Produktion &amp; forbrug'!$E$4:$E$291,Biogasanlæg!F$11)-SUMIFS('Resultat-Produktion &amp; forbrug'!$K$4:$K$291,'Resultat-Produktion &amp; forbrug'!$A$4:$A$291,$A18,'Resultat-Produktion &amp; forbrug'!$E$4:$E$291,Biogasanlæg!F$11)-SUMIFS('Resultat-Produktion &amp; forbrug'!$N$4:$N$291,'Resultat-Produktion &amp; forbrug'!$A$4:$A$291,$A18,'Resultat-Produktion &amp; forbrug'!$E$4:$E$291,Biogasanlæg!F$11)</f>
        <v>363994.97174274386</v>
      </c>
      <c r="G18" s="216">
        <f ca="1">SUMIFS('Resultat-Produktion &amp; forbrug'!$G$4:$G$291,'Resultat-Produktion &amp; forbrug'!$A$4:$A$291,$A18,'Resultat-Produktion &amp; forbrug'!$E$4:$E$291,Biogasanlæg!G$11)-SUMIFS('Resultat-Produktion &amp; forbrug'!$H$4:$H$291,'Resultat-Produktion &amp; forbrug'!$A$4:$A$291,$A18,'Resultat-Produktion &amp; forbrug'!$E$4:$E$291,Biogasanlæg!G$11)-SUMIFS('Resultat-Produktion &amp; forbrug'!$I$4:$I$291,'Resultat-Produktion &amp; forbrug'!$A$4:$A$291,$A18,'Resultat-Produktion &amp; forbrug'!$E$4:$E$291,Biogasanlæg!G$11)-SUMIFS('Resultat-Produktion &amp; forbrug'!$J$4:$J$291,'Resultat-Produktion &amp; forbrug'!$A$4:$A$291,$A18,'Resultat-Produktion &amp; forbrug'!$E$4:$E$291,Biogasanlæg!G$11)-SUMIFS('Resultat-Produktion &amp; forbrug'!$K$4:$K$291,'Resultat-Produktion &amp; forbrug'!$A$4:$A$291,$A18,'Resultat-Produktion &amp; forbrug'!$E$4:$E$291,Biogasanlæg!G$11)-SUMIFS('Resultat-Produktion &amp; forbrug'!$N$4:$N$291,'Resultat-Produktion &amp; forbrug'!$A$4:$A$291,$A18,'Resultat-Produktion &amp; forbrug'!$E$4:$E$291,Biogasanlæg!G$11)</f>
        <v>369776.8151095995</v>
      </c>
      <c r="H18" s="122">
        <f>VLOOKUP(A18,[1]Biogasudbytte!$A$2:$C$18,3,FALSE)</f>
        <v>0.28000000000000003</v>
      </c>
      <c r="I18" s="123">
        <f>VLOOKUP(A18,[1]Biogasudbytte!$A$2:$C$18,2,FALSE)*IFERROR(VLOOKUP(A18,$F$3:$G$8,2,FALSE),1)</f>
        <v>94.9</v>
      </c>
      <c r="J18" s="122">
        <f t="shared" ca="1" si="1"/>
        <v>5.5699827755684647E-2</v>
      </c>
      <c r="K18" s="122">
        <f t="shared" ca="1" si="2"/>
        <v>0</v>
      </c>
      <c r="L18" s="122">
        <f t="shared" ca="1" si="3"/>
        <v>0</v>
      </c>
      <c r="M18" s="143" t="s">
        <v>289</v>
      </c>
      <c r="N18" s="144">
        <f>SUM(S18:Z18)</f>
        <v>729134</v>
      </c>
      <c r="O18" s="136">
        <f>N18-C18</f>
        <v>0</v>
      </c>
      <c r="P18" s="115">
        <f>C18*I18</f>
        <v>69194816.600000009</v>
      </c>
      <c r="Q18" s="114">
        <f>P18*35.9/1000000000</f>
        <v>2.48409391594</v>
      </c>
      <c r="S18" s="114">
        <v>338470</v>
      </c>
      <c r="T18" s="114">
        <v>199809</v>
      </c>
      <c r="U18" s="114">
        <v>60011</v>
      </c>
      <c r="V18" s="114">
        <v>44821</v>
      </c>
      <c r="W18" s="114">
        <v>86023</v>
      </c>
    </row>
    <row r="19" spans="1:23" x14ac:dyDescent="0.2">
      <c r="A19" s="114" t="s">
        <v>103</v>
      </c>
      <c r="B19" s="114" t="s">
        <v>139</v>
      </c>
      <c r="C19" s="223">
        <f>N19</f>
        <v>995654</v>
      </c>
      <c r="D19" s="224"/>
      <c r="E19" s="224"/>
      <c r="F19" s="216">
        <f ca="1">SUMIFS('Resultat-Produktion &amp; forbrug'!$G$4:$G$291,'Resultat-Produktion &amp; forbrug'!$A$4:$A$291,$A19,'Resultat-Produktion &amp; forbrug'!$E$4:$E$291,Biogasanlæg!F$11)-SUMIFS('Resultat-Produktion &amp; forbrug'!$H$4:$H$291,'Resultat-Produktion &amp; forbrug'!$A$4:$A$291,$A19,'Resultat-Produktion &amp; forbrug'!$E$4:$E$291,Biogasanlæg!F$11)-SUMIFS('Resultat-Produktion &amp; forbrug'!$I$4:$I$291,'Resultat-Produktion &amp; forbrug'!$A$4:$A$291,$A19,'Resultat-Produktion &amp; forbrug'!$E$4:$E$291,Biogasanlæg!F$11)-SUMIFS('Resultat-Produktion &amp; forbrug'!$J$4:$J$291,'Resultat-Produktion &amp; forbrug'!$A$4:$A$291,$A19,'Resultat-Produktion &amp; forbrug'!$E$4:$E$291,Biogasanlæg!F$11)-SUMIFS('Resultat-Produktion &amp; forbrug'!$K$4:$K$291,'Resultat-Produktion &amp; forbrug'!$A$4:$A$291,$A19,'Resultat-Produktion &amp; forbrug'!$E$4:$E$291,Biogasanlæg!F$11)-SUMIFS('Resultat-Produktion &amp; forbrug'!$N$4:$N$291,'Resultat-Produktion &amp; forbrug'!$A$4:$A$291,$A19,'Resultat-Produktion &amp; forbrug'!$E$4:$E$291,Biogasanlæg!F$11)</f>
        <v>718058.01774869044</v>
      </c>
      <c r="G19" s="216">
        <f ca="1">SUMIFS('Resultat-Produktion &amp; forbrug'!$G$4:$G$291,'Resultat-Produktion &amp; forbrug'!$A$4:$A$291,$A19,'Resultat-Produktion &amp; forbrug'!$E$4:$E$291,Biogasanlæg!G$11)-SUMIFS('Resultat-Produktion &amp; forbrug'!$H$4:$H$291,'Resultat-Produktion &amp; forbrug'!$A$4:$A$291,$A19,'Resultat-Produktion &amp; forbrug'!$E$4:$E$291,Biogasanlæg!G$11)-SUMIFS('Resultat-Produktion &amp; forbrug'!$I$4:$I$291,'Resultat-Produktion &amp; forbrug'!$A$4:$A$291,$A19,'Resultat-Produktion &amp; forbrug'!$E$4:$E$291,Biogasanlæg!G$11)-SUMIFS('Resultat-Produktion &amp; forbrug'!$J$4:$J$291,'Resultat-Produktion &amp; forbrug'!$A$4:$A$291,$A19,'Resultat-Produktion &amp; forbrug'!$E$4:$E$291,Biogasanlæg!G$11)-SUMIFS('Resultat-Produktion &amp; forbrug'!$K$4:$K$291,'Resultat-Produktion &amp; forbrug'!$A$4:$A$291,$A19,'Resultat-Produktion &amp; forbrug'!$E$4:$E$291,Biogasanlæg!G$11)-SUMIFS('Resultat-Produktion &amp; forbrug'!$N$4:$N$291,'Resultat-Produktion &amp; forbrug'!$A$4:$A$291,$A19,'Resultat-Produktion &amp; forbrug'!$E$4:$E$291,Biogasanlæg!G$11)</f>
        <v>700822.02997791977</v>
      </c>
      <c r="H19" s="122">
        <f>VLOOKUP(A19,[1]Biogasudbytte!$A$2:$C$18,3,FALSE)</f>
        <v>0.42</v>
      </c>
      <c r="I19" s="123">
        <f>VLOOKUP(A19,[1]Biogasudbytte!$A$2:$C$18,2,FALSE)*IFERROR(VLOOKUP(A19,$F$3:$G$8,2,FALSE),1)</f>
        <v>102.595</v>
      </c>
      <c r="J19" s="122">
        <f t="shared" ca="1" si="1"/>
        <v>7.6059758980185313E-2</v>
      </c>
      <c r="K19" s="122">
        <f t="shared" ca="1" si="2"/>
        <v>0</v>
      </c>
      <c r="L19" s="122">
        <f t="shared" ca="1" si="3"/>
        <v>0</v>
      </c>
      <c r="M19" s="145" t="s">
        <v>290</v>
      </c>
      <c r="N19" s="146">
        <f>SUM(S19:Z19)</f>
        <v>995654</v>
      </c>
      <c r="O19" s="136">
        <f>N19-C19</f>
        <v>0</v>
      </c>
      <c r="P19" s="115">
        <f>C19*I19</f>
        <v>102149122.13</v>
      </c>
      <c r="Q19" s="114">
        <f>P19*35.9/1000000000</f>
        <v>3.6671534844669997</v>
      </c>
      <c r="S19" s="114">
        <v>995654</v>
      </c>
    </row>
    <row r="20" spans="1:23" x14ac:dyDescent="0.2">
      <c r="A20" s="114" t="s">
        <v>67</v>
      </c>
      <c r="B20" s="114" t="s">
        <v>139</v>
      </c>
      <c r="C20" s="223">
        <f>N20</f>
        <v>75934</v>
      </c>
      <c r="D20" s="224"/>
      <c r="E20" s="224"/>
      <c r="F20" s="216">
        <f ca="1">SUMIFS('Resultat-Produktion &amp; forbrug'!$G$4:$G$291,'Resultat-Produktion &amp; forbrug'!$A$4:$A$291,$A20,'Resultat-Produktion &amp; forbrug'!$E$4:$E$291,Biogasanlæg!F$11)-SUMIFS('Resultat-Produktion &amp; forbrug'!$H$4:$H$291,'Resultat-Produktion &amp; forbrug'!$A$4:$A$291,$A20,'Resultat-Produktion &amp; forbrug'!$E$4:$E$291,Biogasanlæg!F$11)-SUMIFS('Resultat-Produktion &amp; forbrug'!$I$4:$I$291,'Resultat-Produktion &amp; forbrug'!$A$4:$A$291,$A20,'Resultat-Produktion &amp; forbrug'!$E$4:$E$291,Biogasanlæg!F$11)-SUMIFS('Resultat-Produktion &amp; forbrug'!$J$4:$J$291,'Resultat-Produktion &amp; forbrug'!$A$4:$A$291,$A20,'Resultat-Produktion &amp; forbrug'!$E$4:$E$291,Biogasanlæg!F$11)-SUMIFS('Resultat-Produktion &amp; forbrug'!$K$4:$K$291,'Resultat-Produktion &amp; forbrug'!$A$4:$A$291,$A20,'Resultat-Produktion &amp; forbrug'!$E$4:$E$291,Biogasanlæg!F$11)-SUMIFS('Resultat-Produktion &amp; forbrug'!$N$4:$N$291,'Resultat-Produktion &amp; forbrug'!$A$4:$A$291,$A20,'Resultat-Produktion &amp; forbrug'!$E$4:$E$291,Biogasanlæg!F$11)</f>
        <v>3317601.1150010303</v>
      </c>
      <c r="G20" s="216">
        <f ca="1">SUMIFS('Resultat-Produktion &amp; forbrug'!$G$4:$G$291,'Resultat-Produktion &amp; forbrug'!$A$4:$A$291,$A20,'Resultat-Produktion &amp; forbrug'!$E$4:$E$291,Biogasanlæg!G$11)-SUMIFS('Resultat-Produktion &amp; forbrug'!$H$4:$H$291,'Resultat-Produktion &amp; forbrug'!$A$4:$A$291,$A20,'Resultat-Produktion &amp; forbrug'!$E$4:$E$291,Biogasanlæg!G$11)-SUMIFS('Resultat-Produktion &amp; forbrug'!$I$4:$I$291,'Resultat-Produktion &amp; forbrug'!$A$4:$A$291,$A20,'Resultat-Produktion &amp; forbrug'!$E$4:$E$291,Biogasanlæg!G$11)-SUMIFS('Resultat-Produktion &amp; forbrug'!$J$4:$J$291,'Resultat-Produktion &amp; forbrug'!$A$4:$A$291,$A20,'Resultat-Produktion &amp; forbrug'!$E$4:$E$291,Biogasanlæg!G$11)-SUMIFS('Resultat-Produktion &amp; forbrug'!$K$4:$K$291,'Resultat-Produktion &amp; forbrug'!$A$4:$A$291,$A20,'Resultat-Produktion &amp; forbrug'!$E$4:$E$291,Biogasanlæg!G$11)-SUMIFS('Resultat-Produktion &amp; forbrug'!$N$4:$N$291,'Resultat-Produktion &amp; forbrug'!$A$4:$A$291,$A20,'Resultat-Produktion &amp; forbrug'!$E$4:$E$291,Biogasanlæg!G$11)</f>
        <v>3943177.206576284</v>
      </c>
      <c r="H20" s="122">
        <f>VLOOKUP(A20,[1]Biogasudbytte!$A$2:$C$18,3,FALSE)</f>
        <v>0.85</v>
      </c>
      <c r="I20" s="123">
        <f>VLOOKUP(A20,[1]Biogasudbytte!$A$2:$C$18,2,FALSE)*IFERROR(VLOOKUP(A20,$F$3:$G$8,2,FALSE),1)</f>
        <v>160.6</v>
      </c>
      <c r="J20" s="122">
        <f t="shared" ca="1" si="1"/>
        <v>5.8007317184497744E-3</v>
      </c>
      <c r="K20" s="122">
        <f t="shared" ca="1" si="2"/>
        <v>0</v>
      </c>
      <c r="L20" s="122">
        <f t="shared" ca="1" si="3"/>
        <v>0</v>
      </c>
      <c r="M20" s="114" t="s">
        <v>146</v>
      </c>
      <c r="N20" s="115">
        <v>75934</v>
      </c>
      <c r="O20" s="136">
        <f t="shared" ref="O20:O28" si="8">N20-C20</f>
        <v>0</v>
      </c>
      <c r="P20" s="115">
        <f t="shared" si="5"/>
        <v>12195000.4</v>
      </c>
      <c r="Q20" s="114">
        <f t="shared" si="6"/>
        <v>0.43780051436</v>
      </c>
    </row>
    <row r="21" spans="1:23" x14ac:dyDescent="0.2">
      <c r="A21" s="114" t="s">
        <v>48</v>
      </c>
      <c r="B21" s="114" t="s">
        <v>139</v>
      </c>
      <c r="C21" s="223">
        <f t="shared" ref="C21:C28" si="9">N21</f>
        <v>3786</v>
      </c>
      <c r="D21" s="224"/>
      <c r="E21" s="224"/>
      <c r="F21" s="216">
        <f ca="1">SUMIFS('Resultat-Produktion &amp; forbrug'!$G$4:$G$291,'Resultat-Produktion &amp; forbrug'!$A$4:$A$291,$A21,'Resultat-Produktion &amp; forbrug'!$E$4:$E$291,Biogasanlæg!F$11)-SUMIFS('Resultat-Produktion &amp; forbrug'!$H$4:$H$291,'Resultat-Produktion &amp; forbrug'!$A$4:$A$291,$A21,'Resultat-Produktion &amp; forbrug'!$E$4:$E$291,Biogasanlæg!F$11)-SUMIFS('Resultat-Produktion &amp; forbrug'!$I$4:$I$291,'Resultat-Produktion &amp; forbrug'!$A$4:$A$291,$A21,'Resultat-Produktion &amp; forbrug'!$E$4:$E$291,Biogasanlæg!F$11)-SUMIFS('Resultat-Produktion &amp; forbrug'!$J$4:$J$291,'Resultat-Produktion &amp; forbrug'!$A$4:$A$291,$A21,'Resultat-Produktion &amp; forbrug'!$E$4:$E$291,Biogasanlæg!F$11)-SUMIFS('Resultat-Produktion &amp; forbrug'!$K$4:$K$291,'Resultat-Produktion &amp; forbrug'!$A$4:$A$291,$A21,'Resultat-Produktion &amp; forbrug'!$E$4:$E$291,Biogasanlæg!F$11)-SUMIFS('Resultat-Produktion &amp; forbrug'!$N$4:$N$291,'Resultat-Produktion &amp; forbrug'!$A$4:$A$291,$A21,'Resultat-Produktion &amp; forbrug'!$E$4:$E$291,Biogasanlæg!F$11)</f>
        <v>2160289.2477442049</v>
      </c>
      <c r="G21" s="216">
        <f ca="1">SUMIFS('Resultat-Produktion &amp; forbrug'!$G$4:$G$291,'Resultat-Produktion &amp; forbrug'!$A$4:$A$291,$A21,'Resultat-Produktion &amp; forbrug'!$E$4:$E$291,Biogasanlæg!G$11)-SUMIFS('Resultat-Produktion &amp; forbrug'!$H$4:$H$291,'Resultat-Produktion &amp; forbrug'!$A$4:$A$291,$A21,'Resultat-Produktion &amp; forbrug'!$E$4:$E$291,Biogasanlæg!G$11)-SUMIFS('Resultat-Produktion &amp; forbrug'!$I$4:$I$291,'Resultat-Produktion &amp; forbrug'!$A$4:$A$291,$A21,'Resultat-Produktion &amp; forbrug'!$E$4:$E$291,Biogasanlæg!G$11)-SUMIFS('Resultat-Produktion &amp; forbrug'!$J$4:$J$291,'Resultat-Produktion &amp; forbrug'!$A$4:$A$291,$A21,'Resultat-Produktion &amp; forbrug'!$E$4:$E$291,Biogasanlæg!G$11)-SUMIFS('Resultat-Produktion &amp; forbrug'!$K$4:$K$291,'Resultat-Produktion &amp; forbrug'!$A$4:$A$291,$A21,'Resultat-Produktion &amp; forbrug'!$E$4:$E$291,Biogasanlæg!G$11)-SUMIFS('Resultat-Produktion &amp; forbrug'!$N$4:$N$291,'Resultat-Produktion &amp; forbrug'!$A$4:$A$291,$A21,'Resultat-Produktion &amp; forbrug'!$E$4:$E$291,Biogasanlæg!G$11)</f>
        <v>2313891.3389375587</v>
      </c>
      <c r="H21" s="122">
        <f>VLOOKUP(A21,[1]Biogasudbytte!$A$2:$C$18,3,FALSE)</f>
        <v>0.31</v>
      </c>
      <c r="I21" s="123">
        <f>VLOOKUP(A21,[1]Biogasudbytte!$A$2:$C$18,2,FALSE)*IFERROR(VLOOKUP(A21,$F$3:$G$8,2,FALSE),1)</f>
        <v>95.4</v>
      </c>
      <c r="J21" s="122">
        <f t="shared" ca="1" si="1"/>
        <v>2.8921919411661239E-4</v>
      </c>
      <c r="K21" s="122">
        <f t="shared" ca="1" si="2"/>
        <v>0</v>
      </c>
      <c r="L21" s="122">
        <f t="shared" ca="1" si="3"/>
        <v>0</v>
      </c>
      <c r="M21" s="114" t="s">
        <v>157</v>
      </c>
      <c r="N21" s="115">
        <v>3786</v>
      </c>
      <c r="O21" s="136">
        <f t="shared" si="8"/>
        <v>0</v>
      </c>
      <c r="P21" s="115">
        <f t="shared" si="5"/>
        <v>361184.4</v>
      </c>
      <c r="Q21" s="114">
        <f t="shared" si="6"/>
        <v>1.2966519960000001E-2</v>
      </c>
    </row>
    <row r="22" spans="1:23" x14ac:dyDescent="0.2">
      <c r="A22" s="114" t="s">
        <v>51</v>
      </c>
      <c r="B22" s="114" t="s">
        <v>139</v>
      </c>
      <c r="C22" s="223">
        <f t="shared" si="9"/>
        <v>85677</v>
      </c>
      <c r="D22" s="224"/>
      <c r="E22" s="224"/>
      <c r="F22" s="216">
        <f ca="1">SUMIFS('Resultat-Produktion &amp; forbrug'!$G$4:$G$291,'Resultat-Produktion &amp; forbrug'!$A$4:$A$291,$A22,'Resultat-Produktion &amp; forbrug'!$E$4:$E$291,Biogasanlæg!F$11)-SUMIFS('Resultat-Produktion &amp; forbrug'!$H$4:$H$291,'Resultat-Produktion &amp; forbrug'!$A$4:$A$291,$A22,'Resultat-Produktion &amp; forbrug'!$E$4:$E$291,Biogasanlæg!F$11)-SUMIFS('Resultat-Produktion &amp; forbrug'!$I$4:$I$291,'Resultat-Produktion &amp; forbrug'!$A$4:$A$291,$A22,'Resultat-Produktion &amp; forbrug'!$E$4:$E$291,Biogasanlæg!F$11)-SUMIFS('Resultat-Produktion &amp; forbrug'!$J$4:$J$291,'Resultat-Produktion &amp; forbrug'!$A$4:$A$291,$A22,'Resultat-Produktion &amp; forbrug'!$E$4:$E$291,Biogasanlæg!F$11)-SUMIFS('Resultat-Produktion &amp; forbrug'!$K$4:$K$291,'Resultat-Produktion &amp; forbrug'!$A$4:$A$291,$A22,'Resultat-Produktion &amp; forbrug'!$E$4:$E$291,Biogasanlæg!F$11)-SUMIFS('Resultat-Produktion &amp; forbrug'!$N$4:$N$291,'Resultat-Produktion &amp; forbrug'!$A$4:$A$291,$A22,'Resultat-Produktion &amp; forbrug'!$E$4:$E$291,Biogasanlæg!F$11)</f>
        <v>4179489.6500196699</v>
      </c>
      <c r="G22" s="216">
        <f ca="1">SUMIFS('Resultat-Produktion &amp; forbrug'!$G$4:$G$291,'Resultat-Produktion &amp; forbrug'!$A$4:$A$291,$A22,'Resultat-Produktion &amp; forbrug'!$E$4:$E$291,Biogasanlæg!G$11)-SUMIFS('Resultat-Produktion &amp; forbrug'!$H$4:$H$291,'Resultat-Produktion &amp; forbrug'!$A$4:$A$291,$A22,'Resultat-Produktion &amp; forbrug'!$E$4:$E$291,Biogasanlæg!G$11)-SUMIFS('Resultat-Produktion &amp; forbrug'!$I$4:$I$291,'Resultat-Produktion &amp; forbrug'!$A$4:$A$291,$A22,'Resultat-Produktion &amp; forbrug'!$E$4:$E$291,Biogasanlæg!G$11)-SUMIFS('Resultat-Produktion &amp; forbrug'!$J$4:$J$291,'Resultat-Produktion &amp; forbrug'!$A$4:$A$291,$A22,'Resultat-Produktion &amp; forbrug'!$E$4:$E$291,Biogasanlæg!G$11)-SUMIFS('Resultat-Produktion &amp; forbrug'!$K$4:$K$291,'Resultat-Produktion &amp; forbrug'!$A$4:$A$291,$A22,'Resultat-Produktion &amp; forbrug'!$E$4:$E$291,Biogasanlæg!G$11)-SUMIFS('Resultat-Produktion &amp; forbrug'!$N$4:$N$291,'Resultat-Produktion &amp; forbrug'!$A$4:$A$291,$A22,'Resultat-Produktion &amp; forbrug'!$E$4:$E$291,Biogasanlæg!G$11)</f>
        <v>2982756.1787720937</v>
      </c>
      <c r="H22" s="122">
        <f>VLOOKUP(A22,[1]Biogasudbytte!$A$2:$C$18,3,FALSE)</f>
        <v>0.28000000000000003</v>
      </c>
      <c r="I22" s="123">
        <f>VLOOKUP(A22,[1]Biogasudbytte!$A$2:$C$18,2,FALSE)*IFERROR(VLOOKUP(A22,$F$3:$G$8,2,FALSE),1)</f>
        <v>51.25</v>
      </c>
      <c r="J22" s="122">
        <f t="shared" ca="1" si="1"/>
        <v>6.5450166123425784E-3</v>
      </c>
      <c r="K22" s="122">
        <f t="shared" ca="1" si="2"/>
        <v>0</v>
      </c>
      <c r="L22" s="122">
        <f t="shared" ca="1" si="3"/>
        <v>0</v>
      </c>
      <c r="M22" s="147" t="s">
        <v>292</v>
      </c>
      <c r="N22" s="148">
        <f>SUM(S22:Z22)</f>
        <v>85677</v>
      </c>
      <c r="O22" s="136">
        <f t="shared" si="8"/>
        <v>0</v>
      </c>
      <c r="P22" s="115">
        <f t="shared" si="5"/>
        <v>4390946.25</v>
      </c>
      <c r="Q22" s="114">
        <f t="shared" si="6"/>
        <v>0.15763497037499999</v>
      </c>
      <c r="S22" s="114">
        <v>66010</v>
      </c>
      <c r="T22" s="114">
        <v>2139</v>
      </c>
      <c r="U22" s="114">
        <v>14273</v>
      </c>
      <c r="V22" s="114">
        <v>3255</v>
      </c>
    </row>
    <row r="23" spans="1:23" x14ac:dyDescent="0.2">
      <c r="A23" s="114" t="s">
        <v>53</v>
      </c>
      <c r="B23" s="114" t="s">
        <v>139</v>
      </c>
      <c r="C23" s="223">
        <f t="shared" si="9"/>
        <v>330026</v>
      </c>
      <c r="D23" s="224"/>
      <c r="E23" s="224"/>
      <c r="F23" s="216">
        <f ca="1">SUMIFS('Resultat-Produktion &amp; forbrug'!$G$4:$G$291,'Resultat-Produktion &amp; forbrug'!$A$4:$A$291,$A23,'Resultat-Produktion &amp; forbrug'!$E$4:$E$291,Biogasanlæg!F$11)-SUMIFS('Resultat-Produktion &amp; forbrug'!$H$4:$H$291,'Resultat-Produktion &amp; forbrug'!$A$4:$A$291,$A23,'Resultat-Produktion &amp; forbrug'!$E$4:$E$291,Biogasanlæg!F$11)-SUMIFS('Resultat-Produktion &amp; forbrug'!$I$4:$I$291,'Resultat-Produktion &amp; forbrug'!$A$4:$A$291,$A23,'Resultat-Produktion &amp; forbrug'!$E$4:$E$291,Biogasanlæg!F$11)-SUMIFS('Resultat-Produktion &amp; forbrug'!$J$4:$J$291,'Resultat-Produktion &amp; forbrug'!$A$4:$A$291,$A23,'Resultat-Produktion &amp; forbrug'!$E$4:$E$291,Biogasanlæg!F$11)-SUMIFS('Resultat-Produktion &amp; forbrug'!$K$4:$K$291,'Resultat-Produktion &amp; forbrug'!$A$4:$A$291,$A23,'Resultat-Produktion &amp; forbrug'!$E$4:$E$291,Biogasanlæg!F$11)-SUMIFS('Resultat-Produktion &amp; forbrug'!$N$4:$N$291,'Resultat-Produktion &amp; forbrug'!$A$4:$A$291,$A23,'Resultat-Produktion &amp; forbrug'!$E$4:$E$291,Biogasanlæg!F$11)</f>
        <v>1779514.2608325714</v>
      </c>
      <c r="G23" s="216">
        <f ca="1">SUMIFS('Resultat-Produktion &amp; forbrug'!$G$4:$G$291,'Resultat-Produktion &amp; forbrug'!$A$4:$A$291,$A23,'Resultat-Produktion &amp; forbrug'!$E$4:$E$291,Biogasanlæg!G$11)-SUMIFS('Resultat-Produktion &amp; forbrug'!$H$4:$H$291,'Resultat-Produktion &amp; forbrug'!$A$4:$A$291,$A23,'Resultat-Produktion &amp; forbrug'!$E$4:$E$291,Biogasanlæg!G$11)-SUMIFS('Resultat-Produktion &amp; forbrug'!$I$4:$I$291,'Resultat-Produktion &amp; forbrug'!$A$4:$A$291,$A23,'Resultat-Produktion &amp; forbrug'!$E$4:$E$291,Biogasanlæg!G$11)-SUMIFS('Resultat-Produktion &amp; forbrug'!$J$4:$J$291,'Resultat-Produktion &amp; forbrug'!$A$4:$A$291,$A23,'Resultat-Produktion &amp; forbrug'!$E$4:$E$291,Biogasanlæg!G$11)-SUMIFS('Resultat-Produktion &amp; forbrug'!$K$4:$K$291,'Resultat-Produktion &amp; forbrug'!$A$4:$A$291,$A23,'Resultat-Produktion &amp; forbrug'!$E$4:$E$291,Biogasanlæg!G$11)-SUMIFS('Resultat-Produktion &amp; forbrug'!$N$4:$N$291,'Resultat-Produktion &amp; forbrug'!$A$4:$A$291,$A23,'Resultat-Produktion &amp; forbrug'!$E$4:$E$291,Biogasanlæg!G$11)</f>
        <v>1964071.9525106084</v>
      </c>
      <c r="H23" s="122">
        <f>VLOOKUP(A23,[1]Biogasudbytte!$A$2:$C$18,3,FALSE)</f>
        <v>0.3</v>
      </c>
      <c r="I23" s="123">
        <f>VLOOKUP(A23,[1]Biogasudbytte!$A$2:$C$18,2,FALSE)*IFERROR(VLOOKUP(A23,$F$3:$G$8,2,FALSE),1)</f>
        <v>100</v>
      </c>
      <c r="J23" s="122">
        <f t="shared" ca="1" si="1"/>
        <v>2.5211266180012976E-2</v>
      </c>
      <c r="K23" s="122">
        <f t="shared" ca="1" si="2"/>
        <v>0</v>
      </c>
      <c r="L23" s="122">
        <f t="shared" ca="1" si="3"/>
        <v>0</v>
      </c>
      <c r="M23" s="114" t="s">
        <v>147</v>
      </c>
      <c r="N23" s="115">
        <v>330026</v>
      </c>
      <c r="O23" s="136">
        <f t="shared" si="8"/>
        <v>0</v>
      </c>
      <c r="P23" s="115">
        <f t="shared" si="5"/>
        <v>33002600</v>
      </c>
      <c r="Q23" s="114">
        <f t="shared" si="6"/>
        <v>1.1847933399999999</v>
      </c>
    </row>
    <row r="24" spans="1:23" x14ac:dyDescent="0.2">
      <c r="A24" s="114" t="s">
        <v>52</v>
      </c>
      <c r="B24" s="114" t="s">
        <v>139</v>
      </c>
      <c r="C24" s="223">
        <f t="shared" si="9"/>
        <v>28645</v>
      </c>
      <c r="D24" s="224"/>
      <c r="E24" s="224"/>
      <c r="F24" s="216">
        <f ca="1">SUMIFS('Resultat-Produktion &amp; forbrug'!$G$4:$G$291,'Resultat-Produktion &amp; forbrug'!$A$4:$A$291,$A24,'Resultat-Produktion &amp; forbrug'!$E$4:$E$291,Biogasanlæg!F$11)-SUMIFS('Resultat-Produktion &amp; forbrug'!$H$4:$H$291,'Resultat-Produktion &amp; forbrug'!$A$4:$A$291,$A24,'Resultat-Produktion &amp; forbrug'!$E$4:$E$291,Biogasanlæg!F$11)-SUMIFS('Resultat-Produktion &amp; forbrug'!$I$4:$I$291,'Resultat-Produktion &amp; forbrug'!$A$4:$A$291,$A24,'Resultat-Produktion &amp; forbrug'!$E$4:$E$291,Biogasanlæg!F$11)-SUMIFS('Resultat-Produktion &amp; forbrug'!$J$4:$J$291,'Resultat-Produktion &amp; forbrug'!$A$4:$A$291,$A24,'Resultat-Produktion &amp; forbrug'!$E$4:$E$291,Biogasanlæg!F$11)-SUMIFS('Resultat-Produktion &amp; forbrug'!$K$4:$K$291,'Resultat-Produktion &amp; forbrug'!$A$4:$A$291,$A24,'Resultat-Produktion &amp; forbrug'!$E$4:$E$291,Biogasanlæg!F$11)-SUMIFS('Resultat-Produktion &amp; forbrug'!$N$4:$N$291,'Resultat-Produktion &amp; forbrug'!$A$4:$A$291,$A24,'Resultat-Produktion &amp; forbrug'!$E$4:$E$291,Biogasanlæg!F$11)</f>
        <v>1748807.7160654503</v>
      </c>
      <c r="G24" s="216">
        <f ca="1">SUMIFS('Resultat-Produktion &amp; forbrug'!$G$4:$G$291,'Resultat-Produktion &amp; forbrug'!$A$4:$A$291,$A24,'Resultat-Produktion &amp; forbrug'!$E$4:$E$291,Biogasanlæg!G$11)-SUMIFS('Resultat-Produktion &amp; forbrug'!$H$4:$H$291,'Resultat-Produktion &amp; forbrug'!$A$4:$A$291,$A24,'Resultat-Produktion &amp; forbrug'!$E$4:$E$291,Biogasanlæg!G$11)-SUMIFS('Resultat-Produktion &amp; forbrug'!$I$4:$I$291,'Resultat-Produktion &amp; forbrug'!$A$4:$A$291,$A24,'Resultat-Produktion &amp; forbrug'!$E$4:$E$291,Biogasanlæg!G$11)-SUMIFS('Resultat-Produktion &amp; forbrug'!$J$4:$J$291,'Resultat-Produktion &amp; forbrug'!$A$4:$A$291,$A24,'Resultat-Produktion &amp; forbrug'!$E$4:$E$291,Biogasanlæg!G$11)-SUMIFS('Resultat-Produktion &amp; forbrug'!$K$4:$K$291,'Resultat-Produktion &amp; forbrug'!$A$4:$A$291,$A24,'Resultat-Produktion &amp; forbrug'!$E$4:$E$291,Biogasanlæg!G$11)-SUMIFS('Resultat-Produktion &amp; forbrug'!$N$4:$N$291,'Resultat-Produktion &amp; forbrug'!$A$4:$A$291,$A24,'Resultat-Produktion &amp; forbrug'!$E$4:$E$291,Biogasanlæg!G$11)</f>
        <v>1830597.0172306283</v>
      </c>
      <c r="H24" s="122">
        <f>VLOOKUP(A24,[1]Biogasudbytte!$A$2:$C$18,3,FALSE)</f>
        <v>0.2</v>
      </c>
      <c r="I24" s="123">
        <f>VLOOKUP(A24,[1]Biogasudbytte!$A$2:$C$18,2,FALSE)*IFERROR(VLOOKUP(A24,$F$3:$G$8,2,FALSE),1)</f>
        <v>75.599999999999994</v>
      </c>
      <c r="J24" s="122">
        <f t="shared" ca="1" si="1"/>
        <v>2.1882418952642265E-3</v>
      </c>
      <c r="K24" s="122">
        <f t="shared" ca="1" si="2"/>
        <v>0</v>
      </c>
      <c r="L24" s="122">
        <f t="shared" ca="1" si="3"/>
        <v>0</v>
      </c>
      <c r="M24" s="114" t="s">
        <v>148</v>
      </c>
      <c r="N24" s="115">
        <v>28645</v>
      </c>
      <c r="O24" s="136">
        <f t="shared" si="8"/>
        <v>0</v>
      </c>
      <c r="P24" s="115">
        <f t="shared" si="5"/>
        <v>2165562</v>
      </c>
      <c r="Q24" s="114">
        <f t="shared" si="6"/>
        <v>7.7743675799999995E-2</v>
      </c>
    </row>
    <row r="25" spans="1:23" x14ac:dyDescent="0.2">
      <c r="A25" s="114" t="s">
        <v>162</v>
      </c>
      <c r="B25" s="114" t="s">
        <v>139</v>
      </c>
      <c r="C25" s="223">
        <f t="shared" si="9"/>
        <v>78</v>
      </c>
      <c r="D25" s="224">
        <v>750000</v>
      </c>
      <c r="E25" s="224">
        <v>980000</v>
      </c>
      <c r="F25" s="216">
        <f>SUMIFS('Resultat-Produktion &amp; forbrug'!$G$4:$G$291,'Resultat-Produktion &amp; forbrug'!$A$4:$A$291,$A25,'Resultat-Produktion &amp; forbrug'!$E$4:$E$291,Biogasanlæg!F$11)-SUMIFS('Resultat-Produktion &amp; forbrug'!$H$4:$H$291,'Resultat-Produktion &amp; forbrug'!$A$4:$A$291,$A25,'Resultat-Produktion &amp; forbrug'!$E$4:$E$291,Biogasanlæg!F$11)-SUMIFS('Resultat-Produktion &amp; forbrug'!$I$4:$I$291,'Resultat-Produktion &amp; forbrug'!$A$4:$A$291,$A25,'Resultat-Produktion &amp; forbrug'!$E$4:$E$291,Biogasanlæg!F$11)-SUMIFS('Resultat-Produktion &amp; forbrug'!$J$4:$J$291,'Resultat-Produktion &amp; forbrug'!$A$4:$A$291,$A25,'Resultat-Produktion &amp; forbrug'!$E$4:$E$291,Biogasanlæg!F$11)-SUMIFS('Resultat-Produktion &amp; forbrug'!$K$4:$K$291,'Resultat-Produktion &amp; forbrug'!$A$4:$A$291,$A25,'Resultat-Produktion &amp; forbrug'!$E$4:$E$291,Biogasanlæg!F$11)-SUMIFS('Resultat-Produktion &amp; forbrug'!$N$4:$N$291,'Resultat-Produktion &amp; forbrug'!$A$4:$A$291,$A25,'Resultat-Produktion &amp; forbrug'!$E$4:$E$291,Biogasanlæg!F$11)</f>
        <v>232809</v>
      </c>
      <c r="G25" s="216">
        <f>SUMIFS('Resultat-Produktion &amp; forbrug'!$G$4:$G$291,'Resultat-Produktion &amp; forbrug'!$A$4:$A$291,$A25,'Resultat-Produktion &amp; forbrug'!$E$4:$E$291,Biogasanlæg!G$11)-SUMIFS('Resultat-Produktion &amp; forbrug'!$H$4:$H$291,'Resultat-Produktion &amp; forbrug'!$A$4:$A$291,$A25,'Resultat-Produktion &amp; forbrug'!$E$4:$E$291,Biogasanlæg!G$11)-SUMIFS('Resultat-Produktion &amp; forbrug'!$I$4:$I$291,'Resultat-Produktion &amp; forbrug'!$A$4:$A$291,$A25,'Resultat-Produktion &amp; forbrug'!$E$4:$E$291,Biogasanlæg!G$11)-SUMIFS('Resultat-Produktion &amp; forbrug'!$J$4:$J$291,'Resultat-Produktion &amp; forbrug'!$A$4:$A$291,$A25,'Resultat-Produktion &amp; forbrug'!$E$4:$E$291,Biogasanlæg!G$11)-SUMIFS('Resultat-Produktion &amp; forbrug'!$K$4:$K$291,'Resultat-Produktion &amp; forbrug'!$A$4:$A$291,$A25,'Resultat-Produktion &amp; forbrug'!$E$4:$E$291,Biogasanlæg!G$11)-SUMIFS('Resultat-Produktion &amp; forbrug'!$N$4:$N$291,'Resultat-Produktion &amp; forbrug'!$A$4:$A$291,$A25,'Resultat-Produktion &amp; forbrug'!$E$4:$E$291,Biogasanlæg!G$11)</f>
        <v>2809</v>
      </c>
      <c r="H25" s="122">
        <f>VLOOKUP(A25,[1]Biogasudbytte!$A$2:$C$18,3,FALSE)</f>
        <v>0.3</v>
      </c>
      <c r="I25" s="123">
        <f>VLOOKUP(A25,[1]Biogasudbytte!$A$2:$C$18,2,FALSE)*IFERROR(VLOOKUP(A25,$F$3:$G$8,2,FALSE),1)</f>
        <v>47.3</v>
      </c>
      <c r="J25" s="122">
        <f t="shared" ca="1" si="1"/>
        <v>5.9585570895657067E-6</v>
      </c>
      <c r="K25" s="122">
        <f t="shared" ca="1" si="2"/>
        <v>2.381573814512717E-2</v>
      </c>
      <c r="L25" s="122">
        <f t="shared" ca="1" si="3"/>
        <v>2.7039784977946693E-2</v>
      </c>
      <c r="M25" s="114" t="s">
        <v>163</v>
      </c>
      <c r="N25" s="115">
        <v>78</v>
      </c>
      <c r="O25" s="136">
        <f t="shared" si="8"/>
        <v>0</v>
      </c>
      <c r="P25" s="115">
        <f t="shared" si="5"/>
        <v>3689.3999999999996</v>
      </c>
      <c r="Q25" s="114">
        <f t="shared" si="6"/>
        <v>1.3244945999999998E-4</v>
      </c>
    </row>
    <row r="26" spans="1:23" x14ac:dyDescent="0.2">
      <c r="A26" s="114" t="s">
        <v>158</v>
      </c>
      <c r="B26" s="114" t="s">
        <v>139</v>
      </c>
      <c r="C26" s="223">
        <f t="shared" si="9"/>
        <v>142742</v>
      </c>
      <c r="D26" s="224">
        <f>C26</f>
        <v>142742</v>
      </c>
      <c r="E26" s="224">
        <f>C26</f>
        <v>142742</v>
      </c>
      <c r="F26" s="216">
        <f>SUMIFS('Resultat-Produktion &amp; forbrug'!$G$4:$G$291,'Resultat-Produktion &amp; forbrug'!$A$4:$A$291,$A26,'Resultat-Produktion &amp; forbrug'!$E$4:$E$291,Biogasanlæg!F$11)-SUMIFS('Resultat-Produktion &amp; forbrug'!$H$4:$H$291,'Resultat-Produktion &amp; forbrug'!$A$4:$A$291,$A26,'Resultat-Produktion &amp; forbrug'!$E$4:$E$291,Biogasanlæg!F$11)-SUMIFS('Resultat-Produktion &amp; forbrug'!$I$4:$I$291,'Resultat-Produktion &amp; forbrug'!$A$4:$A$291,$A26,'Resultat-Produktion &amp; forbrug'!$E$4:$E$291,Biogasanlæg!F$11)-SUMIFS('Resultat-Produktion &amp; forbrug'!$J$4:$J$291,'Resultat-Produktion &amp; forbrug'!$A$4:$A$291,$A26,'Resultat-Produktion &amp; forbrug'!$E$4:$E$291,Biogasanlæg!F$11)-SUMIFS('Resultat-Produktion &amp; forbrug'!$K$4:$K$291,'Resultat-Produktion &amp; forbrug'!$A$4:$A$291,$A26,'Resultat-Produktion &amp; forbrug'!$E$4:$E$291,Biogasanlæg!F$11)-SUMIFS('Resultat-Produktion &amp; forbrug'!$N$4:$N$291,'Resultat-Produktion &amp; forbrug'!$A$4:$A$291,$A26,'Resultat-Produktion &amp; forbrug'!$E$4:$E$291,Biogasanlæg!F$11)</f>
        <v>-142742</v>
      </c>
      <c r="G26" s="216">
        <f>SUMIFS('Resultat-Produktion &amp; forbrug'!$G$4:$G$291,'Resultat-Produktion &amp; forbrug'!$A$4:$A$291,$A26,'Resultat-Produktion &amp; forbrug'!$E$4:$E$291,Biogasanlæg!G$11)-SUMIFS('Resultat-Produktion &amp; forbrug'!$H$4:$H$291,'Resultat-Produktion &amp; forbrug'!$A$4:$A$291,$A26,'Resultat-Produktion &amp; forbrug'!$E$4:$E$291,Biogasanlæg!G$11)-SUMIFS('Resultat-Produktion &amp; forbrug'!$I$4:$I$291,'Resultat-Produktion &amp; forbrug'!$A$4:$A$291,$A26,'Resultat-Produktion &amp; forbrug'!$E$4:$E$291,Biogasanlæg!G$11)-SUMIFS('Resultat-Produktion &amp; forbrug'!$J$4:$J$291,'Resultat-Produktion &amp; forbrug'!$A$4:$A$291,$A26,'Resultat-Produktion &amp; forbrug'!$E$4:$E$291,Biogasanlæg!G$11)-SUMIFS('Resultat-Produktion &amp; forbrug'!$K$4:$K$291,'Resultat-Produktion &amp; forbrug'!$A$4:$A$291,$A26,'Resultat-Produktion &amp; forbrug'!$E$4:$E$291,Biogasanlæg!G$11)-SUMIFS('Resultat-Produktion &amp; forbrug'!$N$4:$N$291,'Resultat-Produktion &amp; forbrug'!$A$4:$A$291,$A26,'Resultat-Produktion &amp; forbrug'!$E$4:$E$291,Biogasanlæg!G$11)</f>
        <v>-142742</v>
      </c>
      <c r="H26" s="122">
        <f>VLOOKUP(A26,[1]Biogasudbytte!$A$2:$C$18,3,FALSE)</f>
        <v>0.9</v>
      </c>
      <c r="I26" s="123">
        <f>VLOOKUP(A26,[1]Biogasudbytte!$A$2:$C$18,2,FALSE)*IFERROR(VLOOKUP(A26,$F$3:$G$8,2,FALSE),1)</f>
        <v>423.36</v>
      </c>
      <c r="J26" s="122">
        <f t="shared" ca="1" si="1"/>
        <v>1.090431225742036E-2</v>
      </c>
      <c r="K26" s="122">
        <f t="shared" ca="1" si="2"/>
        <v>4.532674792415657E-3</v>
      </c>
      <c r="L26" s="122">
        <f t="shared" ca="1" si="3"/>
        <v>3.9384826401245585E-3</v>
      </c>
      <c r="M26" s="114" t="s">
        <v>161</v>
      </c>
      <c r="N26" s="114">
        <v>142742</v>
      </c>
      <c r="O26" s="136">
        <f t="shared" si="8"/>
        <v>0</v>
      </c>
      <c r="P26" s="115">
        <f t="shared" si="5"/>
        <v>60431253.120000005</v>
      </c>
      <c r="Q26" s="114">
        <f t="shared" si="6"/>
        <v>2.169481987008</v>
      </c>
    </row>
    <row r="27" spans="1:23" x14ac:dyDescent="0.2">
      <c r="A27" s="114" t="s">
        <v>106</v>
      </c>
      <c r="B27" s="114" t="s">
        <v>139</v>
      </c>
      <c r="C27" s="223">
        <f t="shared" si="9"/>
        <v>0</v>
      </c>
      <c r="D27" s="224"/>
      <c r="E27" s="224"/>
      <c r="F27" s="216">
        <f ca="1">SUMIFS('Resultat-Produktion &amp; forbrug'!$G$4:$G$291,'Resultat-Produktion &amp; forbrug'!$A$4:$A$291,$A27,'Resultat-Produktion &amp; forbrug'!$E$4:$E$291,Biogasanlæg!F$11)-SUMIFS('Resultat-Produktion &amp; forbrug'!$H$4:$H$291,'Resultat-Produktion &amp; forbrug'!$A$4:$A$291,$A27,'Resultat-Produktion &amp; forbrug'!$E$4:$E$291,Biogasanlæg!F$11)-SUMIFS('Resultat-Produktion &amp; forbrug'!$I$4:$I$291,'Resultat-Produktion &amp; forbrug'!$A$4:$A$291,$A27,'Resultat-Produktion &amp; forbrug'!$E$4:$E$291,Biogasanlæg!F$11)-SUMIFS('Resultat-Produktion &amp; forbrug'!$J$4:$J$291,'Resultat-Produktion &amp; forbrug'!$A$4:$A$291,$A27,'Resultat-Produktion &amp; forbrug'!$E$4:$E$291,Biogasanlæg!F$11)-SUMIFS('Resultat-Produktion &amp; forbrug'!$K$4:$K$291,'Resultat-Produktion &amp; forbrug'!$A$4:$A$291,$A27,'Resultat-Produktion &amp; forbrug'!$E$4:$E$291,Biogasanlæg!F$11)-SUMIFS('Resultat-Produktion &amp; forbrug'!$N$4:$N$291,'Resultat-Produktion &amp; forbrug'!$A$4:$A$291,$A27,'Resultat-Produktion &amp; forbrug'!$E$4:$E$291,Biogasanlæg!F$11)</f>
        <v>880.09999999999991</v>
      </c>
      <c r="G27" s="216">
        <f ca="1">SUMIFS('Resultat-Produktion &amp; forbrug'!$G$4:$G$291,'Resultat-Produktion &amp; forbrug'!$A$4:$A$291,$A27,'Resultat-Produktion &amp; forbrug'!$E$4:$E$291,Biogasanlæg!G$11)-SUMIFS('Resultat-Produktion &amp; forbrug'!$H$4:$H$291,'Resultat-Produktion &amp; forbrug'!$A$4:$A$291,$A27,'Resultat-Produktion &amp; forbrug'!$E$4:$E$291,Biogasanlæg!G$11)-SUMIFS('Resultat-Produktion &amp; forbrug'!$I$4:$I$291,'Resultat-Produktion &amp; forbrug'!$A$4:$A$291,$A27,'Resultat-Produktion &amp; forbrug'!$E$4:$E$291,Biogasanlæg!G$11)-SUMIFS('Resultat-Produktion &amp; forbrug'!$J$4:$J$291,'Resultat-Produktion &amp; forbrug'!$A$4:$A$291,$A27,'Resultat-Produktion &amp; forbrug'!$E$4:$E$291,Biogasanlæg!G$11)-SUMIFS('Resultat-Produktion &amp; forbrug'!$K$4:$K$291,'Resultat-Produktion &amp; forbrug'!$A$4:$A$291,$A27,'Resultat-Produktion &amp; forbrug'!$E$4:$E$291,Biogasanlæg!G$11)-SUMIFS('Resultat-Produktion &amp; forbrug'!$N$4:$N$291,'Resultat-Produktion &amp; forbrug'!$A$4:$A$291,$A27,'Resultat-Produktion &amp; forbrug'!$E$4:$E$291,Biogasanlæg!G$11)</f>
        <v>880.09999999999991</v>
      </c>
      <c r="H27" s="122">
        <f>VLOOKUP(A27,[1]Biogasudbytte!$A$2:$C$18,3,FALSE)</f>
        <v>0.15</v>
      </c>
      <c r="I27" s="123">
        <f>VLOOKUP(A27,[1]Biogasudbytte!$A$2:$C$18,2,FALSE)*IFERROR(VLOOKUP(A27,$F$3:$G$8,2,FALSE),1)</f>
        <v>25</v>
      </c>
      <c r="J27" s="122">
        <f t="shared" ca="1" si="1"/>
        <v>0</v>
      </c>
      <c r="K27" s="122">
        <f t="shared" ca="1" si="2"/>
        <v>0</v>
      </c>
      <c r="L27" s="122">
        <f t="shared" ca="1" si="3"/>
        <v>0</v>
      </c>
      <c r="M27" s="114" t="s">
        <v>149</v>
      </c>
      <c r="O27" s="136">
        <f t="shared" si="8"/>
        <v>0</v>
      </c>
      <c r="P27" s="115">
        <f t="shared" si="5"/>
        <v>0</v>
      </c>
      <c r="Q27" s="114">
        <f t="shared" si="6"/>
        <v>0</v>
      </c>
    </row>
    <row r="28" spans="1:23" ht="12.75" thickBot="1" x14ac:dyDescent="0.25">
      <c r="A28" s="126" t="s">
        <v>99</v>
      </c>
      <c r="B28" s="126" t="s">
        <v>139</v>
      </c>
      <c r="C28" s="225">
        <f t="shared" si="9"/>
        <v>0</v>
      </c>
      <c r="D28" s="226"/>
      <c r="E28" s="226"/>
      <c r="F28" s="217">
        <f ca="1">SUMIFS('Resultat-Produktion &amp; forbrug'!$G$4:$G$291,'Resultat-Produktion &amp; forbrug'!$A$4:$A$291,$A28,'Resultat-Produktion &amp; forbrug'!$E$4:$E$291,Biogasanlæg!F$11)-SUMIFS('Resultat-Produktion &amp; forbrug'!$H$4:$H$291,'Resultat-Produktion &amp; forbrug'!$A$4:$A$291,$A28,'Resultat-Produktion &amp; forbrug'!$E$4:$E$291,Biogasanlæg!F$11)-SUMIFS('Resultat-Produktion &amp; forbrug'!$I$4:$I$291,'Resultat-Produktion &amp; forbrug'!$A$4:$A$291,$A28,'Resultat-Produktion &amp; forbrug'!$E$4:$E$291,Biogasanlæg!F$11)-SUMIFS('Resultat-Produktion &amp; forbrug'!$J$4:$J$291,'Resultat-Produktion &amp; forbrug'!$A$4:$A$291,$A28,'Resultat-Produktion &amp; forbrug'!$E$4:$E$291,Biogasanlæg!F$11)-SUMIFS('Resultat-Produktion &amp; forbrug'!$K$4:$K$291,'Resultat-Produktion &amp; forbrug'!$A$4:$A$291,$A28,'Resultat-Produktion &amp; forbrug'!$E$4:$E$291,Biogasanlæg!F$11)-SUMIFS('Resultat-Produktion &amp; forbrug'!$N$4:$N$291,'Resultat-Produktion &amp; forbrug'!$A$4:$A$291,$A28,'Resultat-Produktion &amp; forbrug'!$E$4:$E$291,Biogasanlæg!F$11)</f>
        <v>382.5</v>
      </c>
      <c r="G28" s="217">
        <f ca="1">SUMIFS('Resultat-Produktion &amp; forbrug'!$G$4:$G$291,'Resultat-Produktion &amp; forbrug'!$A$4:$A$291,$A28,'Resultat-Produktion &amp; forbrug'!$E$4:$E$291,Biogasanlæg!G$11)-SUMIFS('Resultat-Produktion &amp; forbrug'!$H$4:$H$291,'Resultat-Produktion &amp; forbrug'!$A$4:$A$291,$A28,'Resultat-Produktion &amp; forbrug'!$E$4:$E$291,Biogasanlæg!G$11)-SUMIFS('Resultat-Produktion &amp; forbrug'!$I$4:$I$291,'Resultat-Produktion &amp; forbrug'!$A$4:$A$291,$A28,'Resultat-Produktion &amp; forbrug'!$E$4:$E$291,Biogasanlæg!G$11)-SUMIFS('Resultat-Produktion &amp; forbrug'!$J$4:$J$291,'Resultat-Produktion &amp; forbrug'!$A$4:$A$291,$A28,'Resultat-Produktion &amp; forbrug'!$E$4:$E$291,Biogasanlæg!G$11)-SUMIFS('Resultat-Produktion &amp; forbrug'!$K$4:$K$291,'Resultat-Produktion &amp; forbrug'!$A$4:$A$291,$A28,'Resultat-Produktion &amp; forbrug'!$E$4:$E$291,Biogasanlæg!G$11)-SUMIFS('Resultat-Produktion &amp; forbrug'!$N$4:$N$291,'Resultat-Produktion &amp; forbrug'!$A$4:$A$291,$A28,'Resultat-Produktion &amp; forbrug'!$E$4:$E$291,Biogasanlæg!G$11)</f>
        <v>382.5</v>
      </c>
      <c r="H28" s="127">
        <f>VLOOKUP(A28,[1]Biogasudbytte!$A$2:$C$18,3,FALSE)</f>
        <v>0.15</v>
      </c>
      <c r="I28" s="128">
        <f>VLOOKUP(A28,[1]Biogasudbytte!$A$2:$C$18,2,FALSE)*IFERROR(VLOOKUP(A28,$F$3:$G$8,2,FALSE),1)</f>
        <v>25</v>
      </c>
      <c r="J28" s="127">
        <f t="shared" ca="1" si="1"/>
        <v>0</v>
      </c>
      <c r="K28" s="127">
        <f t="shared" ca="1" si="2"/>
        <v>0</v>
      </c>
      <c r="L28" s="127">
        <f t="shared" ca="1" si="3"/>
        <v>0</v>
      </c>
      <c r="M28" s="114" t="s">
        <v>149</v>
      </c>
      <c r="O28" s="136">
        <f t="shared" si="8"/>
        <v>0</v>
      </c>
      <c r="P28" s="115">
        <f t="shared" si="5"/>
        <v>0</v>
      </c>
      <c r="Q28" s="114">
        <f t="shared" si="6"/>
        <v>0</v>
      </c>
    </row>
    <row r="29" spans="1:23" x14ac:dyDescent="0.2">
      <c r="A29" s="114" t="s">
        <v>104</v>
      </c>
      <c r="B29" s="114" t="s">
        <v>139</v>
      </c>
      <c r="C29" s="129">
        <f ca="1">SUM(C12:C28)</f>
        <v>13090417.5</v>
      </c>
      <c r="D29" s="129">
        <f ca="1">SUM(D12:D28)</f>
        <v>31491780.579282783</v>
      </c>
      <c r="E29" s="129">
        <f ca="1">SUM(E12:E28)</f>
        <v>36242891.753735304</v>
      </c>
      <c r="F29" s="129"/>
      <c r="G29" s="129"/>
      <c r="H29" s="130"/>
      <c r="I29" s="130"/>
      <c r="J29" s="131">
        <f ca="1">SUM(J12:J28)</f>
        <v>1</v>
      </c>
      <c r="K29" s="131">
        <f ca="1">SUM(K12:K28)</f>
        <v>0.99999999999999989</v>
      </c>
      <c r="L29" s="131">
        <f ca="1">SUM(L12:L28)</f>
        <v>1</v>
      </c>
      <c r="N29" s="114">
        <f>SUM(N12:N28)</f>
        <v>13097393</v>
      </c>
      <c r="P29" s="115">
        <f ca="1">SUM(P12:P28)</f>
        <v>462837288.84999996</v>
      </c>
      <c r="Q29" s="114">
        <f ca="1">P29*35.9/1000000000</f>
        <v>16.615858669714999</v>
      </c>
    </row>
    <row r="30" spans="1:23" x14ac:dyDescent="0.2">
      <c r="A30" s="132" t="s">
        <v>123</v>
      </c>
      <c r="C30" s="133">
        <f ca="1">SUMPRODUCT(C12:C28,$H$12:$H$28)/C29</f>
        <v>0.13822427556900557</v>
      </c>
      <c r="D30" s="133">
        <f ca="1">SUMPRODUCT(D12:D28,$H$12:$H$28)/D29</f>
        <v>8.7541055706116339E-2</v>
      </c>
      <c r="E30" s="133">
        <f ca="1">SUMPRODUCT(E12:E28,$H$12:$H$28)/E29</f>
        <v>8.8684979317323748E-2</v>
      </c>
      <c r="F30" s="142"/>
      <c r="G30" s="142"/>
    </row>
    <row r="31" spans="1:23" x14ac:dyDescent="0.2">
      <c r="A31" s="132" t="s">
        <v>160</v>
      </c>
      <c r="C31" s="133">
        <f ca="1">SUM(C21:C24)/C29</f>
        <v>3.4233743881736389E-2</v>
      </c>
      <c r="D31" s="133">
        <f ca="1">SUM(D21:D24)/D29</f>
        <v>0</v>
      </c>
      <c r="E31" s="133">
        <f ca="1">SUM(E21:E24)/E29</f>
        <v>0</v>
      </c>
      <c r="F31" s="142"/>
      <c r="G31" s="142"/>
    </row>
    <row r="32" spans="1:23" x14ac:dyDescent="0.2">
      <c r="A32" s="114" t="s">
        <v>142</v>
      </c>
      <c r="B32" s="114" t="s">
        <v>143</v>
      </c>
      <c r="C32" s="114">
        <f ca="1">SUMPRODUCT(C12:C28,$I$12:$I$28)</f>
        <v>462837288.84999996</v>
      </c>
      <c r="D32" s="114">
        <f ca="1">SUMPRODUCT(D12:D28,$I$12:$I$28)</f>
        <v>600506310.45722592</v>
      </c>
      <c r="E32" s="114">
        <f ca="1">SUMPRODUCT(E12:E28,$I$12:$I$28)</f>
        <v>691433626.95155263</v>
      </c>
    </row>
    <row r="33" spans="1:15" x14ac:dyDescent="0.2">
      <c r="A33" s="114" t="s">
        <v>142</v>
      </c>
      <c r="B33" s="114" t="s">
        <v>122</v>
      </c>
      <c r="C33" s="114">
        <f ca="1">C32*[1]Energiindhold!$C$10</f>
        <v>16.615858669714999</v>
      </c>
      <c r="D33" s="114">
        <f ca="1">D32*[1]Energiindhold!$C$10</f>
        <v>21.558176545414412</v>
      </c>
      <c r="E33" s="114">
        <f ca="1">E32*[1]Energiindhold!$C$10</f>
        <v>24.822467207560742</v>
      </c>
    </row>
    <row r="34" spans="1:15" x14ac:dyDescent="0.2">
      <c r="C34" s="227"/>
    </row>
    <row r="35" spans="1:15" x14ac:dyDescent="0.2">
      <c r="A35" s="161"/>
      <c r="B35" s="161" t="s">
        <v>27</v>
      </c>
      <c r="C35" s="161" t="s">
        <v>28</v>
      </c>
    </row>
    <row r="36" spans="1:15" x14ac:dyDescent="0.2">
      <c r="A36" s="161" t="s">
        <v>158</v>
      </c>
      <c r="B36" s="162">
        <v>0.8</v>
      </c>
      <c r="C36" s="162">
        <v>0.2</v>
      </c>
    </row>
    <row r="38" spans="1:15" hidden="1" x14ac:dyDescent="0.2">
      <c r="C38" s="116">
        <f>År1</f>
        <v>2019</v>
      </c>
      <c r="D38" s="116">
        <f>År2</f>
        <v>2030</v>
      </c>
      <c r="E38" s="116">
        <f>År3</f>
        <v>2050</v>
      </c>
      <c r="F38" s="116" t="s">
        <v>105</v>
      </c>
      <c r="G38" s="116" t="s">
        <v>144</v>
      </c>
      <c r="K38" s="116">
        <f>År1</f>
        <v>2019</v>
      </c>
      <c r="L38" s="116">
        <f>År2</f>
        <v>2030</v>
      </c>
      <c r="M38" s="116">
        <f>År3</f>
        <v>2050</v>
      </c>
      <c r="N38" s="116" t="s">
        <v>105</v>
      </c>
      <c r="O38" s="116" t="s">
        <v>144</v>
      </c>
    </row>
    <row r="39" spans="1:15" hidden="1" x14ac:dyDescent="0.2">
      <c r="A39" s="117" t="str">
        <f t="shared" ref="A39:A55" si="10">A12</f>
        <v>Svinegylle</v>
      </c>
      <c r="B39" s="117" t="s">
        <v>139</v>
      </c>
      <c r="C39" s="118">
        <f>SUMIFS('Resultater - Vestdanmark'!H$3:H$504,'Resultater - Vestdanmark'!$F$3:$F$504,$A39)*B3</f>
        <v>2534442.072977222</v>
      </c>
      <c r="D39" s="118">
        <f>SUMIFS('Resultater - Vestdanmark'!I$3:I$504,'Resultater - Vestdanmark'!$F$3:$F$504,$A39)*C3</f>
        <v>10904939.805455904</v>
      </c>
      <c r="E39" s="118">
        <f>SUMIFS('Resultater - Vestdanmark'!J$3:J$504,'Resultater - Vestdanmark'!$F$3:$F$504,$A39)*D3</f>
        <v>11690156.331739446</v>
      </c>
      <c r="F39" s="119">
        <f>VLOOKUP(A39,[1]Biogasudbytte!$A$2:$C$18,3,FALSE)</f>
        <v>0.05</v>
      </c>
      <c r="G39" s="120">
        <f t="shared" ref="G39:G55" si="11">I12</f>
        <v>12</v>
      </c>
      <c r="I39" s="117" t="str">
        <f>A39</f>
        <v>Svinegylle</v>
      </c>
      <c r="J39" s="117" t="s">
        <v>139</v>
      </c>
      <c r="K39" s="118">
        <f>SUMIFS('Resultater - Østdanmark'!H$3:H$504,'Resultater - Østdanmark'!$F$3:$F$504,$A39)*B3</f>
        <v>380427.26035611134</v>
      </c>
      <c r="L39" s="118">
        <f>SUMIFS('Resultater - Østdanmark'!I$3:I$504,'Resultater - Østdanmark'!$F$3:$F$504,$A39)*C3</f>
        <v>1580094.3183261557</v>
      </c>
      <c r="M39" s="118">
        <f>SUMIFS('Resultater - Østdanmark'!J$3:J$504,'Resultater - Østdanmark'!$F$3:$F$504,$A39)*D3</f>
        <v>1693869.9277261887</v>
      </c>
      <c r="N39" s="119">
        <f>VLOOKUP(I39,[1]Biogasudbytte!$A$2:$C$18,3,FALSE)</f>
        <v>0.05</v>
      </c>
      <c r="O39" s="120">
        <f t="shared" ref="O39:O55" si="12">I12</f>
        <v>12</v>
      </c>
    </row>
    <row r="40" spans="1:15" hidden="1" x14ac:dyDescent="0.2">
      <c r="A40" s="114" t="str">
        <f t="shared" si="10"/>
        <v>Kvæggylle</v>
      </c>
      <c r="B40" s="114" t="s">
        <v>139</v>
      </c>
      <c r="C40" s="121">
        <f ca="1">SUMIFS('Resultater - Vestdanmark'!H$3:H$504,'Resultater - Vestdanmark'!$F$3:$F$504,$A40)*B4</f>
        <v>4066864.6068164087</v>
      </c>
      <c r="D40" s="121">
        <f>SUMIFS('Resultater - Vestdanmark'!I$3:I$504,'Resultater - Vestdanmark'!$F$3:$F$504,$A40)*C4</f>
        <v>9737622.5335018374</v>
      </c>
      <c r="E40" s="121">
        <f>SUMIFS('Resultater - Vestdanmark'!J$3:J$504,'Resultater - Vestdanmark'!$F$3:$F$504,$A40)*D4</f>
        <v>11461865.852294842</v>
      </c>
      <c r="F40" s="122">
        <f>VLOOKUP(A40,[1]Biogasudbytte!$A$2:$C$18,3,FALSE)</f>
        <v>7.5999999999999998E-2</v>
      </c>
      <c r="G40" s="123">
        <f t="shared" si="11"/>
        <v>14.1</v>
      </c>
      <c r="I40" s="114" t="str">
        <f t="shared" ref="I40:I55" si="13">A40</f>
        <v>Kvæggylle</v>
      </c>
      <c r="J40" s="114" t="s">
        <v>139</v>
      </c>
      <c r="K40" s="121">
        <f ca="1">SUMIFS('Resultater - Østdanmark'!H$3:H$504,'Resultater - Østdanmark'!$F$3:$F$504,$A40)*B4</f>
        <v>286645.05985025823</v>
      </c>
      <c r="L40" s="121">
        <f ca="1">SUMIFS('Resultater - Østdanmark'!I$3:I$504,'Resultater - Østdanmark'!$F$3:$F$504,$A40)*C4</f>
        <v>692091.87949965673</v>
      </c>
      <c r="M40" s="121">
        <f ca="1">SUMIFS('Resultater - Østdanmark'!J$3:J$504,'Resultater - Østdanmark'!$F$3:$F$504,$A40)*D4</f>
        <v>814640.76605924184</v>
      </c>
      <c r="N40" s="122">
        <f>VLOOKUP(I40,[1]Biogasudbytte!$A$2:$C$18,3,FALSE)</f>
        <v>7.5999999999999998E-2</v>
      </c>
      <c r="O40" s="123">
        <f t="shared" si="12"/>
        <v>14.1</v>
      </c>
    </row>
    <row r="41" spans="1:15" hidden="1" x14ac:dyDescent="0.2">
      <c r="A41" s="114" t="str">
        <f t="shared" si="10"/>
        <v>Fjerkrægylle</v>
      </c>
      <c r="B41" s="114" t="s">
        <v>139</v>
      </c>
      <c r="C41" s="121">
        <f>SUMIFS('Resultater - Vestdanmark'!H$3:H$504,'Resultater - Vestdanmark'!$F$3:$F$504,$A41)*B5</f>
        <v>4103.8061780475591</v>
      </c>
      <c r="D41" s="121">
        <f>SUMIFS('Resultater - Vestdanmark'!I$3:I$504,'Resultater - Vestdanmark'!$F$3:$F$504,$A41)*C5</f>
        <v>6257.0446016591122</v>
      </c>
      <c r="E41" s="121">
        <f>SUMIFS('Resultater - Vestdanmark'!J$3:J$504,'Resultater - Vestdanmark'!$F$3:$F$504,$A41)*D5</f>
        <v>7753.9785502341792</v>
      </c>
      <c r="F41" s="122">
        <f>VLOOKUP(A41,[1]Biogasudbytte!$A$2:$C$18,3,FALSE)</f>
        <v>6.3E-2</v>
      </c>
      <c r="G41" s="123">
        <f t="shared" si="11"/>
        <v>13.1</v>
      </c>
      <c r="I41" s="114" t="str">
        <f t="shared" si="13"/>
        <v>Fjerkrægylle</v>
      </c>
      <c r="J41" s="114" t="s">
        <v>139</v>
      </c>
      <c r="K41" s="121">
        <f ca="1">SUMIFS('Resultater - Østdanmark'!H$3:H$504,'Resultater - Østdanmark'!$F$3:$F$504,$A41)*B5</f>
        <v>337.693821952441</v>
      </c>
      <c r="L41" s="121">
        <f ca="1">SUMIFS('Resultater - Østdanmark'!I$3:I$504,'Resultater - Østdanmark'!$F$3:$F$504,$A41)*C5</f>
        <v>525.15144386464101</v>
      </c>
      <c r="M41" s="121">
        <f ca="1">SUMIFS('Resultater - Østdanmark'!J$3:J$504,'Resultater - Østdanmark'!$F$3:$F$504,$A41)*D5</f>
        <v>650.78855763169781</v>
      </c>
      <c r="N41" s="122">
        <f>VLOOKUP(I41,[1]Biogasudbytte!$A$2:$C$18,3,FALSE)</f>
        <v>6.3E-2</v>
      </c>
      <c r="O41" s="123">
        <f t="shared" si="12"/>
        <v>13.1</v>
      </c>
    </row>
    <row r="42" spans="1:15" hidden="1" x14ac:dyDescent="0.2">
      <c r="A42" s="114" t="str">
        <f t="shared" si="10"/>
        <v>Spildevandsslam</v>
      </c>
      <c r="B42" s="114" t="s">
        <v>139</v>
      </c>
      <c r="C42" s="121">
        <f ca="1">SUMIFS('Resultater - Vestdanmark'!H$3:H$504,'Resultater - Vestdanmark'!$F$3:$F$504,$A42)*B6</f>
        <v>1460182.5874658169</v>
      </c>
      <c r="D42" s="121">
        <f>SUMIFS('Resultater - Vestdanmark'!I$3:I$504,'Resultater - Vestdanmark'!$F$3:$F$504,$A42)*C6</f>
        <v>2980433.248128525</v>
      </c>
      <c r="E42" s="121">
        <f>SUMIFS('Resultater - Vestdanmark'!J$3:J$504,'Resultater - Vestdanmark'!$F$3:$F$504,$A42)*D6</f>
        <v>3709649.3380054114</v>
      </c>
      <c r="F42" s="122">
        <f>VLOOKUP(A42,[1]Biogasudbytte!$A$2:$C$18,3,FALSE)</f>
        <v>0.06</v>
      </c>
      <c r="G42" s="123">
        <f t="shared" si="11"/>
        <v>13.9</v>
      </c>
      <c r="I42" s="114" t="str">
        <f t="shared" si="13"/>
        <v>Spildevandsslam</v>
      </c>
      <c r="J42" s="114" t="s">
        <v>139</v>
      </c>
      <c r="K42" s="121">
        <f ca="1">SUMIFS('Resultater - Østdanmark'!H$3:H$504,'Resultater - Østdanmark'!$F$3:$F$504,$A42)*B6</f>
        <v>1208651.4125341829</v>
      </c>
      <c r="L42" s="121">
        <f ca="1">SUMIFS('Resultater - Østdanmark'!I$3:I$504,'Resultater - Østdanmark'!$F$3:$F$504,$A42)*C6</f>
        <v>2508040.5680731749</v>
      </c>
      <c r="M42" s="121">
        <f ca="1">SUMIFS('Resultater - Østdanmark'!J$3:J$504,'Resultater - Østdanmark'!$F$3:$F$504,$A42)*D6</f>
        <v>3150253.3426541099</v>
      </c>
      <c r="N42" s="122">
        <f>VLOOKUP(I42,[1]Biogasudbytte!$A$2:$C$18,3,FALSE)</f>
        <v>0.06</v>
      </c>
      <c r="O42" s="123">
        <f t="shared" si="12"/>
        <v>13.9</v>
      </c>
    </row>
    <row r="43" spans="1:15" hidden="1" x14ac:dyDescent="0.2">
      <c r="A43" s="114" t="str">
        <f t="shared" si="10"/>
        <v>Dybstrøelse</v>
      </c>
      <c r="B43" s="114" t="s">
        <v>139</v>
      </c>
      <c r="C43" s="121">
        <f ca="1">SUMIFS('Resultater - Vestdanmark'!H$3:H$504,'Resultater - Vestdanmark'!$F$3:$F$504,$A43)*B7</f>
        <v>671194.67155029252</v>
      </c>
      <c r="D43" s="121">
        <f ca="1">SUMIFS('Resultater - Vestdanmark'!I$3:I$504,'Resultater - Vestdanmark'!$F$3:$F$504,$A43)*C7</f>
        <v>1929250.7965815454</v>
      </c>
      <c r="E43" s="121">
        <f ca="1">SUMIFS('Resultater - Vestdanmark'!J$3:J$504,'Resultater - Vestdanmark'!$F$3:$F$504,$A43)*D7</f>
        <v>2283371.9816891025</v>
      </c>
      <c r="F43" s="122">
        <f>VLOOKUP(A43,[1]Biogasudbytte!$A$2:$C$18,3,FALSE)</f>
        <v>0.3</v>
      </c>
      <c r="G43" s="123">
        <f t="shared" si="11"/>
        <v>60</v>
      </c>
      <c r="I43" s="114" t="str">
        <f t="shared" si="13"/>
        <v>Dybstrøelse</v>
      </c>
      <c r="J43" s="114" t="s">
        <v>139</v>
      </c>
      <c r="K43" s="121">
        <f ca="1">SUMIFS('Resultater - Østdanmark'!H$3:H$504,'Resultater - Østdanmark'!$F$3:$F$504,$A43)*B7</f>
        <v>85892.328449707566</v>
      </c>
      <c r="L43" s="121">
        <f ca="1">SUMIFS('Resultater - Østdanmark'!I$3:I$504,'Resultater - Østdanmark'!$F$3:$F$504,$A43)*C7</f>
        <v>259783.2336704561</v>
      </c>
      <c r="M43" s="121">
        <f ca="1">SUMIFS('Resultater - Østdanmark'!J$3:J$504,'Resultater - Østdanmark'!$F$3:$F$504,$A43)*D7</f>
        <v>307937.44645909779</v>
      </c>
      <c r="N43" s="122">
        <f>VLOOKUP(I43,[1]Biogasudbytte!$A$2:$C$18,3,FALSE)</f>
        <v>0.3</v>
      </c>
      <c r="O43" s="123">
        <f t="shared" si="12"/>
        <v>60</v>
      </c>
    </row>
    <row r="44" spans="1:15" hidden="1" x14ac:dyDescent="0.2">
      <c r="A44" s="114" t="str">
        <f t="shared" si="10"/>
        <v>Brun saft</v>
      </c>
      <c r="B44" s="114" t="s">
        <v>139</v>
      </c>
      <c r="C44" s="121">
        <f>SUMIFS('Resultater - Vestdanmark'!H$3:H$504,'Resultater - Vestdanmark'!$F$3:$F$504,$A44)*B8</f>
        <v>0</v>
      </c>
      <c r="D44" s="121">
        <f>SUMIFS('Resultater - Vestdanmark'!I$3:I$504,'Resultater - Vestdanmark'!$F$3:$F$504,$A44)*C8</f>
        <v>0</v>
      </c>
      <c r="E44" s="121">
        <f>SUMIFS('Resultater - Vestdanmark'!J$3:J$504,'Resultater - Vestdanmark'!$F$3:$F$504,$A44)*D8</f>
        <v>0</v>
      </c>
      <c r="F44" s="122">
        <f>VLOOKUP(A44,[1]Biogasudbytte!$A$2:$C$18,3,FALSE)</f>
        <v>4.2763387558472386E-2</v>
      </c>
      <c r="G44" s="123">
        <f t="shared" si="11"/>
        <v>15.822453396634783</v>
      </c>
      <c r="I44" s="114" t="str">
        <f t="shared" si="13"/>
        <v>Brun saft</v>
      </c>
      <c r="J44" s="114" t="s">
        <v>139</v>
      </c>
      <c r="K44" s="121">
        <f ca="1">SUMIFS('Resultater - Østdanmark'!H$3:H$504,'Resultater - Østdanmark'!$F$3:$F$504,$A44)*B8</f>
        <v>0</v>
      </c>
      <c r="L44" s="121">
        <f ca="1">SUMIFS('Resultater - Østdanmark'!I$3:I$504,'Resultater - Østdanmark'!$F$3:$F$504,$A44)*C8</f>
        <v>0</v>
      </c>
      <c r="M44" s="121">
        <f ca="1">SUMIFS('Resultater - Østdanmark'!J$3:J$504,'Resultater - Østdanmark'!$F$3:$F$504,$A44)*D8</f>
        <v>0</v>
      </c>
      <c r="N44" s="122">
        <f>VLOOKUP(I44,[1]Biogasudbytte!$A$2:$C$18,3,FALSE)</f>
        <v>4.2763387558472386E-2</v>
      </c>
      <c r="O44" s="123">
        <f t="shared" si="12"/>
        <v>15.822453396634783</v>
      </c>
    </row>
    <row r="45" spans="1:15" hidden="1" x14ac:dyDescent="0.2">
      <c r="A45" s="114" t="str">
        <f t="shared" si="10"/>
        <v>Bioaffald</v>
      </c>
      <c r="B45" s="114" t="s">
        <v>139</v>
      </c>
      <c r="C45" s="121">
        <f ca="1">SUMIFS('Resultater - Vestdanmark'!H$3:H$504,'Resultater - Vestdanmark'!$F$3:$F$504,$A45)/SUMIFS('Resultater - Danmark'!H$3:H$504,'Resultater - Danmark'!$F$3:$F$504,$A45)*C18</f>
        <v>393543.64426779439</v>
      </c>
      <c r="D45" s="121">
        <f ca="1">SUMIFS('Resultater - Vestdanmark'!I$3:I$504,'Resultater - Vestdanmark'!$F$3:$F$504,$A45)/SUMIFS('Resultater - Danmark'!I$3:I$504,'Resultater - Danmark'!$F$3:$F$504,$A45)*D18</f>
        <v>0</v>
      </c>
      <c r="E45" s="121">
        <f ca="1">SUMIFS('Resultater - Vestdanmark'!J$3:J$504,'Resultater - Vestdanmark'!$F$3:$F$504,$A45)/SUMIFS('Resultater - Danmark'!J$3:J$504,'Resultater - Danmark'!$F$3:$F$504,$A45)*E18</f>
        <v>0</v>
      </c>
      <c r="F45" s="122">
        <f>VLOOKUP(A45,[1]Biogasudbytte!$A$2:$C$18,3,FALSE)</f>
        <v>0.28000000000000003</v>
      </c>
      <c r="G45" s="123">
        <f t="shared" si="11"/>
        <v>94.9</v>
      </c>
      <c r="I45" s="114" t="str">
        <f t="shared" si="13"/>
        <v>Bioaffald</v>
      </c>
      <c r="J45" s="114" t="s">
        <v>139</v>
      </c>
      <c r="K45" s="121">
        <f ca="1">SUMIFS('Resultater - Østdanmark'!H$3:H$504,'Resultater - Østdanmark'!$F$3:$F$504,$A45)/SUMIFS('Resultater - Danmark'!H$3:H$504,'Resultater - Danmark'!$F$3:$F$504,$A45)*C18</f>
        <v>335590.35573220561</v>
      </c>
      <c r="L45" s="121">
        <f ca="1">SUMIFS('Resultater - Østdanmark'!I$3:I$504,'Resultater - Østdanmark'!$F$3:$F$504,$A45)/SUMIFS('Resultater - Danmark'!I$3:I$504,'Resultater - Danmark'!$F$3:$F$504,$A45)*D18</f>
        <v>0</v>
      </c>
      <c r="M45" s="121">
        <f ca="1">SUMIFS('Resultater - Østdanmark'!J$3:J$504,'Resultater - Østdanmark'!$F$3:$F$504,$A45)/SUMIFS('Resultater - Danmark'!J$3:J$504,'Resultater - Danmark'!$F$3:$F$504,$A45)*E18</f>
        <v>0</v>
      </c>
      <c r="N45" s="122">
        <f>VLOOKUP(I45,[1]Biogasudbytte!$A$2:$C$18,3,FALSE)</f>
        <v>0.28000000000000003</v>
      </c>
      <c r="O45" s="123">
        <f t="shared" si="12"/>
        <v>94.9</v>
      </c>
    </row>
    <row r="46" spans="1:15" hidden="1" x14ac:dyDescent="0.2">
      <c r="A46" s="114" t="str">
        <f t="shared" si="10"/>
        <v>Industriaffald</v>
      </c>
      <c r="B46" s="114" t="s">
        <v>139</v>
      </c>
      <c r="C46" s="121">
        <f ca="1">SUMIFS('Resultater - Vestdanmark'!H$3:H$504,'Resultater - Vestdanmark'!$F$3:$F$504,$A46)/SUMIFS('Resultater - Danmark'!H$3:H$504,'Resultater - Danmark'!$F$3:$F$504,$A46)*C19</f>
        <v>716103.75203569303</v>
      </c>
      <c r="D46" s="121">
        <f ca="1">SUMIFS('Resultater - Vestdanmark'!I$3:I$504,'Resultater - Vestdanmark'!$F$3:$F$504,$A46)/SUMIFS('Resultater - Danmark'!I$3:I$504,'Resultater - Danmark'!$F$3:$F$504,$A46)*D19</f>
        <v>0</v>
      </c>
      <c r="E46" s="121">
        <f ca="1">SUMIFS('Resultater - Vestdanmark'!J$3:J$504,'Resultater - Vestdanmark'!$F$3:$F$504,$A46)/SUMIFS('Resultater - Danmark'!J$3:J$504,'Resultater - Danmark'!$F$3:$F$504,$A46)*E19</f>
        <v>0</v>
      </c>
      <c r="F46" s="122">
        <f>VLOOKUP(A46,[1]Biogasudbytte!$A$2:$C$18,3,FALSE)</f>
        <v>0.42</v>
      </c>
      <c r="G46" s="123">
        <f t="shared" si="11"/>
        <v>102.595</v>
      </c>
      <c r="I46" s="114" t="str">
        <f t="shared" si="13"/>
        <v>Industriaffald</v>
      </c>
      <c r="J46" s="114" t="s">
        <v>139</v>
      </c>
      <c r="K46" s="121">
        <f ca="1">SUMIFS('Resultater - Østdanmark'!H$3:H$504,'Resultater - Østdanmark'!$F$3:$F$504,$A46)/SUMIFS('Resultater - Danmark'!H$3:H$504,'Resultater - Danmark'!$F$3:$F$504,$A46)*C19</f>
        <v>279550.24796430691</v>
      </c>
      <c r="L46" s="121">
        <f ca="1">SUMIFS('Resultater - Østdanmark'!I$3:I$504,'Resultater - Østdanmark'!$F$3:$F$504,$A46)/SUMIFS('Resultater - Danmark'!I$3:I$504,'Resultater - Danmark'!$F$3:$F$504,$A46)*D19</f>
        <v>0</v>
      </c>
      <c r="M46" s="121">
        <f ca="1">SUMIFS('Resultater - Østdanmark'!J$3:J$504,'Resultater - Østdanmark'!$F$3:$F$504,$A46)/SUMIFS('Resultater - Danmark'!J$3:J$504,'Resultater - Danmark'!$F$3:$F$504,$A46)*E19</f>
        <v>0</v>
      </c>
      <c r="N46" s="122">
        <f>VLOOKUP(I46,[1]Biogasudbytte!$A$2:$C$18,3,FALSE)</f>
        <v>0.42</v>
      </c>
      <c r="O46" s="123">
        <f t="shared" si="12"/>
        <v>102.595</v>
      </c>
    </row>
    <row r="47" spans="1:15" hidden="1" x14ac:dyDescent="0.2">
      <c r="A47" s="114" t="str">
        <f t="shared" si="10"/>
        <v>Halm</v>
      </c>
      <c r="B47" s="114" t="s">
        <v>139</v>
      </c>
      <c r="C47" s="121">
        <f ca="1">SUMIFS('Resultater - Vestdanmark'!H$3:H$504,'Resultater - Vestdanmark'!$F$3:$F$504,$A47)/SUMIFS('Resultater - Danmark'!H$3:H$504,'Resultater - Danmark'!$F$3:$F$504,$A47)*C20</f>
        <v>53194.904606816119</v>
      </c>
      <c r="D47" s="121">
        <f ca="1">SUMIFS('Resultater - Vestdanmark'!I$3:I$504,'Resultater - Vestdanmark'!$F$3:$F$504,$A47)/SUMIFS('Resultater - Danmark'!I$3:I$504,'Resultater - Danmark'!$F$3:$F$504,$A47)*D20</f>
        <v>0</v>
      </c>
      <c r="E47" s="121">
        <f ca="1">SUMIFS('Resultater - Vestdanmark'!J$3:J$504,'Resultater - Vestdanmark'!$F$3:$F$504,$A47)/SUMIFS('Resultater - Danmark'!J$3:J$504,'Resultater - Danmark'!$F$3:$F$504,$A47)*E20</f>
        <v>0</v>
      </c>
      <c r="F47" s="122">
        <f>VLOOKUP(A47,[1]Biogasudbytte!$A$2:$C$18,3,FALSE)</f>
        <v>0.85</v>
      </c>
      <c r="G47" s="123">
        <f t="shared" si="11"/>
        <v>160.6</v>
      </c>
      <c r="I47" s="114" t="str">
        <f t="shared" si="13"/>
        <v>Halm</v>
      </c>
      <c r="J47" s="114" t="s">
        <v>139</v>
      </c>
      <c r="K47" s="121">
        <f ca="1">SUMIFS('Resultater - Østdanmark'!H$3:H$504,'Resultater - Østdanmark'!$F$3:$F$504,$A47)/SUMIFS('Resultater - Danmark'!H$3:H$504,'Resultater - Danmark'!$F$3:$F$504,$A47)*C20</f>
        <v>22739.095393183845</v>
      </c>
      <c r="L47" s="121">
        <f ca="1">SUMIFS('Resultater - Østdanmark'!I$3:I$504,'Resultater - Østdanmark'!$F$3:$F$504,$A47)/SUMIFS('Resultater - Danmark'!I$3:I$504,'Resultater - Danmark'!$F$3:$F$504,$A47)*D20</f>
        <v>0</v>
      </c>
      <c r="M47" s="121">
        <f ca="1">SUMIFS('Resultater - Østdanmark'!J$3:J$504,'Resultater - Østdanmark'!$F$3:$F$504,$A47)/SUMIFS('Resultater - Danmark'!J$3:J$504,'Resultater - Danmark'!$F$3:$F$504,$A47)*E20</f>
        <v>0</v>
      </c>
      <c r="N47" s="122">
        <f>VLOOKUP(I47,[1]Biogasudbytte!$A$2:$C$18,3,FALSE)</f>
        <v>0.85</v>
      </c>
      <c r="O47" s="123">
        <f t="shared" si="12"/>
        <v>160.6</v>
      </c>
    </row>
    <row r="48" spans="1:15" hidden="1" x14ac:dyDescent="0.2">
      <c r="A48" s="114" t="str">
        <f t="shared" si="10"/>
        <v>Korn</v>
      </c>
      <c r="B48" s="114" t="s">
        <v>139</v>
      </c>
      <c r="C48" s="121">
        <f>SUMIFS('Resultater - Vestdanmark'!H$3:H$504,'Resultater - Vestdanmark'!$F$3:$F$504,$A48)/SUMIFS('Resultater - Danmark'!H$3:H$504,'Resultater - Danmark'!$F$3:$F$504,$A48)*C21</f>
        <v>2843.3935258054057</v>
      </c>
      <c r="D48" s="121">
        <f>SUMIFS('Resultater - Vestdanmark'!I$3:I$504,'Resultater - Vestdanmark'!$F$3:$F$504,$A48)/SUMIFS('Resultater - Danmark'!I$3:I$504,'Resultater - Danmark'!$F$3:$F$504,$A48)*D21</f>
        <v>0</v>
      </c>
      <c r="E48" s="121">
        <f>SUMIFS('Resultater - Vestdanmark'!J$3:J$504,'Resultater - Vestdanmark'!$F$3:$F$504,$A48)/SUMIFS('Resultater - Danmark'!J$3:J$504,'Resultater - Danmark'!$F$3:$F$504,$A48)*E21</f>
        <v>0</v>
      </c>
      <c r="F48" s="122">
        <f>VLOOKUP(A48,[1]Biogasudbytte!$A$2:$C$18,3,FALSE)</f>
        <v>0.31</v>
      </c>
      <c r="G48" s="123">
        <f t="shared" si="11"/>
        <v>95.4</v>
      </c>
      <c r="I48" s="114" t="str">
        <f t="shared" si="13"/>
        <v>Korn</v>
      </c>
      <c r="J48" s="114" t="s">
        <v>139</v>
      </c>
      <c r="K48" s="121">
        <f>SUMIFS('Resultater - Østdanmark'!H$3:H$504,'Resultater - Østdanmark'!$F$3:$F$504,$A48)/SUMIFS('Resultater - Danmark'!H$3:H$504,'Resultater - Danmark'!$F$3:$F$504,$A48)*C21</f>
        <v>942.6064741945944</v>
      </c>
      <c r="L48" s="121">
        <f>SUMIFS('Resultater - Østdanmark'!I$3:I$504,'Resultater - Østdanmark'!$F$3:$F$504,$A48)/SUMIFS('Resultater - Danmark'!I$3:I$504,'Resultater - Danmark'!$F$3:$F$504,$A48)*D21</f>
        <v>0</v>
      </c>
      <c r="M48" s="121">
        <f>SUMIFS('Resultater - Østdanmark'!J$3:J$504,'Resultater - Østdanmark'!$F$3:$F$504,$A48)/SUMIFS('Resultater - Danmark'!J$3:J$504,'Resultater - Danmark'!$F$3:$F$504,$A48)*E21</f>
        <v>0</v>
      </c>
      <c r="N48" s="122">
        <f>VLOOKUP(I48,[1]Biogasudbytte!$A$2:$C$18,3,FALSE)</f>
        <v>0.31</v>
      </c>
      <c r="O48" s="123">
        <f t="shared" si="12"/>
        <v>95.4</v>
      </c>
    </row>
    <row r="49" spans="1:15" hidden="1" x14ac:dyDescent="0.2">
      <c r="A49" s="114" t="str">
        <f t="shared" si="10"/>
        <v>Græs</v>
      </c>
      <c r="B49" s="114" t="s">
        <v>139</v>
      </c>
      <c r="C49" s="121">
        <f>SUMIFS('Resultater - Vestdanmark'!H$3:H$504,'Resultater - Vestdanmark'!$F$3:$F$504,$A49)/SUMIFS('Resultater - Danmark'!H$3:H$504,'Resultater - Danmark'!$F$3:$F$504,$A49)*C22</f>
        <v>75399.16825098735</v>
      </c>
      <c r="D49" s="121">
        <f>SUMIFS('Resultater - Vestdanmark'!I$3:I$504,'Resultater - Vestdanmark'!$F$3:$F$504,$A49)/SUMIFS('Resultater - Danmark'!I$3:I$504,'Resultater - Danmark'!$F$3:$F$504,$A49)*D22</f>
        <v>0</v>
      </c>
      <c r="E49" s="121">
        <f>SUMIFS('Resultater - Vestdanmark'!J$3:J$504,'Resultater - Vestdanmark'!$F$3:$F$504,$A49)/SUMIFS('Resultater - Danmark'!J$3:J$504,'Resultater - Danmark'!$F$3:$F$504,$A49)*E22</f>
        <v>0</v>
      </c>
      <c r="F49" s="122">
        <f>VLOOKUP(A49,[1]Biogasudbytte!$A$2:$C$18,3,FALSE)</f>
        <v>0.28000000000000003</v>
      </c>
      <c r="G49" s="123">
        <f t="shared" si="11"/>
        <v>51.25</v>
      </c>
      <c r="I49" s="114" t="str">
        <f t="shared" si="13"/>
        <v>Græs</v>
      </c>
      <c r="J49" s="114" t="s">
        <v>139</v>
      </c>
      <c r="K49" s="121">
        <f>SUMIFS('Resultater - Østdanmark'!H$3:H$504,'Resultater - Østdanmark'!$F$3:$F$504,$A49)/SUMIFS('Resultater - Danmark'!H$3:H$504,'Resultater - Danmark'!$F$3:$F$504,$A49)*C22</f>
        <v>10277.831749012612</v>
      </c>
      <c r="L49" s="121">
        <f>SUMIFS('Resultater - Østdanmark'!I$3:I$504,'Resultater - Østdanmark'!$F$3:$F$504,$A49)/SUMIFS('Resultater - Danmark'!I$3:I$504,'Resultater - Danmark'!$F$3:$F$504,$A49)*D22</f>
        <v>0</v>
      </c>
      <c r="M49" s="121">
        <f>SUMIFS('Resultater - Østdanmark'!J$3:J$504,'Resultater - Østdanmark'!$F$3:$F$504,$A49)/SUMIFS('Resultater - Danmark'!J$3:J$504,'Resultater - Danmark'!$F$3:$F$504,$A49)*E22</f>
        <v>0</v>
      </c>
      <c r="N49" s="122">
        <f>VLOOKUP(I49,[1]Biogasudbytte!$A$2:$C$18,3,FALSE)</f>
        <v>0.28000000000000003</v>
      </c>
      <c r="O49" s="123">
        <f t="shared" si="12"/>
        <v>51.25</v>
      </c>
    </row>
    <row r="50" spans="1:15" hidden="1" x14ac:dyDescent="0.2">
      <c r="A50" s="114" t="str">
        <f t="shared" si="10"/>
        <v>Majs</v>
      </c>
      <c r="B50" s="114" t="s">
        <v>139</v>
      </c>
      <c r="C50" s="121">
        <f>SUMIFS('Resultater - Vestdanmark'!H$3:H$504,'Resultater - Vestdanmark'!$F$3:$F$504,$A50)/SUMIFS('Resultater - Danmark'!H$3:H$504,'Resultater - Danmark'!$F$3:$F$504,$A50)*C23</f>
        <v>314874.94627501385</v>
      </c>
      <c r="D50" s="121">
        <f>SUMIFS('Resultater - Vestdanmark'!I$3:I$504,'Resultater - Vestdanmark'!$F$3:$F$504,$A50)/SUMIFS('Resultater - Danmark'!I$3:I$504,'Resultater - Danmark'!$F$3:$F$504,$A50)*D23</f>
        <v>0</v>
      </c>
      <c r="E50" s="121">
        <f>SUMIFS('Resultater - Vestdanmark'!J$3:J$504,'Resultater - Vestdanmark'!$F$3:$F$504,$A50)/SUMIFS('Resultater - Danmark'!J$3:J$504,'Resultater - Danmark'!$F$3:$F$504,$A50)*E23</f>
        <v>0</v>
      </c>
      <c r="F50" s="122">
        <f>VLOOKUP(A50,[1]Biogasudbytte!$A$2:$C$18,3,FALSE)</f>
        <v>0.3</v>
      </c>
      <c r="G50" s="123">
        <f t="shared" si="11"/>
        <v>100</v>
      </c>
      <c r="I50" s="114" t="str">
        <f t="shared" si="13"/>
        <v>Majs</v>
      </c>
      <c r="J50" s="114" t="s">
        <v>139</v>
      </c>
      <c r="K50" s="121">
        <f>SUMIFS('Resultater - Østdanmark'!H$3:H$504,'Resultater - Østdanmark'!$F$3:$F$504,$A50)/SUMIFS('Resultater - Danmark'!H$3:H$504,'Resultater - Danmark'!$F$3:$F$504,$A50)*C23</f>
        <v>15151.053724986185</v>
      </c>
      <c r="L50" s="121">
        <f>SUMIFS('Resultater - Østdanmark'!I$3:I$504,'Resultater - Østdanmark'!$F$3:$F$504,$A50)/SUMIFS('Resultater - Danmark'!I$3:I$504,'Resultater - Danmark'!$F$3:$F$504,$A50)*D23</f>
        <v>0</v>
      </c>
      <c r="M50" s="121">
        <f>SUMIFS('Resultater - Østdanmark'!J$3:J$504,'Resultater - Østdanmark'!$F$3:$F$504,$A50)/SUMIFS('Resultater - Danmark'!J$3:J$504,'Resultater - Danmark'!$F$3:$F$504,$A50)*E23</f>
        <v>0</v>
      </c>
      <c r="N50" s="122">
        <f>VLOOKUP(I50,[1]Biogasudbytte!$A$2:$C$18,3,FALSE)</f>
        <v>0.3</v>
      </c>
      <c r="O50" s="123">
        <f t="shared" si="12"/>
        <v>100</v>
      </c>
    </row>
    <row r="51" spans="1:15" hidden="1" x14ac:dyDescent="0.2">
      <c r="A51" s="114" t="str">
        <f t="shared" si="10"/>
        <v>Roer</v>
      </c>
      <c r="B51" s="114" t="s">
        <v>139</v>
      </c>
      <c r="C51" s="121">
        <f>SUMIFS('Resultater - Vestdanmark'!H$3:H$504,'Resultater - Vestdanmark'!$F$3:$F$504,$A51)/SUMIFS('Resultater - Danmark'!H$3:H$504,'Resultater - Danmark'!$F$3:$F$504,$A51)*C24</f>
        <v>4141.9679702877811</v>
      </c>
      <c r="D51" s="121">
        <f>SUMIFS('Resultater - Vestdanmark'!I$3:I$504,'Resultater - Vestdanmark'!$F$3:$F$504,$A51)/SUMIFS('Resultater - Danmark'!I$3:I$504,'Resultater - Danmark'!$F$3:$F$504,$A51)*D24</f>
        <v>0</v>
      </c>
      <c r="E51" s="121">
        <f>SUMIFS('Resultater - Vestdanmark'!J$3:J$504,'Resultater - Vestdanmark'!$F$3:$F$504,$A51)/SUMIFS('Resultater - Danmark'!J$3:J$504,'Resultater - Danmark'!$F$3:$F$504,$A51)*E24</f>
        <v>0</v>
      </c>
      <c r="F51" s="122">
        <f>VLOOKUP(A51,[1]Biogasudbytte!$A$2:$C$18,3,FALSE)</f>
        <v>0.2</v>
      </c>
      <c r="G51" s="123">
        <f t="shared" si="11"/>
        <v>75.599999999999994</v>
      </c>
      <c r="I51" s="114" t="str">
        <f t="shared" si="13"/>
        <v>Roer</v>
      </c>
      <c r="J51" s="114" t="s">
        <v>139</v>
      </c>
      <c r="K51" s="121">
        <f>SUMIFS('Resultater - Østdanmark'!H$3:H$504,'Resultater - Østdanmark'!$F$3:$F$504,$A51)/SUMIFS('Resultater - Danmark'!H$3:H$504,'Resultater - Danmark'!$F$3:$F$504,$A51)*C24</f>
        <v>24503.032029712213</v>
      </c>
      <c r="L51" s="121">
        <f>SUMIFS('Resultater - Østdanmark'!I$3:I$504,'Resultater - Østdanmark'!$F$3:$F$504,$A51)/SUMIFS('Resultater - Danmark'!I$3:I$504,'Resultater - Danmark'!$F$3:$F$504,$A51)*D24</f>
        <v>0</v>
      </c>
      <c r="M51" s="121">
        <f>SUMIFS('Resultater - Østdanmark'!J$3:J$504,'Resultater - Østdanmark'!$F$3:$F$504,$A51)/SUMIFS('Resultater - Danmark'!J$3:J$504,'Resultater - Danmark'!$F$3:$F$504,$A51)*E24</f>
        <v>0</v>
      </c>
      <c r="N51" s="122">
        <f>VLOOKUP(I51,[1]Biogasudbytte!$A$2:$C$18,3,FALSE)</f>
        <v>0.2</v>
      </c>
      <c r="O51" s="123">
        <f t="shared" si="12"/>
        <v>75.599999999999994</v>
      </c>
    </row>
    <row r="52" spans="1:15" hidden="1" x14ac:dyDescent="0.2">
      <c r="A52" s="114" t="str">
        <f t="shared" si="10"/>
        <v>Have/parkaffald</v>
      </c>
      <c r="B52" s="114" t="s">
        <v>139</v>
      </c>
      <c r="C52" s="121">
        <f>SUMIFS('Resultater - Vestdanmark'!H$3:H$504,'Resultater - Vestdanmark'!$F$3:$F$504,$A52)/SUMIFS('Resultater - Danmark'!H$3:H$504,'Resultater - Danmark'!$F$3:$F$504,$A52)*C25</f>
        <v>42.099811904105366</v>
      </c>
      <c r="D52" s="121">
        <f>SUMIFS('Resultater - Vestdanmark'!I$3:I$504,'Resultater - Vestdanmark'!$F$3:$F$504,$A52)/SUMIFS('Resultater - Danmark'!I$3:I$504,'Resultater - Danmark'!$F$3:$F$504,$A52)*D25</f>
        <v>401960.68859899876</v>
      </c>
      <c r="E52" s="121">
        <f>SUMIFS('Resultater - Vestdanmark'!J$3:J$504,'Resultater - Vestdanmark'!$F$3:$F$504,$A52)/SUMIFS('Resultater - Danmark'!J$3:J$504,'Resultater - Danmark'!$F$3:$F$504,$A52)*E25</f>
        <v>523381.79192356829</v>
      </c>
      <c r="F52" s="122">
        <f>VLOOKUP(A52,[1]Biogasudbytte!$A$2:$C$18,3,FALSE)</f>
        <v>0.3</v>
      </c>
      <c r="G52" s="123">
        <f t="shared" si="11"/>
        <v>47.3</v>
      </c>
      <c r="I52" s="114" t="str">
        <f t="shared" si="13"/>
        <v>Have/parkaffald</v>
      </c>
      <c r="J52" s="114" t="s">
        <v>139</v>
      </c>
      <c r="K52" s="121">
        <f>SUMIFS('Resultater - Østdanmark'!H$3:H$504,'Resultater - Østdanmark'!$F$3:$F$504,$A52)/SUMIFS('Resultater - Danmark'!H$3:H$504,'Resultater - Danmark'!$F$3:$F$504,$A52)*C25</f>
        <v>35.900188095894634</v>
      </c>
      <c r="L52" s="121">
        <f>SUMIFS('Resultater - Østdanmark'!I$3:I$504,'Resultater - Østdanmark'!$F$3:$F$504,$A52)/SUMIFS('Resultater - Danmark'!I$3:I$504,'Resultater - Danmark'!$F$3:$F$504,$A52)*D25</f>
        <v>348039.31140100124</v>
      </c>
      <c r="M52" s="121">
        <f>SUMIFS('Resultater - Østdanmark'!J$3:J$504,'Resultater - Østdanmark'!$F$3:$F$504,$A52)/SUMIFS('Resultater - Danmark'!J$3:J$504,'Resultater - Danmark'!$F$3:$F$504,$A52)*E25</f>
        <v>456618.20807643177</v>
      </c>
      <c r="N52" s="122">
        <f>VLOOKUP(I52,[1]Biogasudbytte!$A$2:$C$18,3,FALSE)</f>
        <v>0.3</v>
      </c>
      <c r="O52" s="123">
        <f t="shared" si="12"/>
        <v>47.3</v>
      </c>
    </row>
    <row r="53" spans="1:15" hidden="1" x14ac:dyDescent="0.2">
      <c r="A53" s="114" t="str">
        <f t="shared" si="10"/>
        <v>Glycerin</v>
      </c>
      <c r="B53" s="114" t="s">
        <v>139</v>
      </c>
      <c r="C53" s="121">
        <f>C26*$B$36</f>
        <v>114193.60000000001</v>
      </c>
      <c r="D53" s="121">
        <f>D26*$B$36</f>
        <v>114193.60000000001</v>
      </c>
      <c r="E53" s="121">
        <f>E26*$B$36</f>
        <v>114193.60000000001</v>
      </c>
      <c r="F53" s="122">
        <f>VLOOKUP(A53,[1]Biogasudbytte!$A$2:$C$18,3,FALSE)</f>
        <v>0.9</v>
      </c>
      <c r="G53" s="123">
        <f t="shared" si="11"/>
        <v>423.36</v>
      </c>
      <c r="I53" s="114" t="str">
        <f t="shared" si="13"/>
        <v>Glycerin</v>
      </c>
      <c r="J53" s="114" t="s">
        <v>139</v>
      </c>
      <c r="K53" s="121">
        <f>C26*$C$36</f>
        <v>28548.400000000001</v>
      </c>
      <c r="L53" s="121">
        <f>D26*$C$36</f>
        <v>28548.400000000001</v>
      </c>
      <c r="M53" s="121">
        <f>E26*$C$36</f>
        <v>28548.400000000001</v>
      </c>
      <c r="N53" s="122">
        <f>VLOOKUP(I53,[1]Biogasudbytte!$A$2:$C$18,3,FALSE)</f>
        <v>0.9</v>
      </c>
      <c r="O53" s="123">
        <f t="shared" si="12"/>
        <v>423.36</v>
      </c>
    </row>
    <row r="54" spans="1:15" hidden="1" x14ac:dyDescent="0.2">
      <c r="A54" s="114" t="str">
        <f t="shared" si="10"/>
        <v>Muslinger</v>
      </c>
      <c r="B54" s="114" t="s">
        <v>139</v>
      </c>
      <c r="C54" s="121">
        <f>SUMIFS('Resultater - Vestdanmark'!H$3:H$504,'Resultater - Vestdanmark'!$F$3:$F$504,$A54)/SUMIFS('Resultater - Danmark'!H$3:H$504,'Resultater - Danmark'!$F$3:$F$504,$A54)*C27</f>
        <v>0</v>
      </c>
      <c r="D54" s="121">
        <f>SUMIFS('Resultater - Vestdanmark'!I$3:I$504,'Resultater - Vestdanmark'!$F$3:$F$504,$A54)/SUMIFS('Resultater - Danmark'!I$3:I$504,'Resultater - Danmark'!$F$3:$F$504,$A54)*D27</f>
        <v>0</v>
      </c>
      <c r="E54" s="121">
        <f>SUMIFS('Resultater - Vestdanmark'!J$3:J$504,'Resultater - Vestdanmark'!$F$3:$F$504,$A54)/SUMIFS('Resultater - Danmark'!J$3:J$504,'Resultater - Danmark'!$F$3:$F$504,$A54)*E27</f>
        <v>0</v>
      </c>
      <c r="F54" s="122">
        <f>VLOOKUP(A54,[1]Biogasudbytte!$A$2:$C$18,3,FALSE)</f>
        <v>0.15</v>
      </c>
      <c r="G54" s="123">
        <f t="shared" si="11"/>
        <v>25</v>
      </c>
      <c r="I54" s="114" t="str">
        <f t="shared" si="13"/>
        <v>Muslinger</v>
      </c>
      <c r="J54" s="114" t="s">
        <v>139</v>
      </c>
      <c r="K54" s="121">
        <f>SUMIFS('Resultater - Østdanmark'!H$3:H$504,'Resultater - Østdanmark'!$F$3:$F$504,$A54)/SUMIFS('Resultater - Danmark'!H$3:H$504,'Resultater - Danmark'!$F$3:$F$504,$A54)*C27</f>
        <v>0</v>
      </c>
      <c r="L54" s="121">
        <f>SUMIFS('Resultater - Østdanmark'!I$3:I$504,'Resultater - Østdanmark'!$F$3:$F$504,$A54)/SUMIFS('Resultater - Danmark'!I$3:I$504,'Resultater - Danmark'!$F$3:$F$504,$A54)*D27</f>
        <v>0</v>
      </c>
      <c r="M54" s="121">
        <f>SUMIFS('Resultater - Østdanmark'!J$3:J$504,'Resultater - Østdanmark'!$F$3:$F$504,$A54)/SUMIFS('Resultater - Danmark'!J$3:J$504,'Resultater - Danmark'!$F$3:$F$504,$A54)*E27</f>
        <v>0</v>
      </c>
      <c r="N54" s="122">
        <f>VLOOKUP(I54,[1]Biogasudbytte!$A$2:$C$18,3,FALSE)</f>
        <v>0.15</v>
      </c>
      <c r="O54" s="123">
        <f t="shared" si="12"/>
        <v>25</v>
      </c>
    </row>
    <row r="55" spans="1:15" ht="12.75" hidden="1" thickBot="1" x14ac:dyDescent="0.25">
      <c r="A55" s="126" t="str">
        <f t="shared" si="10"/>
        <v>Tang</v>
      </c>
      <c r="B55" s="126" t="s">
        <v>139</v>
      </c>
      <c r="C55" s="160">
        <f>SUMIFS('Resultater - Vestdanmark'!H$3:H$504,'Resultater - Vestdanmark'!$F$3:$F$504,$A55)/SUMIFS('Resultater - Danmark'!H$3:H$504,'Resultater - Danmark'!$F$3:$F$504,$A55)*C28</f>
        <v>0</v>
      </c>
      <c r="D55" s="160">
        <f>SUMIFS('Resultater - Vestdanmark'!I$3:I$504,'Resultater - Vestdanmark'!$F$3:$F$504,$A55)/SUMIFS('Resultater - Danmark'!I$3:I$504,'Resultater - Danmark'!$F$3:$F$504,$A55)*D28</f>
        <v>0</v>
      </c>
      <c r="E55" s="160">
        <f>SUMIFS('Resultater - Vestdanmark'!J$3:J$504,'Resultater - Vestdanmark'!$F$3:$F$504,$A55)/SUMIFS('Resultater - Danmark'!J$3:J$504,'Resultater - Danmark'!$F$3:$F$504,$A55)*E28</f>
        <v>0</v>
      </c>
      <c r="F55" s="127">
        <f>VLOOKUP(A55,[1]Biogasudbytte!$A$2:$C$18,3,FALSE)</f>
        <v>0.15</v>
      </c>
      <c r="G55" s="128">
        <f t="shared" si="11"/>
        <v>25</v>
      </c>
      <c r="I55" s="126" t="str">
        <f t="shared" si="13"/>
        <v>Tang</v>
      </c>
      <c r="J55" s="126" t="s">
        <v>139</v>
      </c>
      <c r="K55" s="160">
        <f>SUMIFS('Resultater - Østdanmark'!H$3:H$504,'Resultater - Østdanmark'!$F$3:$F$504,$A55)/SUMIFS('Resultater - Danmark'!H$3:H$504,'Resultater - Danmark'!$F$3:$F$504,$A55)*C28</f>
        <v>0</v>
      </c>
      <c r="L55" s="160">
        <f>SUMIFS('Resultater - Østdanmark'!I$3:I$504,'Resultater - Østdanmark'!$F$3:$F$504,$A55)/SUMIFS('Resultater - Danmark'!I$3:I$504,'Resultater - Danmark'!$F$3:$F$504,$A55)*D28</f>
        <v>0</v>
      </c>
      <c r="M55" s="160">
        <f>SUMIFS('Resultater - Østdanmark'!J$3:J$504,'Resultater - Østdanmark'!$F$3:$F$504,$A55)/SUMIFS('Resultater - Danmark'!J$3:J$504,'Resultater - Danmark'!$F$3:$F$504,$A55)*E28</f>
        <v>0</v>
      </c>
      <c r="N55" s="127">
        <f>VLOOKUP(I55,[1]Biogasudbytte!$A$2:$C$18,3,FALSE)</f>
        <v>0.15</v>
      </c>
      <c r="O55" s="128">
        <f t="shared" si="12"/>
        <v>25</v>
      </c>
    </row>
    <row r="56" spans="1:15" hidden="1" x14ac:dyDescent="0.2">
      <c r="A56" s="114" t="s">
        <v>104</v>
      </c>
      <c r="B56" s="114" t="s">
        <v>139</v>
      </c>
      <c r="C56" s="129">
        <f ca="1">SUM(C39:C55)</f>
        <v>10411125.221732087</v>
      </c>
      <c r="D56" s="129">
        <f ca="1">SUM(D39:D55)</f>
        <v>26074657.716868471</v>
      </c>
      <c r="E56" s="129">
        <f ca="1">SUM(E39:E55)</f>
        <v>29790372.874202605</v>
      </c>
      <c r="F56" s="130"/>
      <c r="G56" s="130"/>
      <c r="I56" s="114" t="s">
        <v>104</v>
      </c>
      <c r="J56" s="114" t="s">
        <v>139</v>
      </c>
      <c r="K56" s="129">
        <f ca="1">SUM(K39:K55)</f>
        <v>2679292.2782679098</v>
      </c>
      <c r="L56" s="129">
        <f ca="1">SUM(L39:L55)</f>
        <v>5417122.8624143098</v>
      </c>
      <c r="M56" s="129">
        <f ca="1">SUM(M39:M55)</f>
        <v>6452518.8795327013</v>
      </c>
      <c r="N56" s="130"/>
      <c r="O56" s="130"/>
    </row>
    <row r="57" spans="1:15" hidden="1" x14ac:dyDescent="0.2">
      <c r="A57" s="132" t="s">
        <v>123</v>
      </c>
      <c r="C57" s="133">
        <f ca="1">SUMPRODUCT(C39:C55,$F$39:$F$55)/C56</f>
        <v>0.13459391872775978</v>
      </c>
      <c r="D57" s="133">
        <f ca="1">SUMPRODUCT(D39:D55,$F$39:$F$55)/D56</f>
        <v>8.6929776861628449E-2</v>
      </c>
      <c r="E57" s="133">
        <f ca="1">SUMPRODUCT(E39:E55,$F$39:$F$55)/E56</f>
        <v>8.8064606154896724E-2</v>
      </c>
      <c r="I57" s="132" t="s">
        <v>123</v>
      </c>
      <c r="K57" s="133">
        <f ca="1">SUMPRODUCT(K39:K55,$N$39:$N$55)/K56</f>
        <v>0.15233102307854454</v>
      </c>
      <c r="L57" s="133">
        <f ca="1">SUMPRODUCT(L39:L55,$N$39:$N$55)/L56</f>
        <v>9.0483371589363953E-2</v>
      </c>
      <c r="M57" s="133">
        <f ca="1">SUMPRODUCT(M39:M55,$N$39:$N$55)/M56</f>
        <v>9.1549155025274234E-2</v>
      </c>
    </row>
    <row r="58" spans="1:15" hidden="1" x14ac:dyDescent="0.2">
      <c r="A58" s="132" t="s">
        <v>160</v>
      </c>
      <c r="C58" s="133">
        <f ca="1">SUM(C48:C51)/C56</f>
        <v>3.81572085208291E-2</v>
      </c>
      <c r="D58" s="133">
        <f ca="1">SUM(D48:D51)/D56</f>
        <v>0</v>
      </c>
      <c r="E58" s="133">
        <f ca="1">SUM(E48:E51)/E56</f>
        <v>0</v>
      </c>
      <c r="I58" s="132" t="s">
        <v>160</v>
      </c>
      <c r="K58" s="133">
        <f ca="1">SUM(K48:K51)/K56</f>
        <v>1.898804560837036E-2</v>
      </c>
      <c r="L58" s="133">
        <f ca="1">SUM(L48:L51)/L56</f>
        <v>0</v>
      </c>
      <c r="M58" s="133">
        <f ca="1">SUM(M48:M51)/M56</f>
        <v>0</v>
      </c>
    </row>
    <row r="59" spans="1:15" hidden="1" x14ac:dyDescent="0.2">
      <c r="A59" s="114" t="s">
        <v>142</v>
      </c>
      <c r="B59" s="114" t="s">
        <v>143</v>
      </c>
      <c r="C59" s="114">
        <f ca="1">SUMPRODUCT(C39:C55,$I$12:$I$28)</f>
        <v>352020220.2509163</v>
      </c>
      <c r="D59" s="114">
        <f ca="1">SUMPRODUCT(D39:D55,$I$12:$I$28)</f>
        <v>492782535.68274039</v>
      </c>
      <c r="E59" s="114">
        <f ca="1">SUMPRODUCT(E39:E55,$I$12:$I$28)</f>
        <v>563663167.57084477</v>
      </c>
      <c r="I59" s="114" t="s">
        <v>142</v>
      </c>
      <c r="J59" s="114" t="s">
        <v>143</v>
      </c>
      <c r="K59" s="114">
        <f ca="1">SUMPRODUCT(K39:K55,$I$12:$I$28)</f>
        <v>110817068.59908372</v>
      </c>
      <c r="L59" s="114">
        <f ca="1">SUMPRODUCT(L39:L55,$I$12:$I$28)</f>
        <v>107723774.77448551</v>
      </c>
      <c r="M59" s="114">
        <f ca="1">SUMPRODUCT(M39:M55,$I$12:$I$28)</f>
        <v>127770459.38070776</v>
      </c>
    </row>
    <row r="60" spans="1:15" hidden="1" x14ac:dyDescent="0.2">
      <c r="A60" s="114" t="s">
        <v>142</v>
      </c>
      <c r="B60" s="114" t="s">
        <v>122</v>
      </c>
      <c r="C60" s="114">
        <f ca="1">C59*[1]Energiindhold!$C$10</f>
        <v>12.637525907007896</v>
      </c>
      <c r="D60" s="114">
        <f ca="1">D59*[1]Energiindhold!$C$10</f>
        <v>17.690893031010383</v>
      </c>
      <c r="E60" s="114">
        <f ca="1">E59*[1]Energiindhold!$C$10</f>
        <v>20.235507715793329</v>
      </c>
      <c r="I60" s="114" t="s">
        <v>142</v>
      </c>
      <c r="J60" s="114" t="s">
        <v>122</v>
      </c>
      <c r="K60" s="114">
        <f ca="1">K59*[1]Energiindhold!$C$10</f>
        <v>3.9783327627071059</v>
      </c>
      <c r="L60" s="114">
        <f ca="1">L59*[1]Energiindhold!$C$10</f>
        <v>3.8672835144040305</v>
      </c>
      <c r="M60" s="114">
        <f ca="1">M59*[1]Energiindhold!$C$10</f>
        <v>4.5869594917674092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3" priority="7" operator="greaterThan">
      <formula>13%</formula>
    </cfRule>
  </conditionalFormatting>
  <conditionalFormatting sqref="K57:M57">
    <cfRule type="cellIs" dxfId="2" priority="5" operator="greaterThan">
      <formula>13%</formula>
    </cfRule>
  </conditionalFormatting>
  <conditionalFormatting sqref="C58:E58">
    <cfRule type="cellIs" dxfId="1" priority="2" operator="greaterThan">
      <formula>13%</formula>
    </cfRule>
  </conditionalFormatting>
  <conditionalFormatting sqref="K58:M58">
    <cfRule type="cellIs" dxfId="0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F20"/>
  <sheetViews>
    <sheetView zoomScaleNormal="100" workbookViewId="0">
      <selection activeCell="F17" sqref="F17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13.28515625" style="1" bestFit="1" customWidth="1"/>
    <col min="5" max="5" width="45.7109375" style="1" customWidth="1"/>
    <col min="6" max="16384" width="9.140625" style="1"/>
  </cols>
  <sheetData>
    <row r="1" spans="1:4" x14ac:dyDescent="0.25">
      <c r="A1" s="203" t="s">
        <v>271</v>
      </c>
    </row>
    <row r="2" spans="1:4" ht="15.75" x14ac:dyDescent="0.25">
      <c r="A2" s="201" t="s">
        <v>308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3">
        <v>0</v>
      </c>
      <c r="C4" s="386">
        <v>0</v>
      </c>
      <c r="D4" s="386">
        <v>0</v>
      </c>
    </row>
    <row r="5" spans="1:4" x14ac:dyDescent="0.25">
      <c r="A5" s="283"/>
    </row>
    <row r="6" spans="1:4" x14ac:dyDescent="0.25">
      <c r="A6" s="283"/>
    </row>
    <row r="7" spans="1:4" ht="15.75" x14ac:dyDescent="0.25">
      <c r="A7" s="201" t="s">
        <v>294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4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4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4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4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4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20">
        <f ca="1">SUMIFS('Forbrug af biomasse'!$E$2:$E$403,'Forbrug af biomasse'!$D$2:$D$403,'Forbrug til andet'!B$15,'Forbrug af biomasse'!$C$2:$C$403,'Forbrug til andet'!$A16,'Forbrug af biomasse'!$A$2:$A$403,"Materialer")</f>
        <v>0</v>
      </c>
      <c r="C16" s="320">
        <f ca="1">SUMIFS('Forbrug af biomasse'!$E$2:$E$403,'Forbrug af biomasse'!$D$2:$D$403,'Forbrug til andet'!C$15,'Forbrug af biomasse'!$C$2:$C$403,'Forbrug til andet'!$A16,'Forbrug af biomasse'!$A$2:$A$403,"Materialer")</f>
        <v>0</v>
      </c>
      <c r="D16" s="320">
        <f ca="1">SUMIFS('Forbrug af biomasse'!$E$2:$E$403,'Forbrug af biomasse'!$D$2:$D$403,'Forbrug til andet'!D$15,'Forbrug af biomasse'!$C$2:$C$403,'Forbrug til andet'!$A16,'Forbrug af biomasse'!$A$2:$A$403,"Materialer")</f>
        <v>0</v>
      </c>
    </row>
    <row r="17" spans="1:6" x14ac:dyDescent="0.25">
      <c r="A17" s="2" t="str">
        <f>A10</f>
        <v>Rapsolie</v>
      </c>
      <c r="B17" s="320">
        <v>0</v>
      </c>
      <c r="C17" s="320">
        <f>SUMIFS('Forbrug af biomasse'!$E$2:$E$403,'Forbrug af biomasse'!$D$2:$D$403,'Forbrug til andet'!C$15,'Forbrug af biomasse'!$C$2:$C$403,'Forbrug til andet'!$A17,'Forbrug af biomasse'!$A$2:$A$403,"Materialer")</f>
        <v>0</v>
      </c>
      <c r="D17" s="320">
        <f>SUMIFS('Forbrug af biomasse'!$E$2:$E$403,'Forbrug af biomasse'!$D$2:$D$403,'Forbrug til andet'!D$15,'Forbrug af biomasse'!$C$2:$C$403,'Forbrug til andet'!$A17,'Forbrug af biomasse'!$A$2:$A$403,"Materialer")</f>
        <v>0</v>
      </c>
      <c r="F17" s="1">
        <f>SUMIFS('Forbrug af biomasse'!$E$2:$E$403,'Forbrug af biomasse'!$D$2:$D$403,'Forbrug til andet'!B$15,'Forbrug af biomasse'!$C$2:$C$403,'Forbrug til andet'!$A17,'Forbrug af biomasse'!$A$2:$A$403,"Materialer")</f>
        <v>104190.75509932752</v>
      </c>
    </row>
    <row r="18" spans="1:6" x14ac:dyDescent="0.25">
      <c r="A18" s="2" t="str">
        <f>A11</f>
        <v>Pil &amp; poppel</v>
      </c>
      <c r="B18" s="320">
        <f>SUMIFS('Forbrug af biomasse'!$E$2:$E$403,'Forbrug af biomasse'!$D$2:$D$403,'Forbrug til andet'!B$15,'Forbrug af biomasse'!$C$2:$C$403,'Forbrug til andet'!$A18,'Forbrug af biomasse'!$A$2:$A$403,"Materialer")</f>
        <v>0</v>
      </c>
      <c r="C18" s="320">
        <f>SUMIFS('Forbrug af biomasse'!$E$2:$E$403,'Forbrug af biomasse'!$D$2:$D$403,'Forbrug til andet'!C$15,'Forbrug af biomasse'!$C$2:$C$403,'Forbrug til andet'!$A18,'Forbrug af biomasse'!$A$2:$A$403,"Materialer")</f>
        <v>0</v>
      </c>
      <c r="D18" s="320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6" x14ac:dyDescent="0.25">
      <c r="A19" s="2" t="str">
        <f t="shared" ref="A19:A20" si="0">A12</f>
        <v>Have/parkaffald</v>
      </c>
      <c r="B19" s="320">
        <f>SUMIFS('Forbrug af biomasse'!$E$2:$E$403,'Forbrug af biomasse'!$D$2:$D$403,'Forbrug til andet'!B$15,'Forbrug af biomasse'!$C$2:$C$403,'Forbrug til andet'!$A19,'Forbrug af biomasse'!$A$2:$A$403,"Materialer")</f>
        <v>0</v>
      </c>
      <c r="C19" s="320">
        <f>SUMIFS('Forbrug af biomasse'!$E$2:$E$403,'Forbrug af biomasse'!$D$2:$D$403,'Forbrug til andet'!C$15,'Forbrug af biomasse'!$C$2:$C$403,'Forbrug til andet'!$A19,'Forbrug af biomasse'!$A$2:$A$403,"Materialer")</f>
        <v>0</v>
      </c>
      <c r="D19" s="320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6" x14ac:dyDescent="0.25">
      <c r="A20" s="2" t="str">
        <f t="shared" si="0"/>
        <v>Bioaffald</v>
      </c>
      <c r="B20" s="320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20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20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 filterMode="1">
    <tabColor rgb="FFFF0000"/>
  </sheetPr>
  <dimension ref="A1:I230"/>
  <sheetViews>
    <sheetView workbookViewId="0">
      <selection activeCell="H3" sqref="H3"/>
    </sheetView>
  </sheetViews>
  <sheetFormatPr defaultRowHeight="15" x14ac:dyDescent="0.25"/>
  <cols>
    <col min="6" max="6" width="21.28515625" customWidth="1"/>
  </cols>
  <sheetData>
    <row r="1" spans="1:9" x14ac:dyDescent="0.25">
      <c r="A1" s="91"/>
      <c r="B1" s="91"/>
      <c r="C1" s="91"/>
      <c r="D1" s="91"/>
      <c r="E1" s="91"/>
      <c r="F1" s="91"/>
      <c r="G1" s="91" t="s">
        <v>85</v>
      </c>
      <c r="H1" s="91"/>
      <c r="I1" s="91"/>
    </row>
    <row r="2" spans="1:9" x14ac:dyDescent="0.25">
      <c r="A2" s="91" t="s">
        <v>64</v>
      </c>
      <c r="B2" s="91" t="s">
        <v>57</v>
      </c>
      <c r="C2" s="91" t="s">
        <v>59</v>
      </c>
      <c r="D2" s="91" t="s">
        <v>63</v>
      </c>
      <c r="E2" s="91"/>
      <c r="F2" s="91" t="s">
        <v>97</v>
      </c>
      <c r="G2" s="91">
        <f>År1</f>
        <v>2019</v>
      </c>
      <c r="H2" s="91">
        <f>År2</f>
        <v>2030</v>
      </c>
      <c r="I2" s="91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2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2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786251.64561562939</v>
      </c>
      <c r="I3" s="92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703268.18873094791</v>
      </c>
    </row>
    <row r="4" spans="1:9" hidden="1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2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2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54323.317600394141</v>
      </c>
      <c r="I4" s="92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48589.864819642906</v>
      </c>
    </row>
    <row r="5" spans="1:9" hidden="1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2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2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91352.326133104434</v>
      </c>
      <c r="I5" s="92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81710.716021056694</v>
      </c>
    </row>
    <row r="6" spans="1:9" hidden="1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2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2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174180.15423615053</v>
      </c>
      <c r="I6" s="92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155796.63618588899</v>
      </c>
    </row>
    <row r="7" spans="1:9" hidden="1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2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2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6740.3758420333515</v>
      </c>
      <c r="I7" s="92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6028.9755019603408</v>
      </c>
    </row>
    <row r="8" spans="1:9" hidden="1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2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2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40153.274688259204</v>
      </c>
      <c r="I8" s="92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35915.372538925141</v>
      </c>
    </row>
    <row r="9" spans="1:9" hidden="1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2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2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3919.7965291746114</v>
      </c>
      <c r="I9" s="92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3506.0889482883485</v>
      </c>
    </row>
    <row r="10" spans="1:9" hidden="1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2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2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134231.88545223227</v>
      </c>
      <c r="I10" s="92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120064.63258721215</v>
      </c>
    </row>
    <row r="11" spans="1:9" hidden="1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2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2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2466.5479728921132</v>
      </c>
      <c r="I11" s="92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2206.2207882002126</v>
      </c>
    </row>
    <row r="12" spans="1:9" hidden="1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2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2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43623.12423114085</v>
      </c>
      <c r="I12" s="92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39019.003312607769</v>
      </c>
    </row>
    <row r="13" spans="1:9" hidden="1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2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2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45887.690139647355</v>
      </c>
      <c r="I13" s="92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41044.559854992149</v>
      </c>
    </row>
    <row r="14" spans="1:9" hidden="1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2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2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12371.079988391533</v>
      </c>
      <c r="I14" s="92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11065.397528382413</v>
      </c>
    </row>
    <row r="15" spans="1:9" hidden="1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2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2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4550.4801442597754</v>
      </c>
      <c r="I15" s="92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4070.2082428126114</v>
      </c>
    </row>
    <row r="16" spans="1:9" hidden="1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2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2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109682.64324160751</v>
      </c>
      <c r="I16" s="92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98106.394152410197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2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2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20843.531266124886</v>
      </c>
      <c r="I17" s="92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16500.437390404819</v>
      </c>
    </row>
    <row r="18" spans="1:9" hidden="1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2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2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1786.7951054397183</v>
      </c>
      <c r="I18" s="92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1414.4868444007736</v>
      </c>
    </row>
    <row r="19" spans="1:9" hidden="1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2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2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1913.2698208119741</v>
      </c>
      <c r="I19" s="92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1514.6084646686793</v>
      </c>
    </row>
    <row r="20" spans="1:9" hidden="1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2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2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17656.329249729286</v>
      </c>
      <c r="I20" s="92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13977.341536317093</v>
      </c>
    </row>
    <row r="21" spans="1:9" hidden="1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2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2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82.579316026090069</v>
      </c>
      <c r="I21" s="92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65.372552109030366</v>
      </c>
    </row>
    <row r="22" spans="1:9" hidden="1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2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2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1303.7133622629699</v>
      </c>
      <c r="I22" s="92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1032.0631583197971</v>
      </c>
    </row>
    <row r="23" spans="1:9" hidden="1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2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2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34.203336491457428</v>
      </c>
      <c r="I23" s="92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27.076506620423842</v>
      </c>
    </row>
    <row r="24" spans="1:9" hidden="1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2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2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4415.1367500105207</v>
      </c>
      <c r="I24" s="92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3495.1701121787992</v>
      </c>
    </row>
    <row r="25" spans="1:9" hidden="1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2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2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75.215650030725556</v>
      </c>
      <c r="I25" s="92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59.54322750136015</v>
      </c>
    </row>
    <row r="26" spans="1:9" hidden="1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2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2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1330.2565696985414</v>
      </c>
      <c r="I26" s="92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1053.0756502454326</v>
      </c>
    </row>
    <row r="27" spans="1:9" hidden="1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2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2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3283.4655055701205</v>
      </c>
      <c r="I27" s="92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2599.3012559376307</v>
      </c>
    </row>
    <row r="28" spans="1:9" hidden="1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2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2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377.24740533545247</v>
      </c>
      <c r="I28" s="92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298.64167990319493</v>
      </c>
    </row>
    <row r="29" spans="1:9" hidden="1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2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2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619.57934642519353</v>
      </c>
      <c r="I29" s="92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490.4797600535137</v>
      </c>
    </row>
    <row r="30" spans="1:9" hidden="1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2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2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17512.450507812609</v>
      </c>
      <c r="I30" s="92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13863.442305783894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2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2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8269.0161200631464</v>
      </c>
      <c r="I31" s="92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</row>
    <row r="32" spans="1:9" hidden="1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2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2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476.12351737499114</v>
      </c>
      <c r="I32" s="92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</row>
    <row r="33" spans="1:9" hidden="1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2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2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616.55839503976472</v>
      </c>
      <c r="I33" s="92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</row>
    <row r="34" spans="1:9" hidden="1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2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2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14219.782896462779</v>
      </c>
      <c r="I34" s="92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</row>
    <row r="35" spans="1:9" hidden="1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2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2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16.527831515094178</v>
      </c>
      <c r="I35" s="92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</row>
    <row r="36" spans="1:9" hidden="1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2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2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874.82296878583463</v>
      </c>
      <c r="I36" s="92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</row>
    <row r="37" spans="1:9" hidden="1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2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2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9.4603904307598334</v>
      </c>
      <c r="I37" s="92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</row>
    <row r="38" spans="1:9" hidden="1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2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2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1176.4921633749784</v>
      </c>
      <c r="I38" s="92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</row>
    <row r="39" spans="1:9" hidden="1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2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2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33.714690278143649</v>
      </c>
      <c r="I39" s="92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</row>
    <row r="40" spans="1:9" hidden="1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2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2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596.27468777483512</v>
      </c>
      <c r="I40" s="92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</row>
    <row r="41" spans="1:9" hidden="1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2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2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1897.1467002204627</v>
      </c>
      <c r="I41" s="92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</row>
    <row r="42" spans="1:9" hidden="1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2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2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169.09751393390181</v>
      </c>
      <c r="I42" s="92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</row>
    <row r="43" spans="1:9" hidden="1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2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2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399.1587138370042</v>
      </c>
      <c r="I43" s="92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</row>
    <row r="44" spans="1:9" hidden="1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2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2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14762.990467149724</v>
      </c>
      <c r="I44" s="92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2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2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122709.79440243928</v>
      </c>
      <c r="I45" s="92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149178.10063989804</v>
      </c>
    </row>
    <row r="46" spans="1:9" hidden="1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2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2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8478.205637055733</v>
      </c>
      <c r="I46" s="92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10306.941022348496</v>
      </c>
    </row>
    <row r="47" spans="1:9" hidden="1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2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2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14257.299454299538</v>
      </c>
      <c r="I47" s="92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17332.576125678694</v>
      </c>
    </row>
    <row r="48" spans="1:9" hidden="1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2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2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27184.185921248929</v>
      </c>
      <c r="I48" s="92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33047.771312158278</v>
      </c>
    </row>
    <row r="49" spans="1:9" hidden="1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2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2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1051.9661718780378</v>
      </c>
      <c r="I49" s="92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1278.8735913249209</v>
      </c>
    </row>
    <row r="50" spans="1:9" hidden="1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2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2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6266.6960496127094</v>
      </c>
      <c r="I50" s="92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7618.4123567416955</v>
      </c>
    </row>
    <row r="51" spans="1:9" hidden="1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2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2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611.76015195210698</v>
      </c>
      <c r="I51" s="92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743.71583751571029</v>
      </c>
    </row>
    <row r="52" spans="1:9" hidden="1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2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2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20949.485012776135</v>
      </c>
      <c r="I52" s="92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25468.255397287427</v>
      </c>
    </row>
    <row r="53" spans="1:9" hidden="1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2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2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384.95257380397146</v>
      </c>
      <c r="I53" s="92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467.98622780004507</v>
      </c>
    </row>
    <row r="54" spans="1:9" hidden="1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2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2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6808.233261507532</v>
      </c>
      <c r="I54" s="92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8276.7582784319511</v>
      </c>
    </row>
    <row r="55" spans="1:9" hidden="1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2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2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7161.6626229507428</v>
      </c>
      <c r="I55" s="92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8706.4217874225778</v>
      </c>
    </row>
    <row r="56" spans="1:9" hidden="1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2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2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1930.7465877836498</v>
      </c>
      <c r="I56" s="92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2347.2055363235422</v>
      </c>
    </row>
    <row r="57" spans="1:9" hidden="1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2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2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710.19054274574535</v>
      </c>
      <c r="I57" s="92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863.37750605116003</v>
      </c>
    </row>
    <row r="58" spans="1:9" hidden="1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2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2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17118.100390308689</v>
      </c>
      <c r="I58" s="92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20810.447244450646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2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2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3253.0366715917453</v>
      </c>
      <c r="I59" s="92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3500.0927797828404</v>
      </c>
    </row>
    <row r="60" spans="1:9" hidden="1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2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2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278.86397599348209</v>
      </c>
      <c r="I60" s="92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300.04266396380046</v>
      </c>
    </row>
    <row r="61" spans="1:9" hidden="1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2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2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298.60280440418097</v>
      </c>
      <c r="I61" s="92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321.28058341456835</v>
      </c>
    </row>
    <row r="62" spans="1:9" hidden="1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2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2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2755.6120794375188</v>
      </c>
      <c r="I62" s="92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2964.8906289157476</v>
      </c>
    </row>
    <row r="63" spans="1:9" hidden="1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2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2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12.888101345112323</v>
      </c>
      <c r="I63" s="92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13.866904992824622</v>
      </c>
    </row>
    <row r="64" spans="1:9" hidden="1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2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2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203.46971549768895</v>
      </c>
      <c r="I64" s="92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218.92248812844184</v>
      </c>
    </row>
    <row r="65" spans="1:9" hidden="1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2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2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5.3380929784355526</v>
      </c>
      <c r="I65" s="92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5.7435014043323305</v>
      </c>
    </row>
    <row r="66" spans="1:9" hidden="1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2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2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689.0675852617577</v>
      </c>
      <c r="I66" s="92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741.39972076519973</v>
      </c>
    </row>
    <row r="67" spans="1:9" hidden="1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2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2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11.73885867531555</v>
      </c>
      <c r="I67" s="92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12.630381591197606</v>
      </c>
    </row>
    <row r="68" spans="1:9" hidden="1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2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2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207.61229700497469</v>
      </c>
      <c r="I68" s="92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223.3796833853948</v>
      </c>
    </row>
    <row r="69" spans="1:9" hidden="1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2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2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512.44837370169512</v>
      </c>
      <c r="I69" s="92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551.36693307767916</v>
      </c>
    </row>
    <row r="70" spans="1:9" hidden="1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2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2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58.876762682411666</v>
      </c>
      <c r="I70" s="92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63.34823513098074</v>
      </c>
    </row>
    <row r="71" spans="1:9" hidden="1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2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2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96.697354644394366</v>
      </c>
      <c r="I71" s="92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104.0411612234726</v>
      </c>
    </row>
    <row r="72" spans="1:9" hidden="1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2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2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2733.1570156701764</v>
      </c>
      <c r="I72" s="92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2940.7301860753714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2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2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1290.5400881023411</v>
      </c>
      <c r="I73" s="92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</row>
    <row r="74" spans="1:9" hidden="1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2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2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74.308294619218273</v>
      </c>
      <c r="I74" s="92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</row>
    <row r="75" spans="1:9" hidden="1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2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2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96.225876682506637</v>
      </c>
      <c r="I75" s="92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</row>
    <row r="76" spans="1:9" hidden="1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2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2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2219.2724751704914</v>
      </c>
      <c r="I76" s="92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</row>
    <row r="77" spans="1:9" hidden="1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2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2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2.5794881555349294</v>
      </c>
      <c r="I77" s="92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</row>
    <row r="78" spans="1:9" hidden="1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2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2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136.5330644925869</v>
      </c>
      <c r="I78" s="92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</row>
    <row r="79" spans="1:9" hidden="1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2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2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1.4764771192515349</v>
      </c>
      <c r="I79" s="92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</row>
    <row r="80" spans="1:9" hidden="1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2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2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183.61438387933188</v>
      </c>
      <c r="I80" s="92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</row>
    <row r="81" spans="1:9" hidden="1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2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2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5.2618302746235761</v>
      </c>
      <c r="I81" s="92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</row>
    <row r="82" spans="1:9" hidden="1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2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2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93.060211386823994</v>
      </c>
      <c r="I82" s="92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</row>
    <row r="83" spans="1:9" hidden="1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2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2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296.08647922515894</v>
      </c>
      <c r="I83" s="92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</row>
    <row r="84" spans="1:9" hidden="1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2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2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26.390941481013577</v>
      </c>
      <c r="I84" s="92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</row>
    <row r="85" spans="1:9" hidden="1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2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2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62.296446668202975</v>
      </c>
      <c r="I85" s="92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</row>
    <row r="86" spans="1:9" hidden="1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2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2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2304.0505353355065</v>
      </c>
      <c r="I86" s="92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2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2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273745.47494869685</v>
      </c>
      <c r="I87" s="92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252961.21164089115</v>
      </c>
    </row>
    <row r="88" spans="1:9" hidden="1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2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2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5966.2379545075337</v>
      </c>
      <c r="I88" s="92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5513.2483274579954</v>
      </c>
    </row>
    <row r="89" spans="1:9" hidden="1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2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2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37846.269587089562</v>
      </c>
      <c r="I89" s="92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34972.772472795026</v>
      </c>
    </row>
    <row r="90" spans="1:9" hidden="1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2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2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22992.551198038291</v>
      </c>
      <c r="I90" s="92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21246.830147095647</v>
      </c>
    </row>
    <row r="91" spans="1:9" hidden="1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2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2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3602.9387869037678</v>
      </c>
      <c r="I91" s="92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3329.3838415920754</v>
      </c>
    </row>
    <row r="92" spans="1:9" hidden="1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2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2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2311.2940774250665</v>
      </c>
      <c r="I92" s="92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2135.807908398976</v>
      </c>
    </row>
    <row r="93" spans="1:9" hidden="1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2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2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24027.307274751001</v>
      </c>
      <c r="I93" s="92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22203.021846582469</v>
      </c>
    </row>
    <row r="94" spans="1:9" hidden="1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2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2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6795.8166330946769</v>
      </c>
      <c r="I94" s="92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6279.8408262972243</v>
      </c>
    </row>
    <row r="95" spans="1:9" hidden="1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2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2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1581.2589867445231</v>
      </c>
      <c r="I95" s="92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1461.2011003283492</v>
      </c>
    </row>
    <row r="96" spans="1:9" hidden="1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2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2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11290.9560944649</v>
      </c>
      <c r="I96" s="92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10433.684555973852</v>
      </c>
    </row>
    <row r="97" spans="1:9" hidden="1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2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2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34933.885133389689</v>
      </c>
      <c r="I97" s="92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32281.512278228936</v>
      </c>
    </row>
    <row r="98" spans="1:9" hidden="1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2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2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2477.8238338588517</v>
      </c>
      <c r="I98" s="92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2289.6938090504755</v>
      </c>
    </row>
    <row r="99" spans="1:9" hidden="1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2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2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1177.7989867331366</v>
      </c>
      <c r="I99" s="92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1088.3740043895341</v>
      </c>
    </row>
    <row r="100" spans="1:9" hidden="1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2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2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29335.684689384874</v>
      </c>
      <c r="I100" s="92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27108.358027589973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2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2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4153.0281200981244</v>
      </c>
      <c r="I101" s="92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3287.676142844382</v>
      </c>
    </row>
    <row r="102" spans="1:9" hidden="1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2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2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112.30451890716081</v>
      </c>
      <c r="I102" s="92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88.904018192866161</v>
      </c>
    </row>
    <row r="103" spans="1:9" hidden="1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2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2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453.61549532985964</v>
      </c>
      <c r="I103" s="92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359.09721747448225</v>
      </c>
    </row>
    <row r="104" spans="1:9" hidden="1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2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2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1333.8196227610581</v>
      </c>
      <c r="I104" s="92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1055.8962823747061</v>
      </c>
    </row>
    <row r="105" spans="1:9" hidden="1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2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2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25.261099168726226</v>
      </c>
      <c r="I105" s="92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19.997532084392677</v>
      </c>
    </row>
    <row r="106" spans="1:9" hidden="1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2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2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42.946180543416538</v>
      </c>
      <c r="I106" s="92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33.997634765724179</v>
      </c>
    </row>
    <row r="107" spans="1:9" hidden="1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2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2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119.98259301094923</v>
      </c>
      <c r="I107" s="92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94.982238788545629</v>
      </c>
    </row>
    <row r="108" spans="1:9" hidden="1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2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2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127.91995950888544</v>
      </c>
      <c r="I108" s="92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101.26572392701387</v>
      </c>
    </row>
    <row r="109" spans="1:9" hidden="1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2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2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27.594964857400839</v>
      </c>
      <c r="I109" s="92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21.845098323620871</v>
      </c>
    </row>
    <row r="110" spans="1:9" hidden="1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2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2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197.0414329626538</v>
      </c>
      <c r="I110" s="92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155.98459715892352</v>
      </c>
    </row>
    <row r="111" spans="1:9" hidden="1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2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2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1430.5114592593595</v>
      </c>
      <c r="I111" s="92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1132.4407783112672</v>
      </c>
    </row>
    <row r="112" spans="1:9" hidden="1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2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2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43.241152898637949</v>
      </c>
      <c r="I112" s="92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34.231144760604046</v>
      </c>
    </row>
    <row r="113" spans="1:9" hidden="1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2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2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91.773876584838561</v>
      </c>
      <c r="I113" s="92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72.651274168880292</v>
      </c>
    </row>
    <row r="114" spans="1:9" hidden="1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2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2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2659.7407767838267</v>
      </c>
      <c r="I114" s="92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2105.5398723801477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2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2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1796.6458108942293</v>
      </c>
      <c r="I115" s="92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</row>
    <row r="116" spans="1:9" hidden="1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2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2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32.633012539823845</v>
      </c>
      <c r="I116" s="92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</row>
    <row r="117" spans="1:9" hidden="1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2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2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159.40463041598321</v>
      </c>
      <c r="I117" s="92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</row>
    <row r="118" spans="1:9" hidden="1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2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2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1171.3986150504631</v>
      </c>
      <c r="I118" s="92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</row>
    <row r="119" spans="1:9" hidden="1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2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2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5.5133034466362671</v>
      </c>
      <c r="I119" s="92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</row>
    <row r="120" spans="1:9" hidden="1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2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2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31.425171951535479</v>
      </c>
      <c r="I120" s="92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</row>
    <row r="121" spans="1:9" hidden="1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2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2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36.188775432258431</v>
      </c>
      <c r="I121" s="92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</row>
    <row r="122" spans="1:9" hidden="1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2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2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37.170486845663731</v>
      </c>
      <c r="I122" s="92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</row>
    <row r="123" spans="1:9" hidden="1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2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2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13.488257970641145</v>
      </c>
      <c r="I123" s="92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</row>
    <row r="124" spans="1:9" hidden="1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2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2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96.312703873303633</v>
      </c>
      <c r="I124" s="92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</row>
    <row r="125" spans="1:9" hidden="1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2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2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901.3113802822603</v>
      </c>
      <c r="I125" s="92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</row>
    <row r="126" spans="1:9" hidden="1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2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2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21.136023483224019</v>
      </c>
      <c r="I126" s="92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</row>
    <row r="127" spans="1:9" hidden="1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2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2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64.473732983194068</v>
      </c>
      <c r="I127" s="92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</row>
    <row r="128" spans="1:9" hidden="1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2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2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2242.1606682189854</v>
      </c>
      <c r="I128" s="92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2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2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42723.282217426677</v>
      </c>
      <c r="I129" s="92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53658.438832916305</v>
      </c>
    </row>
    <row r="130" spans="1:9" hidden="1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2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2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931.14696399828563</v>
      </c>
      <c r="I130" s="92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1169.4769179456355</v>
      </c>
    </row>
    <row r="131" spans="1:9" hidden="1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2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2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5906.64323035502</v>
      </c>
      <c r="I131" s="92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7418.4668881686412</v>
      </c>
    </row>
    <row r="132" spans="1:9" hidden="1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2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2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3588.4328459366125</v>
      </c>
      <c r="I132" s="92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4506.9033645354402</v>
      </c>
    </row>
    <row r="133" spans="1:9" hidden="1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2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2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562.30836558613726</v>
      </c>
      <c r="I133" s="92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706.23293609528866</v>
      </c>
    </row>
    <row r="134" spans="1:9" hidden="1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2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2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360.72219705477914</v>
      </c>
      <c r="I134" s="92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453.05016238766149</v>
      </c>
    </row>
    <row r="135" spans="1:9" hidden="1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2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2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3749.9265688917749</v>
      </c>
      <c r="I135" s="92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4709.7319068508268</v>
      </c>
    </row>
    <row r="136" spans="1:9" hidden="1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2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2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1060.6187808876086</v>
      </c>
      <c r="I136" s="92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1332.0874480024415</v>
      </c>
    </row>
    <row r="137" spans="1:9" hidden="1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2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2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246.78608463642848</v>
      </c>
      <c r="I137" s="92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309.95174855449835</v>
      </c>
    </row>
    <row r="138" spans="1:9" hidden="1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2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2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1762.172338442499</v>
      </c>
      <c r="I138" s="92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2213.2058149035443</v>
      </c>
    </row>
    <row r="139" spans="1:9" hidden="1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2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2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5452.1092404712235</v>
      </c>
      <c r="I139" s="92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6847.5935135637137</v>
      </c>
    </row>
    <row r="140" spans="1:9" hidden="1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2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2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386.71239025542775</v>
      </c>
      <c r="I140" s="92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485.6926261622221</v>
      </c>
    </row>
    <row r="141" spans="1:9" hidden="1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2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2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183.81833896991151</v>
      </c>
      <c r="I141" s="92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230.86721305232541</v>
      </c>
    </row>
    <row r="142" spans="1:9" hidden="1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2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2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4578.4016567248073</v>
      </c>
      <c r="I142" s="92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5750.2577634281761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2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2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648.16045804999635</v>
      </c>
      <c r="I143" s="92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697.38584848214157</v>
      </c>
    </row>
    <row r="144" spans="1:9" hidden="1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2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2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17.527294858343019</v>
      </c>
      <c r="I144" s="92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18.858428101517063</v>
      </c>
    </row>
    <row r="145" spans="1:9" hidden="1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2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2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70.795481930093715</v>
      </c>
      <c r="I145" s="92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76.17213704004169</v>
      </c>
    </row>
    <row r="146" spans="1:9" hidden="1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2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2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208.16838043091659</v>
      </c>
      <c r="I146" s="92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223.97799929160431</v>
      </c>
    </row>
    <row r="147" spans="1:9" hidden="1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2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2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3.9424836852925322</v>
      </c>
      <c r="I147" s="92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4.2419007451742043</v>
      </c>
    </row>
    <row r="148" spans="1:9" hidden="1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2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2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6.7025830905910215</v>
      </c>
      <c r="I148" s="92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7.211619495759674</v>
      </c>
    </row>
    <row r="149" spans="1:9" hidden="1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2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2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18.725607001708841</v>
      </c>
      <c r="I149" s="92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20.147747621812712</v>
      </c>
    </row>
    <row r="150" spans="1:9" hidden="1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2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2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19.964386744161317</v>
      </c>
      <c r="I150" s="92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21.480608105730209</v>
      </c>
    </row>
    <row r="151" spans="1:9" hidden="1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2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2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4.3067286193631373</v>
      </c>
      <c r="I151" s="92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4.6338087353135169</v>
      </c>
    </row>
    <row r="152" spans="1:9" hidden="1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2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2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30.752131156021115</v>
      </c>
      <c r="I152" s="92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33.087641821589841</v>
      </c>
    </row>
    <row r="153" spans="1:9" hidden="1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2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2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223.25901387284802</v>
      </c>
      <c r="I153" s="92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240.21471055087486</v>
      </c>
    </row>
    <row r="154" spans="1:9" hidden="1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2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2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6.74861923851575</v>
      </c>
      <c r="I154" s="92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7.261151918916009</v>
      </c>
    </row>
    <row r="155" spans="1:9" hidden="1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2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2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14.323090565263824</v>
      </c>
      <c r="I155" s="92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15.410876338853395</v>
      </c>
    </row>
    <row r="156" spans="1:9" hidden="1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2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2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415.10405186799608</v>
      </c>
      <c r="I156" s="92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446.6296698988192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2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2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280.40136933031323</v>
      </c>
      <c r="I157" s="92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</row>
    <row r="158" spans="1:9" hidden="1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2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2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5.0930135177759759</v>
      </c>
      <c r="I158" s="92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</row>
    <row r="159" spans="1:9" hidden="1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2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2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24.878179313477148</v>
      </c>
      <c r="I159" s="92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</row>
    <row r="160" spans="1:9" hidden="1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2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2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182.81943703099714</v>
      </c>
      <c r="I160" s="92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</row>
    <row r="161" spans="1:9" hidden="1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2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2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0.86045776334785684</v>
      </c>
      <c r="I161" s="92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</row>
    <row r="162" spans="1:9" hidden="1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2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2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4.9045066051529362</v>
      </c>
      <c r="I162" s="92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</row>
    <row r="163" spans="1:9" hidden="1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2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2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5.6479591715085418</v>
      </c>
      <c r="I163" s="92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</row>
    <row r="164" spans="1:9" hidden="1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2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2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5.8011742475891381</v>
      </c>
      <c r="I164" s="92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</row>
    <row r="165" spans="1:9" hidden="1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2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2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2.1051038451289652</v>
      </c>
      <c r="I165" s="92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</row>
    <row r="166" spans="1:9" hidden="1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2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2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15.031462454215021</v>
      </c>
      <c r="I166" s="92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</row>
    <row r="167" spans="1:9" hidden="1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2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2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140.66709403249149</v>
      </c>
      <c r="I167" s="92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</row>
    <row r="168" spans="1:9" hidden="1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2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2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3.2986857459366963</v>
      </c>
      <c r="I168" s="92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</row>
    <row r="169" spans="1:9" hidden="1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2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2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10.062374511827977</v>
      </c>
      <c r="I169" s="92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</row>
    <row r="170" spans="1:9" hidden="1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2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2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349.9325898376452</v>
      </c>
      <c r="I170" s="92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0</v>
      </c>
    </row>
    <row r="171" spans="1:9" hidden="1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2" cm="1">
        <f t="array" ref="G171">(INDEX([1]Dyrehold!$C$14:$E$17,MATCH(1,(A171=[1]Dyrehold!$A$14:$A$17)*(C171=[1]Dyrehold!$B$14:$B$17),0),MATCH($B171,[1]Dyrehold!$C$13:$E$13,0)))</f>
        <v>10266966</v>
      </c>
      <c r="H171" s="92">
        <f>SUMIFS($G$3:$G$182,$A$3:$A$182,$A171,$B$3:$B$182,$B171)*VLOOKUP($B171,Landbrug!$B$11:$E$13,3,FALSE)*IF($C171&lt;&gt;"Økologisk",1-VLOOKUP($B171,Landbrug!$B$6:$E$8,3,FALSE),VLOOKUP($B171,Landbrug!$B$6:$E$8,3,FALSE))</f>
        <v>9723529.5356878359</v>
      </c>
      <c r="I171" s="92">
        <f>SUMIFS($G$3:$G$182,$A$3:$A$182,$A171,$B$3:$B$182,$B171)*VLOOKUP($B171,Landbrug!$B$11:$E$13,4,FALSE)*IF($C171&lt;&gt;"Økologisk",1-VLOOKUP($B171,Landbrug!$B$6:$E$8,4,FALSE),VLOOKUP($B171,Landbrug!$B$6:$E$8,4,FALSE))</f>
        <v>8686398.2742639016</v>
      </c>
    </row>
    <row r="172" spans="1:9" hidden="1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2" cm="1">
        <f t="array" ref="G172">(INDEX([1]Dyrehold!$C$14:$E$17,MATCH(1,(A172=[1]Dyrehold!$A$14:$A$17)*(C172=[1]Dyrehold!$B$14:$B$17),0),MATCH($B172,[1]Dyrehold!$C$13:$E$13,0)))</f>
        <v>1541102</v>
      </c>
      <c r="H172" s="92">
        <f>SUMIFS($G$3:$G$182,$A$3:$A$182,$A172,$B$3:$B$182,$B172)*VLOOKUP($B172,Landbrug!$B$11:$E$13,3,FALSE)*IF($C172&lt;&gt;"Økologisk",1-VLOOKUP($B172,Landbrug!$B$6:$E$8,3,FALSE),VLOOKUP($B172,Landbrug!$B$6:$E$8,3,FALSE))</f>
        <v>1408911.3784681347</v>
      </c>
      <c r="I172" s="92">
        <f>SUMIFS($G$3:$G$182,$A$3:$A$182,$A172,$B$3:$B$182,$B172)*VLOOKUP($B172,Landbrug!$B$11:$E$13,4,FALSE)*IF($C172&lt;&gt;"Økologisk",1-VLOOKUP($B172,Landbrug!$B$6:$E$8,4,FALSE),VLOOKUP($B172,Landbrug!$B$6:$E$8,4,FALSE))</f>
        <v>1258634.050691002</v>
      </c>
    </row>
    <row r="173" spans="1:9" hidden="1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2" cm="1">
        <f t="array" ref="G173">(INDEX([1]Dyrehold!$C$14:$E$17,MATCH(1,(A173=[1]Dyrehold!$A$14:$A$17)*(C173=[1]Dyrehold!$B$14:$B$17),0),MATCH($B173,[1]Dyrehold!$C$13:$E$13,0)))</f>
        <v>475477</v>
      </c>
      <c r="H173" s="92">
        <f>SUMIFS($G$3:$G$182,$A$3:$A$182,$A173,$B$3:$B$182,$B173)*VLOOKUP($B173,Landbrug!$B$11:$E$13,3,FALSE)*IF($C173&lt;&gt;"Økologisk",1-VLOOKUP($B173,Landbrug!$B$6:$E$8,3,FALSE),VLOOKUP($B173,Landbrug!$B$6:$E$8,3,FALSE))</f>
        <v>637730.00302184175</v>
      </c>
      <c r="I173" s="92">
        <f>SUMIFS($G$3:$G$182,$A$3:$A$182,$A173,$B$3:$B$182,$B173)*VLOOKUP($B173,Landbrug!$B$11:$E$13,4,FALSE)*IF($C173&lt;&gt;"Økologisk",1-VLOOKUP($B173,Landbrug!$B$6:$E$8,4,FALSE),VLOOKUP($B173,Landbrug!$B$6:$E$8,4,FALSE))</f>
        <v>981800.42573609971</v>
      </c>
    </row>
    <row r="174" spans="1:9" hidden="1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2" cm="1">
        <f t="array" ref="G174">(INDEX([1]Dyrehold!$C$14:$E$17,MATCH(1,(A174=[1]Dyrehold!$A$14:$A$17)*(C174=[1]Dyrehold!$B$14:$B$17),0),MATCH($B174,[1]Dyrehold!$C$13:$E$13,0)))</f>
        <v>15447</v>
      </c>
      <c r="H174" s="92">
        <f>SUMIFS($G$3:$G$182,$A$3:$A$182,$A174,$B$3:$B$182,$B174)*VLOOKUP($B174,Landbrug!$B$11:$E$13,3,FALSE)*IF($C174&lt;&gt;"Økologisk",1-VLOOKUP($B174,Landbrug!$B$6:$E$8,3,FALSE),VLOOKUP($B174,Landbrug!$B$6:$E$8,3,FALSE))</f>
        <v>92405.237660897488</v>
      </c>
      <c r="I174" s="92">
        <f>SUMIFS($G$3:$G$182,$A$3:$A$182,$A174,$B$3:$B$182,$B174)*VLOOKUP($B174,Landbrug!$B$11:$E$13,4,FALSE)*IF($C174&lt;&gt;"Økologisk",1-VLOOKUP($B174,Landbrug!$B$6:$E$8,4,FALSE),VLOOKUP($B174,Landbrug!$B$6:$E$8,4,FALSE))</f>
        <v>142260.04930899799</v>
      </c>
    </row>
    <row r="175" spans="1:9" hidden="1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2" cm="1">
        <f t="array" ref="G175">(INDEX([1]Dyrehold!$C$14:$E$17,MATCH(1,(A175=[1]Dyrehold!$A$14:$A$17)*(C175=[1]Dyrehold!$B$14:$B$17),0),MATCH($B175,[1]Dyrehold!$C$13:$E$13,0)))</f>
        <v>1184629</v>
      </c>
      <c r="H175" s="92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2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hidden="1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2" cm="1">
        <f t="array" ref="G176">(INDEX([1]Dyrehold!$C$14:$E$17,MATCH(1,(A176=[1]Dyrehold!$A$14:$A$17)*(C176=[1]Dyrehold!$B$14:$B$17),0),MATCH($B176,[1]Dyrehold!$C$13:$E$13,0)))</f>
        <v>82455</v>
      </c>
      <c r="H176" s="92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2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hidden="1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2" cm="1">
        <f t="array" ref="G177">(INDEX([1]Dyrehold!$C$14:$E$17,MATCH(1,(A177=[1]Dyrehold!$A$14:$A$17)*(C177=[1]Dyrehold!$B$14:$B$17),0),MATCH($B177,[1]Dyrehold!$C$13:$E$13,0)))</f>
        <v>207835</v>
      </c>
      <c r="H177" s="92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2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hidden="1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2" cm="1">
        <f t="array" ref="G178">(INDEX([1]Dyrehold!$C$14:$E$17,MATCH(1,(A178=[1]Dyrehold!$A$14:$A$17)*(C178=[1]Dyrehold!$B$14:$B$17),0),MATCH($B178,[1]Dyrehold!$C$13:$E$13,0)))</f>
        <v>16513</v>
      </c>
      <c r="H178" s="92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2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hidden="1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2" cm="1">
        <f t="array" ref="G179">(INDEX([1]Dyrehold!$C$14:$E$17,MATCH(1,(A179=[1]Dyrehold!$A$14:$A$17)*(C179=[1]Dyrehold!$B$14:$B$17),0),MATCH($B179,[1]Dyrehold!$C$13:$E$13,0)))</f>
        <v>18212034</v>
      </c>
      <c r="H179" s="92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2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hidden="1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2" cm="1">
        <f t="array" ref="G180">(INDEX([1]Dyrehold!$C$14:$E$17,MATCH(1,(A180=[1]Dyrehold!$A$14:$A$17)*(C180=[1]Dyrehold!$B$14:$B$17),0),MATCH($B180,[1]Dyrehold!$C$13:$E$13,0)))</f>
        <v>1570560</v>
      </c>
      <c r="H180" s="92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2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hidden="1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2" cm="1">
        <f t="array" ref="G181">(INDEX([1]Dyrehold!$C$14:$E$17,MATCH(1,(A181=[1]Dyrehold!$A$14:$A$17)*(C181=[1]Dyrehold!$B$14:$B$17),0),MATCH($B181,[1]Dyrehold!$C$13:$E$13,0)))</f>
        <v>3062300</v>
      </c>
      <c r="H181" s="92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2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hidden="1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2" cm="1">
        <f t="array" ref="G182">(INDEX([1]Dyrehold!$C$14:$E$17,MATCH(1,(A182=[1]Dyrehold!$A$14:$A$17)*(C182=[1]Dyrehold!$B$14:$B$17),0),MATCH($B182,[1]Dyrehold!$C$13:$E$13,0)))</f>
        <v>214987</v>
      </c>
      <c r="H182" s="92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2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hidden="1" x14ac:dyDescent="0.25">
      <c r="A183" t="s">
        <v>23</v>
      </c>
      <c r="B183" t="s">
        <v>75</v>
      </c>
      <c r="F183" t="str">
        <f t="shared" si="15"/>
        <v>Befolkning</v>
      </c>
      <c r="G183" s="92">
        <f>[1]Befolkningstal!B5</f>
        <v>3133781</v>
      </c>
      <c r="H183" s="92">
        <f>[1]Befolkningstal!C5</f>
        <v>3238884</v>
      </c>
      <c r="I183" s="92">
        <f>[1]Befolkningstal!D5</f>
        <v>3365158</v>
      </c>
    </row>
    <row r="184" spans="1:9" hidden="1" x14ac:dyDescent="0.25">
      <c r="A184" t="s">
        <v>24</v>
      </c>
      <c r="B184" t="s">
        <v>75</v>
      </c>
      <c r="F184" t="str">
        <f t="shared" si="15"/>
        <v>Befolkning</v>
      </c>
      <c r="G184" s="92">
        <f>[1]Befolkningstal!B6</f>
        <v>2672300</v>
      </c>
      <c r="H184" s="92">
        <f>[1]Befolkningstal!C6</f>
        <v>2804401</v>
      </c>
      <c r="I184" s="92">
        <f>[1]Befolkningstal!D6</f>
        <v>2935892</v>
      </c>
    </row>
    <row r="185" spans="1:9" hidden="1" x14ac:dyDescent="0.25">
      <c r="A185" t="s">
        <v>23</v>
      </c>
      <c r="B185" t="s">
        <v>182</v>
      </c>
      <c r="D185" t="s">
        <v>182</v>
      </c>
      <c r="E185" s="139" t="s">
        <v>181</v>
      </c>
      <c r="F185" t="str">
        <f>CONCATENATE("Areal-",LOWER(B185))</f>
        <v>Areal-basisskov</v>
      </c>
      <c r="G185" s="101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1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1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hidden="1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1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1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5990.8547557908014</v>
      </c>
      <c r="I186" s="101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3672.2025152281963</v>
      </c>
    </row>
    <row r="187" spans="1:9" hidden="1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1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1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602.03212367175934</v>
      </c>
      <c r="I187" s="101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3719.4227792491643</v>
      </c>
    </row>
    <row r="188" spans="1:9" hidden="1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1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1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1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5990.8547557908014</v>
      </c>
    </row>
    <row r="189" spans="1:9" hidden="1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1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1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1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600.04669858305454</v>
      </c>
    </row>
    <row r="190" spans="1:9" hidden="1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1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1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53925.95798889982</v>
      </c>
      <c r="I190" s="101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34274.402036728592</v>
      </c>
    </row>
    <row r="191" spans="1:9" hidden="1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1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1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5410.0239262632222</v>
      </c>
      <c r="I191" s="101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33725.234224713757</v>
      </c>
    </row>
    <row r="192" spans="1:9" hidden="1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1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1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1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52603.55245068777</v>
      </c>
    </row>
    <row r="193" spans="1:9" hidden="1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1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1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1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5239.5520275308181</v>
      </c>
    </row>
    <row r="194" spans="1:9" hidden="1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1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1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5990.8547557908014</v>
      </c>
      <c r="I194" s="101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3671.3116940007144</v>
      </c>
    </row>
    <row r="195" spans="1:9" hidden="1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1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1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602.03212367175934</v>
      </c>
      <c r="I195" s="101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3719.4227792491643</v>
      </c>
    </row>
    <row r="196" spans="1:9" hidden="1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1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1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1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5990.8547557908014</v>
      </c>
    </row>
    <row r="197" spans="1:9" hidden="1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1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1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1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600.93751981053799</v>
      </c>
    </row>
    <row r="198" spans="1:9" hidden="1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1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1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53929.586607487312</v>
      </c>
      <c r="I198" s="101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34380.26923722338</v>
      </c>
    </row>
    <row r="199" spans="1:9" hidden="1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1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1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5406.3953076757343</v>
      </c>
      <c r="I199" s="101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33825.331863169748</v>
      </c>
    </row>
    <row r="200" spans="1:9" hidden="1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1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1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1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52404.419555420332</v>
      </c>
    </row>
    <row r="201" spans="1:9" hidden="1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1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1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1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5232.7200838474982</v>
      </c>
    </row>
    <row r="202" spans="1:9" hidden="1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1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1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1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hidden="1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1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1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1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hidden="1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1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1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1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hidden="1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1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1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1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hidden="1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1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1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1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hidden="1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1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1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1058.8969643834553</v>
      </c>
      <c r="I207" s="101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692.58198008610782</v>
      </c>
    </row>
    <row r="208" spans="1:9" hidden="1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1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1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106.75219451005873</v>
      </c>
      <c r="I208" s="101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706.63266688518274</v>
      </c>
    </row>
    <row r="209" spans="1:9" hidden="1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1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1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1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1058.8969643834553</v>
      </c>
    </row>
    <row r="210" spans="1:9" hidden="1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1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1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1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106.40013940050427</v>
      </c>
    </row>
    <row r="211" spans="1:9" hidden="1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1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1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9531.5382604265742</v>
      </c>
      <c r="I211" s="101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6453.4988841159684</v>
      </c>
    </row>
    <row r="212" spans="1:9" hidden="1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1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1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959.30416961505148</v>
      </c>
      <c r="I212" s="101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6400.3081467191514</v>
      </c>
    </row>
    <row r="213" spans="1:9" hidden="1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1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1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1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9297.7225933179252</v>
      </c>
    </row>
    <row r="214" spans="1:9" hidden="1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1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1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1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929.07613264421627</v>
      </c>
    </row>
    <row r="215" spans="1:9" hidden="1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1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1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1058.8969643834553</v>
      </c>
      <c r="I215" s="101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692.42401987566257</v>
      </c>
    </row>
    <row r="216" spans="1:9" hidden="1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1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1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106.75219451005873</v>
      </c>
      <c r="I216" s="101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706.63266688518274</v>
      </c>
    </row>
    <row r="217" spans="1:9" hidden="1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1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1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1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1058.8969643834553</v>
      </c>
    </row>
    <row r="218" spans="1:9" hidden="1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1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1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1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106.55809961094953</v>
      </c>
    </row>
    <row r="219" spans="1:9" hidden="1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1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1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9532.181686220687</v>
      </c>
      <c r="I219" s="101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6473.7861562589387</v>
      </c>
    </row>
    <row r="220" spans="1:9" hidden="1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1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1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958.66074382093962</v>
      </c>
      <c r="I220" s="101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6416.4042061689133</v>
      </c>
    </row>
    <row r="221" spans="1:9" hidden="1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1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1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1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9262.5507003715484</v>
      </c>
    </row>
    <row r="222" spans="1:9" hidden="1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1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1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1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927.86469399786017</v>
      </c>
    </row>
    <row r="223" spans="1:9" hidden="1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1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1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1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hidden="1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1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1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1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hidden="1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1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1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1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hidden="1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1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1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1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hidden="1" x14ac:dyDescent="0.25">
      <c r="A227" t="s">
        <v>23</v>
      </c>
      <c r="B227" t="s">
        <v>98</v>
      </c>
      <c r="F227" t="str">
        <f>CONCATENATE(B227,"eareal")</f>
        <v>Muslingeareal</v>
      </c>
      <c r="G227" s="100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0">
        <f>SUMIFS(Havbrug!D$4:D$7,Havbrug!$A$4:$A$7,'Direkte input'!$B227,Havbrug!$B$4:$B$7,'Direkte input'!$A227)*SUMIFS(Havbrug!$F$4:$F$7,Havbrug!$A$4:$A$7,'Direkte input'!$B227,Havbrug!$B$4:$B$7,'Direkte input'!$A227)</f>
        <v>440.29999999999995</v>
      </c>
      <c r="I227" s="100">
        <f>SUMIFS(Havbrug!E$4:E$7,Havbrug!$A$4:$A$7,'Direkte input'!$B227,Havbrug!$B$4:$B$7,'Direkte input'!$A227)*SUMIFS(Havbrug!$F$4:$F$7,Havbrug!$A$4:$A$7,'Direkte input'!$B227,Havbrug!$B$4:$B$7,'Direkte input'!$A227)</f>
        <v>440.29999999999995</v>
      </c>
    </row>
    <row r="228" spans="1:9" hidden="1" x14ac:dyDescent="0.25">
      <c r="A228" t="s">
        <v>24</v>
      </c>
      <c r="B228" t="s">
        <v>98</v>
      </c>
      <c r="F228" t="str">
        <f>CONCATENATE(B228,"eareal")</f>
        <v>Muslingeareal</v>
      </c>
      <c r="G228" s="100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0">
        <f>SUMIFS(Havbrug!D$4:D$7,Havbrug!$A$4:$A$7,'Direkte input'!$B228,Havbrug!$B$4:$B$7,'Direkte input'!$A228)*SUMIFS(Havbrug!$F$4:$F$7,Havbrug!$A$4:$A$7,'Direkte input'!$B228,Havbrug!$B$4:$B$7,'Direkte input'!$A228)</f>
        <v>0.6</v>
      </c>
      <c r="I228" s="100">
        <f>SUMIFS(Havbrug!E$4:E$7,Havbrug!$A$4:$A$7,'Direkte input'!$B228,Havbrug!$B$4:$B$7,'Direkte input'!$A228)*SUMIFS(Havbrug!$F$4:$F$7,Havbrug!$A$4:$A$7,'Direkte input'!$B228,Havbrug!$B$4:$B$7,'Direkte input'!$A228)</f>
        <v>0.6</v>
      </c>
    </row>
    <row r="229" spans="1:9" hidden="1" x14ac:dyDescent="0.25">
      <c r="A229" t="s">
        <v>23</v>
      </c>
      <c r="B229" t="s">
        <v>99</v>
      </c>
      <c r="F229" t="str">
        <f>CONCATENATE(B229,"farmareal")</f>
        <v>Tangfarmareal</v>
      </c>
      <c r="G229" s="100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0">
        <f>SUMIFS(Havbrug!D$4:D$7,Havbrug!$A$4:$A$7,'Direkte input'!$B229,Havbrug!$B$4:$B$7,'Direkte input'!$A229)*SUMIFS(Havbrug!$F$4:$F$7,Havbrug!$A$4:$A$7,'Direkte input'!$B229,Havbrug!$B$4:$B$7,'Direkte input'!$A229)</f>
        <v>17</v>
      </c>
      <c r="I229" s="100">
        <f>SUMIFS(Havbrug!E$4:E$7,Havbrug!$A$4:$A$7,'Direkte input'!$B229,Havbrug!$B$4:$B$7,'Direkte input'!$A229)*SUMIFS(Havbrug!$F$4:$F$7,Havbrug!$A$4:$A$7,'Direkte input'!$B229,Havbrug!$B$4:$B$7,'Direkte input'!$A229)</f>
        <v>17</v>
      </c>
    </row>
    <row r="230" spans="1:9" hidden="1" x14ac:dyDescent="0.25">
      <c r="A230" t="s">
        <v>24</v>
      </c>
      <c r="B230" t="s">
        <v>99</v>
      </c>
      <c r="F230" t="str">
        <f>CONCATENATE(B230,"farmareal")</f>
        <v>Tangfarmareal</v>
      </c>
      <c r="G230" s="100">
        <f>SUMIFS(Havbrug!C$4:C$7,Havbrug!$A$4:$A$7,'Direkte input'!$B230,Havbrug!$B$4:$B$7,'Direkte input'!$A230)*SUMIFS(Havbrug!$F$4:$F$7,Havbrug!$A$4:$A$7,'Direkte input'!$B230,Havbrug!$B$4:$B$7,'Direkte input'!$A230)</f>
        <v>0</v>
      </c>
      <c r="H230" s="100">
        <f>SUMIFS(Havbrug!D$4:D$7,Havbrug!$A$4:$A$7,'Direkte input'!$B230,Havbrug!$B$4:$B$7,'Direkte input'!$A230)*SUMIFS(Havbrug!$F$4:$F$7,Havbrug!$A$4:$A$7,'Direkte input'!$B230,Havbrug!$B$4:$B$7,'Direkte input'!$A230)</f>
        <v>0</v>
      </c>
      <c r="I230" s="100">
        <f>SUMIFS(Havbrug!E$4:E$7,Havbrug!$A$4:$A$7,'Direkte input'!$B230,Havbrug!$B$4:$B$7,'Direkte input'!$A230)*SUMIFS(Havbrug!$F$4:$F$7,Havbrug!$A$4:$A$7,'Direkte input'!$B230,Havbrug!$B$4:$B$7,'Direkte input'!$A230)</f>
        <v>0</v>
      </c>
    </row>
  </sheetData>
  <autoFilter ref="A2:I230" xr:uid="{E65CCAA6-B7D2-4926-A470-3639DE0D1070}">
    <filterColumn colId="1">
      <filters>
        <filter val="Korn"/>
      </filters>
    </filterColumn>
  </autoFilter>
  <phoneticPr fontId="10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30" workbookViewId="0">
      <selection activeCell="E338" sqref="E338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309</v>
      </c>
      <c r="G1" t="s">
        <v>223</v>
      </c>
      <c r="I1" s="140" t="s">
        <v>189</v>
      </c>
      <c r="J1" s="140"/>
      <c r="K1" s="140"/>
      <c r="L1" s="140"/>
      <c r="M1" s="140"/>
    </row>
    <row r="2" spans="1:13" x14ac:dyDescent="0.25">
      <c r="A2" t="s">
        <v>127</v>
      </c>
      <c r="B2" t="s">
        <v>23</v>
      </c>
      <c r="C2" s="1" t="str">
        <f>Adfærd!A17</f>
        <v>Korn</v>
      </c>
      <c r="D2">
        <f t="shared" ref="D2:D15" si="0">År1</f>
        <v>2019</v>
      </c>
      <c r="E2" s="74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" t="str">
        <f>Adfærd!A18</f>
        <v>Grøntsager</v>
      </c>
      <c r="D3">
        <f t="shared" si="0"/>
        <v>2019</v>
      </c>
      <c r="E3" s="74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" t="str">
        <f>Adfærd!A19</f>
        <v>Kartofler</v>
      </c>
      <c r="D4">
        <f t="shared" si="0"/>
        <v>2019</v>
      </c>
      <c r="E4" s="74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" t="str">
        <f>Adfærd!A20</f>
        <v>Svinekød</v>
      </c>
      <c r="D5">
        <f t="shared" si="0"/>
        <v>2019</v>
      </c>
      <c r="E5" s="74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" t="str">
        <f>Adfærd!A21</f>
        <v>Oksekød</v>
      </c>
      <c r="D6">
        <f t="shared" si="0"/>
        <v>2019</v>
      </c>
      <c r="E6" s="74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" t="str">
        <f>Adfærd!A22</f>
        <v>Bælgsæd</v>
      </c>
      <c r="D7">
        <f t="shared" si="0"/>
        <v>2019</v>
      </c>
      <c r="E7" s="74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" t="str">
        <f>Adfærd!A23</f>
        <v>Muslinger</v>
      </c>
      <c r="D8">
        <f t="shared" si="0"/>
        <v>2019</v>
      </c>
      <c r="E8" s="74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" t="str">
        <f>Adfærd!A24</f>
        <v>Tang</v>
      </c>
      <c r="D9">
        <f t="shared" si="0"/>
        <v>2019</v>
      </c>
      <c r="E9" s="74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" t="str">
        <f>Adfærd!A25</f>
        <v>Kunstigt kød</v>
      </c>
      <c r="D10">
        <f t="shared" si="0"/>
        <v>2019</v>
      </c>
      <c r="E10" s="74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" t="str">
        <f>Adfærd!A26</f>
        <v>Mejeriprodukter</v>
      </c>
      <c r="D11">
        <f t="shared" si="0"/>
        <v>2019</v>
      </c>
      <c r="E11" s="74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" t="str">
        <f>Adfærd!A27</f>
        <v>Fjerkrækød</v>
      </c>
      <c r="D12">
        <f t="shared" si="0"/>
        <v>2019</v>
      </c>
      <c r="E12" s="74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" t="str">
        <f>Adfærd!A28</f>
        <v>Æg</v>
      </c>
      <c r="D13">
        <f t="shared" si="0"/>
        <v>2019</v>
      </c>
      <c r="E13" s="74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" t="str">
        <f>Adfærd!A29</f>
        <v>Frugt</v>
      </c>
      <c r="D14">
        <f t="shared" si="0"/>
        <v>2019</v>
      </c>
      <c r="E14" s="74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" t="str">
        <f>Adfærd!A30</f>
        <v>Fisk</v>
      </c>
      <c r="D15">
        <f t="shared" si="0"/>
        <v>2019</v>
      </c>
      <c r="E15" s="74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" t="str">
        <f>Adfærd!A17</f>
        <v>Korn</v>
      </c>
      <c r="D16">
        <f t="shared" ref="D16:D29" si="1">År2</f>
        <v>2030</v>
      </c>
      <c r="E16" s="74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" t="str">
        <f>Adfærd!A18</f>
        <v>Grøntsager</v>
      </c>
      <c r="D17">
        <f t="shared" si="1"/>
        <v>2030</v>
      </c>
      <c r="E17" s="74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" t="str">
        <f>Adfærd!A19</f>
        <v>Kartofler</v>
      </c>
      <c r="D18">
        <f t="shared" si="1"/>
        <v>2030</v>
      </c>
      <c r="E18" s="74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" t="str">
        <f>Adfærd!A20</f>
        <v>Svinekød</v>
      </c>
      <c r="D19">
        <f t="shared" si="1"/>
        <v>2030</v>
      </c>
      <c r="E19" s="74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" t="str">
        <f>Adfærd!A21</f>
        <v>Oksekød</v>
      </c>
      <c r="D20">
        <f t="shared" si="1"/>
        <v>2030</v>
      </c>
      <c r="E20" s="74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" t="str">
        <f>Adfærd!A22</f>
        <v>Bælgsæd</v>
      </c>
      <c r="D21">
        <f t="shared" si="1"/>
        <v>2030</v>
      </c>
      <c r="E21" s="74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" t="str">
        <f>Adfærd!A23</f>
        <v>Muslinger</v>
      </c>
      <c r="D22">
        <f t="shared" si="1"/>
        <v>2030</v>
      </c>
      <c r="E22" s="74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" t="str">
        <f>Adfærd!A24</f>
        <v>Tang</v>
      </c>
      <c r="D23">
        <f t="shared" si="1"/>
        <v>2030</v>
      </c>
      <c r="E23" s="74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" t="str">
        <f>Adfærd!A25</f>
        <v>Kunstigt kød</v>
      </c>
      <c r="D24">
        <f t="shared" si="1"/>
        <v>2030</v>
      </c>
      <c r="E24" s="74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" t="str">
        <f>Adfærd!A26</f>
        <v>Mejeriprodukter</v>
      </c>
      <c r="D25">
        <f t="shared" si="1"/>
        <v>2030</v>
      </c>
      <c r="E25" s="74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" t="str">
        <f>Adfærd!A27</f>
        <v>Fjerkrækød</v>
      </c>
      <c r="D26">
        <f t="shared" si="1"/>
        <v>2030</v>
      </c>
      <c r="E26" s="74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" t="str">
        <f>Adfærd!A28</f>
        <v>Æg</v>
      </c>
      <c r="D27">
        <f t="shared" si="1"/>
        <v>2030</v>
      </c>
      <c r="E27" s="74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" t="str">
        <f>Adfærd!A29</f>
        <v>Frugt</v>
      </c>
      <c r="D28">
        <f t="shared" si="1"/>
        <v>2030</v>
      </c>
      <c r="E28" s="74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" t="str">
        <f>Adfærd!A30</f>
        <v>Fisk</v>
      </c>
      <c r="D29">
        <f t="shared" si="1"/>
        <v>2030</v>
      </c>
      <c r="E29" s="74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" t="str">
        <f>Adfærd!A17</f>
        <v>Korn</v>
      </c>
      <c r="D30">
        <f t="shared" ref="D30:D43" si="2">År3</f>
        <v>2050</v>
      </c>
      <c r="E30" s="74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" t="str">
        <f>Adfærd!A18</f>
        <v>Grøntsager</v>
      </c>
      <c r="D31">
        <f t="shared" si="2"/>
        <v>2050</v>
      </c>
      <c r="E31" s="74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" t="str">
        <f>Adfærd!A19</f>
        <v>Kartofler</v>
      </c>
      <c r="D32">
        <f t="shared" si="2"/>
        <v>2050</v>
      </c>
      <c r="E32" s="74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" t="str">
        <f>Adfærd!A20</f>
        <v>Svinekød</v>
      </c>
      <c r="D33">
        <f t="shared" si="2"/>
        <v>2050</v>
      </c>
      <c r="E33" s="74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" t="str">
        <f>Adfærd!A21</f>
        <v>Oksekød</v>
      </c>
      <c r="D34">
        <f t="shared" si="2"/>
        <v>2050</v>
      </c>
      <c r="E34" s="74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" t="str">
        <f>Adfærd!A22</f>
        <v>Bælgsæd</v>
      </c>
      <c r="D35">
        <f t="shared" si="2"/>
        <v>2050</v>
      </c>
      <c r="E35" s="74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" t="str">
        <f>Adfærd!A23</f>
        <v>Muslinger</v>
      </c>
      <c r="D36">
        <f t="shared" si="2"/>
        <v>2050</v>
      </c>
      <c r="E36" s="74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" t="str">
        <f>Adfærd!A24</f>
        <v>Tang</v>
      </c>
      <c r="D37">
        <f t="shared" si="2"/>
        <v>2050</v>
      </c>
      <c r="E37" s="74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" t="str">
        <f>Adfærd!A25</f>
        <v>Kunstigt kød</v>
      </c>
      <c r="D38">
        <f t="shared" si="2"/>
        <v>2050</v>
      </c>
      <c r="E38" s="74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" t="str">
        <f>Adfærd!A26</f>
        <v>Mejeriprodukter</v>
      </c>
      <c r="D39">
        <f t="shared" si="2"/>
        <v>2050</v>
      </c>
      <c r="E39" s="74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" t="str">
        <f>Adfærd!A27</f>
        <v>Fjerkrækød</v>
      </c>
      <c r="D40">
        <f t="shared" si="2"/>
        <v>2050</v>
      </c>
      <c r="E40" s="74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" t="str">
        <f>Adfærd!A28</f>
        <v>Æg</v>
      </c>
      <c r="D41">
        <f t="shared" si="2"/>
        <v>2050</v>
      </c>
      <c r="E41" s="74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" t="str">
        <f>Adfærd!A29</f>
        <v>Frugt</v>
      </c>
      <c r="D42">
        <f t="shared" si="2"/>
        <v>2050</v>
      </c>
      <c r="E42" s="74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" t="str">
        <f>Adfærd!A30</f>
        <v>Fisk</v>
      </c>
      <c r="D43">
        <f t="shared" si="2"/>
        <v>2050</v>
      </c>
      <c r="E43" s="74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" t="str">
        <f>Adfærd!A17</f>
        <v>Korn</v>
      </c>
      <c r="D44">
        <f t="shared" ref="D44:D57" si="3">År1</f>
        <v>2019</v>
      </c>
      <c r="E44" s="74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" t="str">
        <f>Adfærd!A18</f>
        <v>Grøntsager</v>
      </c>
      <c r="D45">
        <f t="shared" si="3"/>
        <v>2019</v>
      </c>
      <c r="E45" s="74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" t="str">
        <f>Adfærd!A19</f>
        <v>Kartofler</v>
      </c>
      <c r="D46">
        <f t="shared" si="3"/>
        <v>2019</v>
      </c>
      <c r="E46" s="74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" t="str">
        <f>Adfærd!A20</f>
        <v>Svinekød</v>
      </c>
      <c r="D47">
        <f t="shared" si="3"/>
        <v>2019</v>
      </c>
      <c r="E47" s="74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" t="str">
        <f>Adfærd!A21</f>
        <v>Oksekød</v>
      </c>
      <c r="D48">
        <f t="shared" si="3"/>
        <v>2019</v>
      </c>
      <c r="E48" s="74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" t="str">
        <f>Adfærd!A22</f>
        <v>Bælgsæd</v>
      </c>
      <c r="D49">
        <f t="shared" si="3"/>
        <v>2019</v>
      </c>
      <c r="E49" s="74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" t="str">
        <f>Adfærd!A23</f>
        <v>Muslinger</v>
      </c>
      <c r="D50">
        <f t="shared" si="3"/>
        <v>2019</v>
      </c>
      <c r="E50" s="74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" t="str">
        <f>Adfærd!A24</f>
        <v>Tang</v>
      </c>
      <c r="D51">
        <f t="shared" si="3"/>
        <v>2019</v>
      </c>
      <c r="E51" s="74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" t="str">
        <f>Adfærd!A25</f>
        <v>Kunstigt kød</v>
      </c>
      <c r="D52">
        <f t="shared" si="3"/>
        <v>2019</v>
      </c>
      <c r="E52" s="74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" t="str">
        <f>Adfærd!A26</f>
        <v>Mejeriprodukter</v>
      </c>
      <c r="D53">
        <f t="shared" si="3"/>
        <v>2019</v>
      </c>
      <c r="E53" s="74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" t="str">
        <f>Adfærd!A27</f>
        <v>Fjerkrækød</v>
      </c>
      <c r="D54">
        <f t="shared" si="3"/>
        <v>2019</v>
      </c>
      <c r="E54" s="74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" t="str">
        <f>Adfærd!A28</f>
        <v>Æg</v>
      </c>
      <c r="D55">
        <f t="shared" si="3"/>
        <v>2019</v>
      </c>
      <c r="E55" s="74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" t="str">
        <f>Adfærd!A29</f>
        <v>Frugt</v>
      </c>
      <c r="D56">
        <f t="shared" si="3"/>
        <v>2019</v>
      </c>
      <c r="E56" s="74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" t="str">
        <f>Adfærd!A30</f>
        <v>Fisk</v>
      </c>
      <c r="D57">
        <f t="shared" si="3"/>
        <v>2019</v>
      </c>
      <c r="E57" s="74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" t="str">
        <f>Adfærd!A17</f>
        <v>Korn</v>
      </c>
      <c r="D58">
        <f t="shared" ref="D58:D71" si="4">År2</f>
        <v>2030</v>
      </c>
      <c r="E58" s="74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" t="str">
        <f>Adfærd!A18</f>
        <v>Grøntsager</v>
      </c>
      <c r="D59">
        <f t="shared" si="4"/>
        <v>2030</v>
      </c>
      <c r="E59" s="74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" t="str">
        <f>Adfærd!A19</f>
        <v>Kartofler</v>
      </c>
      <c r="D60">
        <f t="shared" si="4"/>
        <v>2030</v>
      </c>
      <c r="E60" s="74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" t="str">
        <f>Adfærd!A20</f>
        <v>Svinekød</v>
      </c>
      <c r="D61">
        <f t="shared" si="4"/>
        <v>2030</v>
      </c>
      <c r="E61" s="74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" t="str">
        <f>Adfærd!A21</f>
        <v>Oksekød</v>
      </c>
      <c r="D62">
        <f t="shared" si="4"/>
        <v>2030</v>
      </c>
      <c r="E62" s="74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" t="str">
        <f>Adfærd!A22</f>
        <v>Bælgsæd</v>
      </c>
      <c r="D63">
        <f t="shared" si="4"/>
        <v>2030</v>
      </c>
      <c r="E63" s="74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" t="str">
        <f>Adfærd!A23</f>
        <v>Muslinger</v>
      </c>
      <c r="D64">
        <f t="shared" si="4"/>
        <v>2030</v>
      </c>
      <c r="E64" s="74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" t="str">
        <f>Adfærd!A24</f>
        <v>Tang</v>
      </c>
      <c r="D65">
        <f t="shared" si="4"/>
        <v>2030</v>
      </c>
      <c r="E65" s="74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" t="str">
        <f>Adfærd!A25</f>
        <v>Kunstigt kød</v>
      </c>
      <c r="D66">
        <f t="shared" si="4"/>
        <v>2030</v>
      </c>
      <c r="E66" s="74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" t="str">
        <f>Adfærd!A26</f>
        <v>Mejeriprodukter</v>
      </c>
      <c r="D67">
        <f t="shared" si="4"/>
        <v>2030</v>
      </c>
      <c r="E67" s="74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" t="str">
        <f>Adfærd!A27</f>
        <v>Fjerkrækød</v>
      </c>
      <c r="D68">
        <f t="shared" si="4"/>
        <v>2030</v>
      </c>
      <c r="E68" s="74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" t="str">
        <f>Adfærd!A28</f>
        <v>Æg</v>
      </c>
      <c r="D69">
        <f t="shared" si="4"/>
        <v>2030</v>
      </c>
      <c r="E69" s="74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" t="str">
        <f>Adfærd!A29</f>
        <v>Frugt</v>
      </c>
      <c r="D70">
        <f t="shared" si="4"/>
        <v>2030</v>
      </c>
      <c r="E70" s="74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" t="str">
        <f>Adfærd!A30</f>
        <v>Fisk</v>
      </c>
      <c r="D71">
        <f t="shared" si="4"/>
        <v>2030</v>
      </c>
      <c r="E71" s="74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" t="str">
        <f>Adfærd!A17</f>
        <v>Korn</v>
      </c>
      <c r="D72">
        <f t="shared" ref="D72:D85" si="5">År3</f>
        <v>2050</v>
      </c>
      <c r="E72" s="74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" t="str">
        <f>Adfærd!A18</f>
        <v>Grøntsager</v>
      </c>
      <c r="D73">
        <f t="shared" si="5"/>
        <v>2050</v>
      </c>
      <c r="E73" s="74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" t="str">
        <f>Adfærd!A19</f>
        <v>Kartofler</v>
      </c>
      <c r="D74">
        <f t="shared" si="5"/>
        <v>2050</v>
      </c>
      <c r="E74" s="74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" t="str">
        <f>Adfærd!A20</f>
        <v>Svinekød</v>
      </c>
      <c r="D75">
        <f t="shared" si="5"/>
        <v>2050</v>
      </c>
      <c r="E75" s="74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" t="str">
        <f>Adfærd!A21</f>
        <v>Oksekød</v>
      </c>
      <c r="D76">
        <f t="shared" si="5"/>
        <v>2050</v>
      </c>
      <c r="E76" s="74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" t="str">
        <f>Adfærd!A22</f>
        <v>Bælgsæd</v>
      </c>
      <c r="D77">
        <f t="shared" si="5"/>
        <v>2050</v>
      </c>
      <c r="E77" s="74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" t="str">
        <f>Adfærd!A23</f>
        <v>Muslinger</v>
      </c>
      <c r="D78">
        <f t="shared" si="5"/>
        <v>2050</v>
      </c>
      <c r="E78" s="74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" t="str">
        <f>Adfærd!A24</f>
        <v>Tang</v>
      </c>
      <c r="D79">
        <f t="shared" si="5"/>
        <v>2050</v>
      </c>
      <c r="E79" s="74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" t="str">
        <f>Adfærd!A25</f>
        <v>Kunstigt kød</v>
      </c>
      <c r="D80">
        <f t="shared" si="5"/>
        <v>2050</v>
      </c>
      <c r="E80" s="74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" t="str">
        <f>Adfærd!A26</f>
        <v>Mejeriprodukter</v>
      </c>
      <c r="D81">
        <f t="shared" si="5"/>
        <v>2050</v>
      </c>
      <c r="E81" s="74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" t="str">
        <f>Adfærd!A27</f>
        <v>Fjerkrækød</v>
      </c>
      <c r="D82">
        <f t="shared" si="5"/>
        <v>2050</v>
      </c>
      <c r="E82" s="74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" t="str">
        <f>Adfærd!A28</f>
        <v>Æg</v>
      </c>
      <c r="D83">
        <f t="shared" si="5"/>
        <v>2050</v>
      </c>
      <c r="E83" s="74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" t="str">
        <f>Adfærd!A29</f>
        <v>Frugt</v>
      </c>
      <c r="D84">
        <f t="shared" si="5"/>
        <v>2050</v>
      </c>
      <c r="E84" s="74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" t="str">
        <f>Adfærd!A30</f>
        <v>Fisk</v>
      </c>
      <c r="D85">
        <f t="shared" si="5"/>
        <v>2050</v>
      </c>
      <c r="E85" s="74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t="str">
        <f>Biogasanlæg!A13</f>
        <v>Kvæggylle</v>
      </c>
      <c r="D87">
        <f t="shared" si="6"/>
        <v>2019</v>
      </c>
      <c r="E87">
        <f ca="1"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t="str">
        <f>Biogasanlæg!A15</f>
        <v>Spildevandsslam</v>
      </c>
      <c r="D89">
        <f t="shared" si="6"/>
        <v>2019</v>
      </c>
      <c r="E89">
        <f ca="1"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t="str">
        <f>Biogasanlæg!A19</f>
        <v>Industriaffald</v>
      </c>
      <c r="D91">
        <f t="shared" si="6"/>
        <v>2019</v>
      </c>
      <c r="E91">
        <f ca="1"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t="str">
        <f>Biogasanlæg!A16</f>
        <v>Dybstrøelse</v>
      </c>
      <c r="D92">
        <f t="shared" si="6"/>
        <v>2019</v>
      </c>
      <c r="E92">
        <f ca="1"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t="str">
        <f>Biogasanlæg!A20</f>
        <v>Halm</v>
      </c>
      <c r="D94">
        <f t="shared" si="6"/>
        <v>2019</v>
      </c>
      <c r="E94" s="284">
        <f ca="1"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10904939.805455904</v>
      </c>
    </row>
    <row r="104" spans="1:5" x14ac:dyDescent="0.25">
      <c r="A104" t="s">
        <v>109</v>
      </c>
      <c r="B104" t="s">
        <v>23</v>
      </c>
      <c r="C104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9737622.5335018374</v>
      </c>
    </row>
    <row r="105" spans="1:5" x14ac:dyDescent="0.25">
      <c r="A105" t="s">
        <v>109</v>
      </c>
      <c r="B105" t="s">
        <v>23</v>
      </c>
      <c r="C105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6257.0446016591122</v>
      </c>
    </row>
    <row r="106" spans="1:5" x14ac:dyDescent="0.25">
      <c r="A106" t="s">
        <v>109</v>
      </c>
      <c r="B106" t="s">
        <v>23</v>
      </c>
      <c r="C106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2980433.248128525</v>
      </c>
    </row>
    <row r="107" spans="1:5" x14ac:dyDescent="0.25">
      <c r="A107" t="s">
        <v>109</v>
      </c>
      <c r="B107" t="s">
        <v>23</v>
      </c>
      <c r="C107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0</v>
      </c>
    </row>
    <row r="108" spans="1:5" x14ac:dyDescent="0.25">
      <c r="A108" t="s">
        <v>109</v>
      </c>
      <c r="B108" t="s">
        <v>23</v>
      </c>
      <c r="C108" t="str">
        <f>Biogasanlæg!A19</f>
        <v>Industriaffald</v>
      </c>
      <c r="D108">
        <f t="shared" si="7"/>
        <v>2030</v>
      </c>
      <c r="E108">
        <f ca="1">IF(B108="Vestdanmark",VLOOKUP(C108,Biogasanlæg!$A$39:$E$55,MATCH(D108,Biogasanlæg!$A$38:$E$38,0),FALSE),VLOOKUP(C108,Biogasanlæg!$I$39:$M$55,MATCH(D108,Biogasanlæg!$I$38:$M$38,0),FALSE))</f>
        <v>0</v>
      </c>
    </row>
    <row r="109" spans="1:5" x14ac:dyDescent="0.25">
      <c r="A109" t="s">
        <v>109</v>
      </c>
      <c r="B109" t="s">
        <v>23</v>
      </c>
      <c r="C109" t="str">
        <f>Biogasanlæg!A16</f>
        <v>Dybstrøelse</v>
      </c>
      <c r="D109">
        <f t="shared" si="7"/>
        <v>2030</v>
      </c>
      <c r="E109">
        <f ca="1">IF(B109="Vestdanmark",VLOOKUP(C109,Biogasanlæg!$A$39:$E$55,MATCH(D109,Biogasanlæg!$A$38:$E$38,0),FALSE),VLOOKUP(C109,Biogasanlæg!$I$39:$M$55,MATCH(D109,Biogasanlæg!$I$38:$M$38,0),FALSE))</f>
        <v>1929250.7965815454</v>
      </c>
    </row>
    <row r="110" spans="1:5" x14ac:dyDescent="0.25">
      <c r="A110" t="s">
        <v>109</v>
      </c>
      <c r="B110" t="s">
        <v>23</v>
      </c>
      <c r="C110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t="str">
        <f>Biogasanlæg!A20</f>
        <v>Halm</v>
      </c>
      <c r="D111">
        <f t="shared" si="7"/>
        <v>2030</v>
      </c>
      <c r="E111">
        <f ca="1">IF(B111="Vestdanmark",VLOOKUP(C111,Biogasanlæg!$A$39:$E$55,MATCH(D111,Biogasanlæg!$A$38:$E$38,0),FALSE),VLOOKUP(C111,Biogasanlæg!$I$39:$M$55,MATCH(D111,Biogasanlæg!$I$38:$M$38,0),FALSE))</f>
        <v>0</v>
      </c>
    </row>
    <row r="112" spans="1:5" x14ac:dyDescent="0.25">
      <c r="A112" t="s">
        <v>109</v>
      </c>
      <c r="B112" t="s">
        <v>23</v>
      </c>
      <c r="C112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0</v>
      </c>
    </row>
    <row r="113" spans="1:5" x14ac:dyDescent="0.25">
      <c r="A113" t="s">
        <v>109</v>
      </c>
      <c r="B113" t="s">
        <v>23</v>
      </c>
      <c r="C113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0</v>
      </c>
    </row>
    <row r="114" spans="1:5" x14ac:dyDescent="0.25">
      <c r="A114" t="s">
        <v>109</v>
      </c>
      <c r="B114" t="s">
        <v>23</v>
      </c>
      <c r="C114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25">
      <c r="A115" t="s">
        <v>109</v>
      </c>
      <c r="B115" t="s">
        <v>23</v>
      </c>
      <c r="C115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25">
      <c r="A116" t="s">
        <v>109</v>
      </c>
      <c r="B116" t="s">
        <v>23</v>
      </c>
      <c r="C116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401960.68859899876</v>
      </c>
    </row>
    <row r="117" spans="1:5" x14ac:dyDescent="0.25">
      <c r="A117" t="s">
        <v>109</v>
      </c>
      <c r="B117" t="s">
        <v>23</v>
      </c>
      <c r="C117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96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11690156.331739446</v>
      </c>
    </row>
    <row r="121" spans="1:5" x14ac:dyDescent="0.25">
      <c r="A121" t="s">
        <v>109</v>
      </c>
      <c r="B121" t="s">
        <v>23</v>
      </c>
      <c r="C121" s="96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11461865.852294842</v>
      </c>
    </row>
    <row r="122" spans="1:5" x14ac:dyDescent="0.25">
      <c r="A122" t="s">
        <v>109</v>
      </c>
      <c r="B122" t="s">
        <v>23</v>
      </c>
      <c r="C122" s="96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7753.9785502341792</v>
      </c>
    </row>
    <row r="123" spans="1:5" x14ac:dyDescent="0.25">
      <c r="A123" t="s">
        <v>109</v>
      </c>
      <c r="B123" t="s">
        <v>23</v>
      </c>
      <c r="C123" s="96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3709649.3380054114</v>
      </c>
    </row>
    <row r="124" spans="1:5" x14ac:dyDescent="0.25">
      <c r="A124" t="s">
        <v>109</v>
      </c>
      <c r="B124" t="s">
        <v>23</v>
      </c>
      <c r="C124" s="96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0</v>
      </c>
    </row>
    <row r="125" spans="1:5" x14ac:dyDescent="0.25">
      <c r="A125" t="s">
        <v>109</v>
      </c>
      <c r="B125" t="s">
        <v>23</v>
      </c>
      <c r="C125" s="96" t="str">
        <f>Biogasanlæg!A19</f>
        <v>Industriaffald</v>
      </c>
      <c r="D125">
        <f t="shared" si="8"/>
        <v>2050</v>
      </c>
      <c r="E125">
        <f ca="1">IF(B125="Vestdanmark",VLOOKUP(C125,Biogasanlæg!$A$39:$E$55,MATCH(D125,Biogasanlæg!$A$38:$E$38,0),FALSE),VLOOKUP(C125,Biogasanlæg!$I$39:$M$55,MATCH(D125,Biogasanlæg!$I$38:$M$38,0),FALSE))</f>
        <v>0</v>
      </c>
    </row>
    <row r="126" spans="1:5" x14ac:dyDescent="0.25">
      <c r="A126" t="s">
        <v>109</v>
      </c>
      <c r="B126" t="s">
        <v>23</v>
      </c>
      <c r="C126" s="96" t="str">
        <f>Biogasanlæg!A16</f>
        <v>Dybstrøelse</v>
      </c>
      <c r="D126">
        <f t="shared" si="8"/>
        <v>2050</v>
      </c>
      <c r="E126">
        <f ca="1">IF(B126="Vestdanmark",VLOOKUP(C126,Biogasanlæg!$A$39:$E$55,MATCH(D126,Biogasanlæg!$A$38:$E$38,0),FALSE),VLOOKUP(C126,Biogasanlæg!$I$39:$M$55,MATCH(D126,Biogasanlæg!$I$38:$M$38,0),FALSE))</f>
        <v>2283371.9816891025</v>
      </c>
    </row>
    <row r="127" spans="1:5" x14ac:dyDescent="0.25">
      <c r="A127" t="s">
        <v>109</v>
      </c>
      <c r="B127" t="s">
        <v>23</v>
      </c>
      <c r="C127" s="96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96" t="str">
        <f>Biogasanlæg!A20</f>
        <v>Halm</v>
      </c>
      <c r="D128">
        <f t="shared" si="8"/>
        <v>2050</v>
      </c>
      <c r="E128">
        <f ca="1">IF(B128="Vestdanmark",VLOOKUP(C128,Biogasanlæg!$A$39:$E$55,MATCH(D128,Biogasanlæg!$A$38:$E$38,0),FALSE),VLOOKUP(C128,Biogasanlæg!$I$39:$M$55,MATCH(D128,Biogasanlæg!$I$38:$M$38,0),FALSE))</f>
        <v>0</v>
      </c>
    </row>
    <row r="129" spans="1:5" x14ac:dyDescent="0.25">
      <c r="A129" t="s">
        <v>109</v>
      </c>
      <c r="B129" t="s">
        <v>23</v>
      </c>
      <c r="C129" s="96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25">
      <c r="A130" t="s">
        <v>109</v>
      </c>
      <c r="B130" t="s">
        <v>23</v>
      </c>
      <c r="C130" s="96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25">
      <c r="A131" t="s">
        <v>109</v>
      </c>
      <c r="B131" t="s">
        <v>23</v>
      </c>
      <c r="C131" s="96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0</v>
      </c>
    </row>
    <row r="132" spans="1:5" x14ac:dyDescent="0.25">
      <c r="A132" t="s">
        <v>109</v>
      </c>
      <c r="B132" t="s">
        <v>23</v>
      </c>
      <c r="C132" s="96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25">
      <c r="A133" t="s">
        <v>109</v>
      </c>
      <c r="B133" t="s">
        <v>23</v>
      </c>
      <c r="C133" s="96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523381.79192356829</v>
      </c>
    </row>
    <row r="134" spans="1:5" x14ac:dyDescent="0.25">
      <c r="A134" t="s">
        <v>109</v>
      </c>
      <c r="B134" t="s">
        <v>23</v>
      </c>
      <c r="C134" s="96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96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96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96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96" t="str">
        <f>Biogasanlæg!A13</f>
        <v>Kvæggylle</v>
      </c>
      <c r="D138">
        <f t="shared" si="9"/>
        <v>2019</v>
      </c>
      <c r="E138">
        <f ca="1"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96" t="str">
        <f>Biogasanlæg!A14</f>
        <v>Fjerkrægylle</v>
      </c>
      <c r="D139">
        <f t="shared" si="9"/>
        <v>2019</v>
      </c>
      <c r="E139">
        <f ca="1"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96" t="str">
        <f>Biogasanlæg!A15</f>
        <v>Spildevandsslam</v>
      </c>
      <c r="D140">
        <f t="shared" si="9"/>
        <v>2019</v>
      </c>
      <c r="E140">
        <f ca="1"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96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96" t="str">
        <f>Biogasanlæg!A19</f>
        <v>Industriaffald</v>
      </c>
      <c r="D142">
        <f t="shared" si="9"/>
        <v>2019</v>
      </c>
      <c r="E142">
        <f ca="1"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96" t="str">
        <f>Biogasanlæg!A16</f>
        <v>Dybstrøelse</v>
      </c>
      <c r="D143">
        <f t="shared" si="9"/>
        <v>2019</v>
      </c>
      <c r="E143">
        <f ca="1"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96" t="str">
        <f>Biogasanlæg!A17</f>
        <v>Brun saft</v>
      </c>
      <c r="D144">
        <f t="shared" si="9"/>
        <v>2019</v>
      </c>
      <c r="E144">
        <f ca="1"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96" t="str">
        <f>Biogasanlæg!A20</f>
        <v>Halm</v>
      </c>
      <c r="D145">
        <f t="shared" si="9"/>
        <v>2019</v>
      </c>
      <c r="E145">
        <f ca="1"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96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96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96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96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96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96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96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96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96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1580094.3183261557</v>
      </c>
    </row>
    <row r="155" spans="1:5" x14ac:dyDescent="0.25">
      <c r="A155" t="s">
        <v>109</v>
      </c>
      <c r="B155" t="s">
        <v>24</v>
      </c>
      <c r="C155" s="96" t="str">
        <f>Biogasanlæg!A13</f>
        <v>Kvæggylle</v>
      </c>
      <c r="D155">
        <f t="shared" si="10"/>
        <v>2030</v>
      </c>
      <c r="E155">
        <f ca="1">IF(B155="Vestdanmark",VLOOKUP(C155,Biogasanlæg!$A$39:$E$55,MATCH(D155,Biogasanlæg!$A$38:$E$38,0),FALSE),VLOOKUP(C155,Biogasanlæg!$I$39:$M$55,MATCH(D155,Biogasanlæg!$I$38:$M$38,0),FALSE))</f>
        <v>692091.87949965673</v>
      </c>
    </row>
    <row r="156" spans="1:5" x14ac:dyDescent="0.25">
      <c r="A156" t="s">
        <v>109</v>
      </c>
      <c r="B156" t="s">
        <v>24</v>
      </c>
      <c r="C156" s="96" t="str">
        <f>Biogasanlæg!A14</f>
        <v>Fjerkrægylle</v>
      </c>
      <c r="D156">
        <f t="shared" si="10"/>
        <v>2030</v>
      </c>
      <c r="E156">
        <f ca="1">IF(B156="Vestdanmark",VLOOKUP(C156,Biogasanlæg!$A$39:$E$55,MATCH(D156,Biogasanlæg!$A$38:$E$38,0),FALSE),VLOOKUP(C156,Biogasanlæg!$I$39:$M$55,MATCH(D156,Biogasanlæg!$I$38:$M$38,0),FALSE))</f>
        <v>525.15144386464101</v>
      </c>
    </row>
    <row r="157" spans="1:5" x14ac:dyDescent="0.25">
      <c r="A157" t="s">
        <v>109</v>
      </c>
      <c r="B157" t="s">
        <v>24</v>
      </c>
      <c r="C157" s="96" t="str">
        <f>Biogasanlæg!A15</f>
        <v>Spildevandsslam</v>
      </c>
      <c r="D157">
        <f t="shared" si="10"/>
        <v>2030</v>
      </c>
      <c r="E157">
        <f ca="1">IF(B157="Vestdanmark",VLOOKUP(C157,Biogasanlæg!$A$39:$E$55,MATCH(D157,Biogasanlæg!$A$38:$E$38,0),FALSE),VLOOKUP(C157,Biogasanlæg!$I$39:$M$55,MATCH(D157,Biogasanlæg!$I$38:$M$38,0),FALSE))</f>
        <v>2508040.5680731749</v>
      </c>
    </row>
    <row r="158" spans="1:5" x14ac:dyDescent="0.25">
      <c r="A158" t="s">
        <v>109</v>
      </c>
      <c r="B158" t="s">
        <v>24</v>
      </c>
      <c r="C158" s="96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0</v>
      </c>
    </row>
    <row r="159" spans="1:5" x14ac:dyDescent="0.25">
      <c r="A159" t="s">
        <v>109</v>
      </c>
      <c r="B159" t="s">
        <v>24</v>
      </c>
      <c r="C159" s="96" t="str">
        <f>Biogasanlæg!A19</f>
        <v>Industriaffald</v>
      </c>
      <c r="D159">
        <f t="shared" si="10"/>
        <v>2030</v>
      </c>
      <c r="E159">
        <f ca="1">IF(B159="Vestdanmark",VLOOKUP(C159,Biogasanlæg!$A$39:$E$55,MATCH(D159,Biogasanlæg!$A$38:$E$38,0),FALSE),VLOOKUP(C159,Biogasanlæg!$I$39:$M$55,MATCH(D159,Biogasanlæg!$I$38:$M$38,0),FALSE))</f>
        <v>0</v>
      </c>
    </row>
    <row r="160" spans="1:5" x14ac:dyDescent="0.25">
      <c r="A160" t="s">
        <v>109</v>
      </c>
      <c r="B160" t="s">
        <v>24</v>
      </c>
      <c r="C160" s="96" t="str">
        <f>Biogasanlæg!A16</f>
        <v>Dybstrøelse</v>
      </c>
      <c r="D160">
        <f t="shared" si="10"/>
        <v>2030</v>
      </c>
      <c r="E160">
        <f ca="1">IF(B160="Vestdanmark",VLOOKUP(C160,Biogasanlæg!$A$39:$E$55,MATCH(D160,Biogasanlæg!$A$38:$E$38,0),FALSE),VLOOKUP(C160,Biogasanlæg!$I$39:$M$55,MATCH(D160,Biogasanlæg!$I$38:$M$38,0),FALSE))</f>
        <v>259783.2336704561</v>
      </c>
    </row>
    <row r="161" spans="1:5" x14ac:dyDescent="0.25">
      <c r="A161" t="s">
        <v>109</v>
      </c>
      <c r="B161" t="s">
        <v>24</v>
      </c>
      <c r="C161" s="96" t="str">
        <f>Biogasanlæg!A17</f>
        <v>Brun saft</v>
      </c>
      <c r="D161">
        <f t="shared" si="10"/>
        <v>2030</v>
      </c>
      <c r="E161">
        <f ca="1"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96" t="str">
        <f>Biogasanlæg!A20</f>
        <v>Halm</v>
      </c>
      <c r="D162">
        <f t="shared" si="10"/>
        <v>2030</v>
      </c>
      <c r="E162">
        <f ca="1">IF(B162="Vestdanmark",VLOOKUP(C162,Biogasanlæg!$A$39:$E$55,MATCH(D162,Biogasanlæg!$A$38:$E$38,0),FALSE),VLOOKUP(C162,Biogasanlæg!$I$39:$M$55,MATCH(D162,Biogasanlæg!$I$38:$M$38,0),FALSE))</f>
        <v>0</v>
      </c>
    </row>
    <row r="163" spans="1:5" x14ac:dyDescent="0.25">
      <c r="A163" t="s">
        <v>109</v>
      </c>
      <c r="B163" t="s">
        <v>24</v>
      </c>
      <c r="C163" s="96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0</v>
      </c>
    </row>
    <row r="164" spans="1:5" x14ac:dyDescent="0.25">
      <c r="A164" t="s">
        <v>109</v>
      </c>
      <c r="B164" t="s">
        <v>24</v>
      </c>
      <c r="C164" s="96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0</v>
      </c>
    </row>
    <row r="165" spans="1:5" x14ac:dyDescent="0.25">
      <c r="A165" t="s">
        <v>109</v>
      </c>
      <c r="B165" t="s">
        <v>24</v>
      </c>
      <c r="C165" s="96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25">
      <c r="A166" t="s">
        <v>109</v>
      </c>
      <c r="B166" t="s">
        <v>24</v>
      </c>
      <c r="C166" s="96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25">
      <c r="A167" t="s">
        <v>109</v>
      </c>
      <c r="B167" t="s">
        <v>24</v>
      </c>
      <c r="C167" s="96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348039.31140100124</v>
      </c>
    </row>
    <row r="168" spans="1:5" x14ac:dyDescent="0.25">
      <c r="A168" t="s">
        <v>109</v>
      </c>
      <c r="B168" t="s">
        <v>24</v>
      </c>
      <c r="C168" s="96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96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96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96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1693869.9277261887</v>
      </c>
    </row>
    <row r="172" spans="1:5" x14ac:dyDescent="0.25">
      <c r="A172" t="s">
        <v>109</v>
      </c>
      <c r="B172" t="s">
        <v>24</v>
      </c>
      <c r="C172" s="96" t="str">
        <f>Biogasanlæg!A13</f>
        <v>Kvæggylle</v>
      </c>
      <c r="D172">
        <f t="shared" si="11"/>
        <v>2050</v>
      </c>
      <c r="E172">
        <f ca="1">IF(B172="Vestdanmark",VLOOKUP(C172,Biogasanlæg!$A$39:$E$55,MATCH(D172,Biogasanlæg!$A$38:$E$38,0),FALSE),VLOOKUP(C172,Biogasanlæg!$I$39:$M$55,MATCH(D172,Biogasanlæg!$I$38:$M$38,0),FALSE))</f>
        <v>814640.76605924184</v>
      </c>
    </row>
    <row r="173" spans="1:5" x14ac:dyDescent="0.25">
      <c r="A173" t="s">
        <v>109</v>
      </c>
      <c r="B173" t="s">
        <v>24</v>
      </c>
      <c r="C173" s="96" t="str">
        <f>Biogasanlæg!A14</f>
        <v>Fjerkrægylle</v>
      </c>
      <c r="D173">
        <f t="shared" si="11"/>
        <v>2050</v>
      </c>
      <c r="E173">
        <f ca="1">IF(B173="Vestdanmark",VLOOKUP(C173,Biogasanlæg!$A$39:$E$55,MATCH(D173,Biogasanlæg!$A$38:$E$38,0),FALSE),VLOOKUP(C173,Biogasanlæg!$I$39:$M$55,MATCH(D173,Biogasanlæg!$I$38:$M$38,0),FALSE))</f>
        <v>650.78855763169781</v>
      </c>
    </row>
    <row r="174" spans="1:5" x14ac:dyDescent="0.25">
      <c r="A174" t="s">
        <v>109</v>
      </c>
      <c r="B174" t="s">
        <v>24</v>
      </c>
      <c r="C174" s="96" t="str">
        <f>Biogasanlæg!A15</f>
        <v>Spildevandsslam</v>
      </c>
      <c r="D174">
        <f t="shared" si="11"/>
        <v>2050</v>
      </c>
      <c r="E174">
        <f ca="1">IF(B174="Vestdanmark",VLOOKUP(C174,Biogasanlæg!$A$39:$E$55,MATCH(D174,Biogasanlæg!$A$38:$E$38,0),FALSE),VLOOKUP(C174,Biogasanlæg!$I$39:$M$55,MATCH(D174,Biogasanlæg!$I$38:$M$38,0),FALSE))</f>
        <v>3150253.3426541099</v>
      </c>
    </row>
    <row r="175" spans="1:5" x14ac:dyDescent="0.25">
      <c r="A175" t="s">
        <v>109</v>
      </c>
      <c r="B175" t="s">
        <v>24</v>
      </c>
      <c r="C175" s="96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0</v>
      </c>
    </row>
    <row r="176" spans="1:5" x14ac:dyDescent="0.25">
      <c r="A176" t="s">
        <v>109</v>
      </c>
      <c r="B176" t="s">
        <v>24</v>
      </c>
      <c r="C176" s="96" t="str">
        <f>Biogasanlæg!A19</f>
        <v>Industriaffald</v>
      </c>
      <c r="D176">
        <f t="shared" si="11"/>
        <v>2050</v>
      </c>
      <c r="E176">
        <f ca="1">IF(B176="Vestdanmark",VLOOKUP(C176,Biogasanlæg!$A$39:$E$55,MATCH(D176,Biogasanlæg!$A$38:$E$38,0),FALSE),VLOOKUP(C176,Biogasanlæg!$I$39:$M$55,MATCH(D176,Biogasanlæg!$I$38:$M$38,0),FALSE))</f>
        <v>0</v>
      </c>
    </row>
    <row r="177" spans="1:18" x14ac:dyDescent="0.25">
      <c r="A177" t="s">
        <v>109</v>
      </c>
      <c r="B177" t="s">
        <v>24</v>
      </c>
      <c r="C177" s="96" t="str">
        <f>Biogasanlæg!A16</f>
        <v>Dybstrøelse</v>
      </c>
      <c r="D177">
        <f t="shared" si="11"/>
        <v>2050</v>
      </c>
      <c r="E177">
        <f ca="1">IF(B177="Vestdanmark",VLOOKUP(C177,Biogasanlæg!$A$39:$E$55,MATCH(D177,Biogasanlæg!$A$38:$E$38,0),FALSE),VLOOKUP(C177,Biogasanlæg!$I$39:$M$55,MATCH(D177,Biogasanlæg!$I$38:$M$38,0),FALSE))</f>
        <v>307937.44645909779</v>
      </c>
    </row>
    <row r="178" spans="1:18" x14ac:dyDescent="0.25">
      <c r="A178" t="s">
        <v>109</v>
      </c>
      <c r="B178" t="s">
        <v>24</v>
      </c>
      <c r="C178" s="96" t="str">
        <f>Biogasanlæg!A17</f>
        <v>Brun saft</v>
      </c>
      <c r="D178">
        <f t="shared" si="11"/>
        <v>2050</v>
      </c>
      <c r="E178">
        <f ca="1"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96" t="str">
        <f>Biogasanlæg!A20</f>
        <v>Halm</v>
      </c>
      <c r="D179">
        <f t="shared" si="11"/>
        <v>2050</v>
      </c>
      <c r="E179">
        <f ca="1">IF(B179="Vestdanmark",VLOOKUP(C179,Biogasanlæg!$A$39:$E$55,MATCH(D179,Biogasanlæg!$A$38:$E$38,0),FALSE),VLOOKUP(C179,Biogasanlæg!$I$39:$M$55,MATCH(D179,Biogasanlæg!$I$38:$M$38,0),FALSE))</f>
        <v>0</v>
      </c>
    </row>
    <row r="180" spans="1:18" x14ac:dyDescent="0.25">
      <c r="A180" t="s">
        <v>109</v>
      </c>
      <c r="B180" t="s">
        <v>24</v>
      </c>
      <c r="C180" s="96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25">
      <c r="A181" t="s">
        <v>109</v>
      </c>
      <c r="B181" t="s">
        <v>24</v>
      </c>
      <c r="C181" s="96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25">
      <c r="A182" t="s">
        <v>109</v>
      </c>
      <c r="B182" t="s">
        <v>24</v>
      </c>
      <c r="C182" s="96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0</v>
      </c>
    </row>
    <row r="183" spans="1:18" x14ac:dyDescent="0.25">
      <c r="A183" t="s">
        <v>109</v>
      </c>
      <c r="B183" t="s">
        <v>24</v>
      </c>
      <c r="C183" s="96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25">
      <c r="A184" t="s">
        <v>109</v>
      </c>
      <c r="B184" t="s">
        <v>24</v>
      </c>
      <c r="C184" s="96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456618.20807643177</v>
      </c>
    </row>
    <row r="185" spans="1:18" x14ac:dyDescent="0.25">
      <c r="A185" t="s">
        <v>109</v>
      </c>
      <c r="B185" t="s">
        <v>24</v>
      </c>
      <c r="C185" s="96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96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96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95" t="s">
        <v>112</v>
      </c>
      <c r="B188" t="s">
        <v>23</v>
      </c>
      <c r="C188" s="96" t="str">
        <f>Fodersammensætning!A3</f>
        <v>Korn</v>
      </c>
      <c r="D188">
        <f t="shared" ref="D188:D202" si="12">År1</f>
        <v>2019</v>
      </c>
      <c r="E188" s="135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291"/>
    </row>
    <row r="189" spans="1:18" x14ac:dyDescent="0.25">
      <c r="A189" s="95" t="s">
        <v>112</v>
      </c>
      <c r="B189" t="s">
        <v>23</v>
      </c>
      <c r="C189" s="96" t="str">
        <f>Fodersammensætning!A4</f>
        <v>Halm</v>
      </c>
      <c r="D189">
        <f t="shared" si="12"/>
        <v>2019</v>
      </c>
      <c r="E189" s="135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4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95" t="s">
        <v>112</v>
      </c>
      <c r="B190" t="s">
        <v>23</v>
      </c>
      <c r="C190" s="96" t="str">
        <f>Fodersammensætning!A5</f>
        <v>Kartofler</v>
      </c>
      <c r="D190">
        <f t="shared" si="12"/>
        <v>2019</v>
      </c>
      <c r="E190" s="135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95" t="s">
        <v>112</v>
      </c>
      <c r="B191" t="s">
        <v>23</v>
      </c>
      <c r="C191" s="96" t="str">
        <f>Fodersammensætning!A6</f>
        <v>Bælgsæd</v>
      </c>
      <c r="D191">
        <f t="shared" si="12"/>
        <v>2019</v>
      </c>
      <c r="E191" s="135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95" t="s">
        <v>112</v>
      </c>
      <c r="B192" t="s">
        <v>23</v>
      </c>
      <c r="C192" s="96" t="str">
        <f>Fodersammensætning!A7</f>
        <v>Roer</v>
      </c>
      <c r="D192">
        <f t="shared" si="12"/>
        <v>2019</v>
      </c>
      <c r="E192" s="135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95" t="s">
        <v>112</v>
      </c>
      <c r="B193" t="s">
        <v>23</v>
      </c>
      <c r="C193" s="96" t="str">
        <f>Fodersammensætning!A8</f>
        <v>Majs</v>
      </c>
      <c r="D193">
        <f t="shared" si="12"/>
        <v>2019</v>
      </c>
      <c r="E193" s="135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95" t="s">
        <v>112</v>
      </c>
      <c r="B194" t="s">
        <v>23</v>
      </c>
      <c r="C194" s="96" t="str">
        <f>Fodersammensætning!A9</f>
        <v>Rapskage</v>
      </c>
      <c r="D194">
        <f t="shared" si="12"/>
        <v>2019</v>
      </c>
      <c r="E194" s="135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95" t="s">
        <v>112</v>
      </c>
      <c r="B195" t="s">
        <v>23</v>
      </c>
      <c r="C195" s="96" t="str">
        <f>Fodersammensætning!A10</f>
        <v>Tang</v>
      </c>
      <c r="D195">
        <f t="shared" si="12"/>
        <v>2019</v>
      </c>
      <c r="E195" s="135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95" t="s">
        <v>112</v>
      </c>
      <c r="B196" t="s">
        <v>23</v>
      </c>
      <c r="C196" s="96" t="str">
        <f>Fodersammensætning!A11</f>
        <v>Muslinger</v>
      </c>
      <c r="D196">
        <f t="shared" si="12"/>
        <v>2019</v>
      </c>
      <c r="E196" s="135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95" t="s">
        <v>112</v>
      </c>
      <c r="B197" t="s">
        <v>23</v>
      </c>
      <c r="C197" s="96" t="str">
        <f>Fodersammensætning!A12</f>
        <v>Græs</v>
      </c>
      <c r="D197">
        <f t="shared" si="12"/>
        <v>2019</v>
      </c>
      <c r="E197" s="135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95" t="s">
        <v>112</v>
      </c>
      <c r="B198" t="s">
        <v>23</v>
      </c>
      <c r="C198" s="96" t="str">
        <f>Fodersammensætning!A13</f>
        <v>Mælk til foder</v>
      </c>
      <c r="D198">
        <f t="shared" si="12"/>
        <v>2019</v>
      </c>
      <c r="E198" s="135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95" t="s">
        <v>112</v>
      </c>
      <c r="B199" t="s">
        <v>23</v>
      </c>
      <c r="C199" s="96" t="str">
        <f>Fodersammensætning!A14</f>
        <v>Fiberfraktion</v>
      </c>
      <c r="D199">
        <f t="shared" si="12"/>
        <v>2019</v>
      </c>
      <c r="E199" s="135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95" t="s">
        <v>112</v>
      </c>
      <c r="B200" t="s">
        <v>23</v>
      </c>
      <c r="C200" s="96" t="str">
        <f>Fodersammensætning!A15</f>
        <v>Græsprotein</v>
      </c>
      <c r="D200">
        <f t="shared" si="12"/>
        <v>2019</v>
      </c>
      <c r="E200" s="135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95" t="s">
        <v>112</v>
      </c>
      <c r="B201" t="s">
        <v>23</v>
      </c>
      <c r="C201" s="96" t="str">
        <f>Fodersammensætning!A16</f>
        <v>Slagteriaffald til foder</v>
      </c>
      <c r="D201">
        <f t="shared" si="12"/>
        <v>2019</v>
      </c>
      <c r="E201" s="135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95" t="s">
        <v>112</v>
      </c>
      <c r="B202" t="s">
        <v>23</v>
      </c>
      <c r="C202" s="96" t="str">
        <f>Fodersammensætning!A17</f>
        <v>Import af foder</v>
      </c>
      <c r="D202">
        <f t="shared" si="12"/>
        <v>2019</v>
      </c>
      <c r="E202" s="135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95" t="s">
        <v>112</v>
      </c>
      <c r="B203" t="s">
        <v>23</v>
      </c>
      <c r="C203" s="96" t="str">
        <f>C188</f>
        <v>Korn</v>
      </c>
      <c r="D203">
        <f t="shared" ref="D203:D217" si="13">År2</f>
        <v>2030</v>
      </c>
      <c r="E203" s="135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5734288.3153172266</v>
      </c>
      <c r="G203" s="291"/>
    </row>
    <row r="204" spans="1:7" x14ac:dyDescent="0.25">
      <c r="A204" s="95" t="s">
        <v>112</v>
      </c>
      <c r="B204" t="s">
        <v>23</v>
      </c>
      <c r="C204" s="96" t="str">
        <f t="shared" ref="C204:C267" si="14">C189</f>
        <v>Halm</v>
      </c>
      <c r="D204">
        <f t="shared" si="13"/>
        <v>2030</v>
      </c>
      <c r="E204" s="135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754028.76978801878</v>
      </c>
      <c r="G204" s="291"/>
    </row>
    <row r="205" spans="1:7" x14ac:dyDescent="0.25">
      <c r="A205" s="95" t="s">
        <v>112</v>
      </c>
      <c r="B205" t="s">
        <v>23</v>
      </c>
      <c r="C205" s="96" t="str">
        <f t="shared" si="14"/>
        <v>Kartofler</v>
      </c>
      <c r="D205">
        <f t="shared" si="13"/>
        <v>2030</v>
      </c>
      <c r="E205" s="135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291"/>
    </row>
    <row r="206" spans="1:7" x14ac:dyDescent="0.25">
      <c r="A206" s="95" t="s">
        <v>112</v>
      </c>
      <c r="B206" t="s">
        <v>23</v>
      </c>
      <c r="C206" s="96" t="str">
        <f t="shared" si="14"/>
        <v>Bælgsæd</v>
      </c>
      <c r="D206">
        <f t="shared" si="13"/>
        <v>2030</v>
      </c>
      <c r="E206" s="135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62908.541627737373</v>
      </c>
      <c r="G206" s="291"/>
    </row>
    <row r="207" spans="1:7" x14ac:dyDescent="0.25">
      <c r="A207" s="95" t="s">
        <v>112</v>
      </c>
      <c r="B207" t="s">
        <v>23</v>
      </c>
      <c r="C207" s="96" t="str">
        <f t="shared" si="14"/>
        <v>Roer</v>
      </c>
      <c r="D207">
        <f t="shared" si="13"/>
        <v>2030</v>
      </c>
      <c r="E207" s="135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820432.23039507493</v>
      </c>
      <c r="G207" s="291"/>
    </row>
    <row r="208" spans="1:7" x14ac:dyDescent="0.25">
      <c r="A208" s="95" t="s">
        <v>112</v>
      </c>
      <c r="B208" t="s">
        <v>23</v>
      </c>
      <c r="C208" s="96" t="str">
        <f t="shared" si="14"/>
        <v>Majs</v>
      </c>
      <c r="D208">
        <f t="shared" si="13"/>
        <v>2030</v>
      </c>
      <c r="E208" s="135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5517603.3385994658</v>
      </c>
      <c r="G208" s="291"/>
    </row>
    <row r="209" spans="1:7" x14ac:dyDescent="0.25">
      <c r="A209" s="95" t="s">
        <v>112</v>
      </c>
      <c r="B209" t="s">
        <v>23</v>
      </c>
      <c r="C209" s="96" t="str">
        <f t="shared" si="14"/>
        <v>Rapskage</v>
      </c>
      <c r="D209">
        <f t="shared" si="13"/>
        <v>2030</v>
      </c>
      <c r="E209" s="135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208821.40901429488</v>
      </c>
      <c r="G209" s="291"/>
    </row>
    <row r="210" spans="1:7" x14ac:dyDescent="0.25">
      <c r="A210" s="95" t="s">
        <v>112</v>
      </c>
      <c r="B210" t="s">
        <v>23</v>
      </c>
      <c r="C210" s="96" t="str">
        <f t="shared" si="14"/>
        <v>Tang</v>
      </c>
      <c r="D210">
        <f t="shared" si="13"/>
        <v>2030</v>
      </c>
      <c r="E210" s="135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291"/>
    </row>
    <row r="211" spans="1:7" x14ac:dyDescent="0.25">
      <c r="A211" s="95" t="s">
        <v>112</v>
      </c>
      <c r="B211" t="s">
        <v>23</v>
      </c>
      <c r="C211" s="96" t="str">
        <f t="shared" si="14"/>
        <v>Muslinger</v>
      </c>
      <c r="D211">
        <f t="shared" si="13"/>
        <v>2030</v>
      </c>
      <c r="E211" s="135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291"/>
    </row>
    <row r="212" spans="1:7" x14ac:dyDescent="0.25">
      <c r="A212" s="95" t="s">
        <v>112</v>
      </c>
      <c r="B212" t="s">
        <v>23</v>
      </c>
      <c r="C212" s="96" t="str">
        <f t="shared" si="14"/>
        <v>Græs</v>
      </c>
      <c r="D212">
        <f t="shared" si="13"/>
        <v>2030</v>
      </c>
      <c r="E212" s="135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11936022.044118334</v>
      </c>
      <c r="G212" s="291"/>
    </row>
    <row r="213" spans="1:7" x14ac:dyDescent="0.25">
      <c r="A213" s="95" t="s">
        <v>112</v>
      </c>
      <c r="B213" t="s">
        <v>23</v>
      </c>
      <c r="C213" s="96" t="str">
        <f t="shared" si="14"/>
        <v>Mælk til foder</v>
      </c>
      <c r="D213">
        <f t="shared" si="13"/>
        <v>2030</v>
      </c>
      <c r="E213" s="135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1478350.7282518283</v>
      </c>
      <c r="G213" s="291"/>
    </row>
    <row r="214" spans="1:7" x14ac:dyDescent="0.25">
      <c r="A214" s="95" t="s">
        <v>112</v>
      </c>
      <c r="B214" t="s">
        <v>23</v>
      </c>
      <c r="C214" s="96" t="str">
        <f t="shared" si="14"/>
        <v>Fiberfraktion</v>
      </c>
      <c r="D214">
        <f t="shared" si="13"/>
        <v>2030</v>
      </c>
      <c r="E214" s="135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291"/>
    </row>
    <row r="215" spans="1:7" x14ac:dyDescent="0.25">
      <c r="A215" s="95" t="s">
        <v>112</v>
      </c>
      <c r="B215" t="s">
        <v>23</v>
      </c>
      <c r="C215" s="96" t="str">
        <f t="shared" si="14"/>
        <v>Græsprotein</v>
      </c>
      <c r="D215">
        <f t="shared" si="13"/>
        <v>2030</v>
      </c>
      <c r="E215" s="135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291"/>
    </row>
    <row r="216" spans="1:7" x14ac:dyDescent="0.25">
      <c r="A216" s="95" t="s">
        <v>112</v>
      </c>
      <c r="B216" t="s">
        <v>23</v>
      </c>
      <c r="C216" s="96" t="str">
        <f t="shared" si="14"/>
        <v>Slagteriaffald til foder</v>
      </c>
      <c r="D216">
        <f t="shared" si="13"/>
        <v>2030</v>
      </c>
      <c r="E216" s="135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38444.108772506181</v>
      </c>
      <c r="G216" s="291"/>
    </row>
    <row r="217" spans="1:7" x14ac:dyDescent="0.25">
      <c r="A217" s="95" t="s">
        <v>112</v>
      </c>
      <c r="B217" t="s">
        <v>23</v>
      </c>
      <c r="C217" s="96" t="str">
        <f t="shared" si="14"/>
        <v>Import af foder</v>
      </c>
      <c r="D217">
        <f t="shared" si="13"/>
        <v>2030</v>
      </c>
      <c r="E217" s="135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4709403.3246320067</v>
      </c>
      <c r="G217" s="291"/>
    </row>
    <row r="218" spans="1:7" x14ac:dyDescent="0.25">
      <c r="A218" s="95" t="s">
        <v>112</v>
      </c>
      <c r="B218" t="s">
        <v>23</v>
      </c>
      <c r="C218" s="96" t="str">
        <f t="shared" si="14"/>
        <v>Korn</v>
      </c>
      <c r="D218">
        <f t="shared" ref="D218:D232" si="15">År3</f>
        <v>2050</v>
      </c>
      <c r="E218" s="135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5470784.8849928668</v>
      </c>
    </row>
    <row r="219" spans="1:7" x14ac:dyDescent="0.25">
      <c r="A219" s="95" t="s">
        <v>112</v>
      </c>
      <c r="B219" t="s">
        <v>23</v>
      </c>
      <c r="C219" s="96" t="str">
        <f t="shared" si="14"/>
        <v>Halm</v>
      </c>
      <c r="D219">
        <f t="shared" si="15"/>
        <v>2050</v>
      </c>
      <c r="E219" s="135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719379.45387000521</v>
      </c>
    </row>
    <row r="220" spans="1:7" x14ac:dyDescent="0.25">
      <c r="A220" s="95" t="s">
        <v>112</v>
      </c>
      <c r="B220" t="s">
        <v>23</v>
      </c>
      <c r="C220" s="96" t="str">
        <f t="shared" si="14"/>
        <v>Kartofler</v>
      </c>
      <c r="D220">
        <f t="shared" si="15"/>
        <v>2050</v>
      </c>
      <c r="E220" s="135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95" t="s">
        <v>112</v>
      </c>
      <c r="B221" t="s">
        <v>23</v>
      </c>
      <c r="C221" s="96" t="str">
        <f t="shared" si="14"/>
        <v>Bælgsæd</v>
      </c>
      <c r="D221">
        <f t="shared" si="15"/>
        <v>2050</v>
      </c>
      <c r="E221" s="135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60017.752814183521</v>
      </c>
    </row>
    <row r="222" spans="1:7" x14ac:dyDescent="0.25">
      <c r="A222" s="95" t="s">
        <v>112</v>
      </c>
      <c r="B222" t="s">
        <v>23</v>
      </c>
      <c r="C222" s="96" t="str">
        <f t="shared" si="14"/>
        <v>Roer</v>
      </c>
      <c r="D222">
        <f t="shared" si="15"/>
        <v>2050</v>
      </c>
      <c r="E222" s="135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782731.52628497675</v>
      </c>
    </row>
    <row r="223" spans="1:7" x14ac:dyDescent="0.25">
      <c r="A223" s="95" t="s">
        <v>112</v>
      </c>
      <c r="B223" t="s">
        <v>23</v>
      </c>
      <c r="C223" s="96" t="str">
        <f t="shared" si="14"/>
        <v>Majs</v>
      </c>
      <c r="D223">
        <f t="shared" si="15"/>
        <v>2050</v>
      </c>
      <c r="E223" s="135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5264057.0697440123</v>
      </c>
    </row>
    <row r="224" spans="1:7" x14ac:dyDescent="0.25">
      <c r="A224" s="95" t="s">
        <v>112</v>
      </c>
      <c r="B224" t="s">
        <v>23</v>
      </c>
      <c r="C224" s="96" t="str">
        <f t="shared" si="14"/>
        <v>Rapskage</v>
      </c>
      <c r="D224">
        <f t="shared" si="15"/>
        <v>2050</v>
      </c>
      <c r="E224" s="135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199225.59614708141</v>
      </c>
    </row>
    <row r="225" spans="1:5" x14ac:dyDescent="0.25">
      <c r="A225" s="95" t="s">
        <v>112</v>
      </c>
      <c r="B225" t="s">
        <v>23</v>
      </c>
      <c r="C225" s="96" t="str">
        <f t="shared" si="14"/>
        <v>Tang</v>
      </c>
      <c r="D225">
        <f t="shared" si="15"/>
        <v>2050</v>
      </c>
      <c r="E225" s="135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95" t="s">
        <v>112</v>
      </c>
      <c r="B226" t="s">
        <v>23</v>
      </c>
      <c r="C226" s="96" t="str">
        <f t="shared" si="14"/>
        <v>Muslinger</v>
      </c>
      <c r="D226">
        <f t="shared" si="15"/>
        <v>2050</v>
      </c>
      <c r="E226" s="135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95" t="s">
        <v>112</v>
      </c>
      <c r="B227" t="s">
        <v>23</v>
      </c>
      <c r="C227" s="96" t="str">
        <f t="shared" si="14"/>
        <v>Græs</v>
      </c>
      <c r="D227">
        <f t="shared" si="15"/>
        <v>2050</v>
      </c>
      <c r="E227" s="135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11387535.016591122</v>
      </c>
    </row>
    <row r="228" spans="1:5" x14ac:dyDescent="0.25">
      <c r="A228" s="95" t="s">
        <v>112</v>
      </c>
      <c r="B228" t="s">
        <v>23</v>
      </c>
      <c r="C228" s="96" t="str">
        <f t="shared" si="14"/>
        <v>Mælk til foder</v>
      </c>
      <c r="D228">
        <f t="shared" si="15"/>
        <v>2050</v>
      </c>
      <c r="E228" s="135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1410417.1911333126</v>
      </c>
    </row>
    <row r="229" spans="1:5" x14ac:dyDescent="0.25">
      <c r="A229" s="95" t="s">
        <v>112</v>
      </c>
      <c r="B229" t="s">
        <v>23</v>
      </c>
      <c r="C229" s="96" t="str">
        <f t="shared" si="14"/>
        <v>Fiberfraktion</v>
      </c>
      <c r="D229">
        <f t="shared" si="15"/>
        <v>2050</v>
      </c>
      <c r="E229" s="135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95" t="s">
        <v>112</v>
      </c>
      <c r="B230" t="s">
        <v>23</v>
      </c>
      <c r="C230" s="96" t="str">
        <f t="shared" si="14"/>
        <v>Græsprotein</v>
      </c>
      <c r="D230">
        <f t="shared" si="15"/>
        <v>2050</v>
      </c>
      <c r="E230" s="135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95" t="s">
        <v>112</v>
      </c>
      <c r="B231" t="s">
        <v>23</v>
      </c>
      <c r="C231" s="96" t="str">
        <f t="shared" si="14"/>
        <v>Slagteriaffald til foder</v>
      </c>
      <c r="D231">
        <f t="shared" si="15"/>
        <v>2050</v>
      </c>
      <c r="E231" s="135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36677.515608667709</v>
      </c>
    </row>
    <row r="232" spans="1:5" x14ac:dyDescent="0.25">
      <c r="A232" s="95" t="s">
        <v>112</v>
      </c>
      <c r="B232" t="s">
        <v>23</v>
      </c>
      <c r="C232" s="96" t="str">
        <f t="shared" si="14"/>
        <v>Import af foder</v>
      </c>
      <c r="D232">
        <f t="shared" si="15"/>
        <v>2050</v>
      </c>
      <c r="E232" s="135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4492995.6620617937</v>
      </c>
    </row>
    <row r="233" spans="1:5" x14ac:dyDescent="0.25">
      <c r="A233" s="95" t="s">
        <v>112</v>
      </c>
      <c r="B233" t="s">
        <v>24</v>
      </c>
      <c r="C233" s="96" t="str">
        <f t="shared" si="14"/>
        <v>Korn</v>
      </c>
      <c r="D233">
        <f t="shared" ref="D233:D247" si="16">År1</f>
        <v>2019</v>
      </c>
      <c r="E233" s="135">
        <f ca="1"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95" t="s">
        <v>112</v>
      </c>
      <c r="B234" t="s">
        <v>24</v>
      </c>
      <c r="C234" s="96" t="str">
        <f t="shared" si="14"/>
        <v>Halm</v>
      </c>
      <c r="D234">
        <f t="shared" si="16"/>
        <v>2019</v>
      </c>
      <c r="E234" s="135">
        <f ca="1"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95" t="s">
        <v>112</v>
      </c>
      <c r="B235" t="s">
        <v>24</v>
      </c>
      <c r="C235" s="96" t="str">
        <f t="shared" si="14"/>
        <v>Kartofler</v>
      </c>
      <c r="D235">
        <f t="shared" si="16"/>
        <v>2019</v>
      </c>
      <c r="E235" s="135">
        <f ca="1"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95" t="s">
        <v>112</v>
      </c>
      <c r="B236" t="s">
        <v>24</v>
      </c>
      <c r="C236" s="96" t="str">
        <f t="shared" si="14"/>
        <v>Bælgsæd</v>
      </c>
      <c r="D236">
        <f t="shared" si="16"/>
        <v>2019</v>
      </c>
      <c r="E236" s="135">
        <f ca="1"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95" t="s">
        <v>112</v>
      </c>
      <c r="B237" t="s">
        <v>24</v>
      </c>
      <c r="C237" s="96" t="str">
        <f t="shared" si="14"/>
        <v>Roer</v>
      </c>
      <c r="D237">
        <f t="shared" si="16"/>
        <v>2019</v>
      </c>
      <c r="E237" s="135">
        <f ca="1"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95" t="s">
        <v>112</v>
      </c>
      <c r="B238" t="s">
        <v>24</v>
      </c>
      <c r="C238" s="96" t="str">
        <f t="shared" si="14"/>
        <v>Majs</v>
      </c>
      <c r="D238">
        <f t="shared" si="16"/>
        <v>2019</v>
      </c>
      <c r="E238" s="135">
        <f ca="1"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95" t="s">
        <v>112</v>
      </c>
      <c r="B239" t="s">
        <v>24</v>
      </c>
      <c r="C239" s="96" t="str">
        <f t="shared" si="14"/>
        <v>Rapskage</v>
      </c>
      <c r="D239">
        <f t="shared" si="16"/>
        <v>2019</v>
      </c>
      <c r="E239" s="135">
        <f ca="1"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95" t="s">
        <v>112</v>
      </c>
      <c r="B240" t="s">
        <v>24</v>
      </c>
      <c r="C240" s="96" t="str">
        <f t="shared" si="14"/>
        <v>Tang</v>
      </c>
      <c r="D240">
        <f t="shared" si="16"/>
        <v>2019</v>
      </c>
      <c r="E240" s="135">
        <f ca="1"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95" t="s">
        <v>112</v>
      </c>
      <c r="B241" t="s">
        <v>24</v>
      </c>
      <c r="C241" s="96" t="str">
        <f t="shared" si="14"/>
        <v>Muslinger</v>
      </c>
      <c r="D241">
        <f t="shared" si="16"/>
        <v>2019</v>
      </c>
      <c r="E241" s="135">
        <f ca="1"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95" t="s">
        <v>112</v>
      </c>
      <c r="B242" t="s">
        <v>24</v>
      </c>
      <c r="C242" s="96" t="str">
        <f t="shared" si="14"/>
        <v>Græs</v>
      </c>
      <c r="D242">
        <f t="shared" si="16"/>
        <v>2019</v>
      </c>
      <c r="E242" s="135">
        <f ca="1"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95" t="s">
        <v>112</v>
      </c>
      <c r="B243" t="s">
        <v>24</v>
      </c>
      <c r="C243" s="96" t="str">
        <f t="shared" si="14"/>
        <v>Mælk til foder</v>
      </c>
      <c r="D243">
        <f t="shared" si="16"/>
        <v>2019</v>
      </c>
      <c r="E243" s="135">
        <f ca="1"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95" t="s">
        <v>112</v>
      </c>
      <c r="B244" t="s">
        <v>24</v>
      </c>
      <c r="C244" s="96" t="str">
        <f t="shared" si="14"/>
        <v>Fiberfraktion</v>
      </c>
      <c r="D244">
        <f t="shared" si="16"/>
        <v>2019</v>
      </c>
      <c r="E244" s="135">
        <f ca="1"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95" t="s">
        <v>112</v>
      </c>
      <c r="B245" t="s">
        <v>24</v>
      </c>
      <c r="C245" s="96" t="str">
        <f t="shared" si="14"/>
        <v>Græsprotein</v>
      </c>
      <c r="D245">
        <f t="shared" si="16"/>
        <v>2019</v>
      </c>
      <c r="E245" s="135">
        <f ca="1"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95" t="s">
        <v>112</v>
      </c>
      <c r="B246" t="s">
        <v>24</v>
      </c>
      <c r="C246" s="96" t="str">
        <f t="shared" si="14"/>
        <v>Slagteriaffald til foder</v>
      </c>
      <c r="D246">
        <f t="shared" si="16"/>
        <v>2019</v>
      </c>
      <c r="E246" s="135">
        <f ca="1"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95" t="s">
        <v>112</v>
      </c>
      <c r="B247" t="s">
        <v>24</v>
      </c>
      <c r="C247" s="96" t="str">
        <f t="shared" si="14"/>
        <v>Import af foder</v>
      </c>
      <c r="D247">
        <f t="shared" si="16"/>
        <v>2019</v>
      </c>
      <c r="E247" s="135">
        <f ca="1"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95" t="s">
        <v>112</v>
      </c>
      <c r="B248" t="s">
        <v>24</v>
      </c>
      <c r="C248" s="96" t="str">
        <f t="shared" si="14"/>
        <v>Korn</v>
      </c>
      <c r="D248">
        <f t="shared" ref="D248:D262" si="17">År2</f>
        <v>2030</v>
      </c>
      <c r="E248" s="135">
        <f ca="1"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700622.1199230341</v>
      </c>
    </row>
    <row r="249" spans="1:5" x14ac:dyDescent="0.25">
      <c r="A249" s="95" t="s">
        <v>112</v>
      </c>
      <c r="B249" t="s">
        <v>24</v>
      </c>
      <c r="C249" s="96" t="str">
        <f t="shared" si="14"/>
        <v>Halm</v>
      </c>
      <c r="D249">
        <f t="shared" si="17"/>
        <v>2030</v>
      </c>
      <c r="E249" s="135">
        <f ca="1"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92128.125779914451</v>
      </c>
    </row>
    <row r="250" spans="1:5" x14ac:dyDescent="0.25">
      <c r="A250" s="95" t="s">
        <v>112</v>
      </c>
      <c r="B250" t="s">
        <v>24</v>
      </c>
      <c r="C250" s="96" t="str">
        <f t="shared" si="14"/>
        <v>Kartofler</v>
      </c>
      <c r="D250">
        <f t="shared" si="17"/>
        <v>2030</v>
      </c>
      <c r="E250" s="135">
        <f ca="1"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95" t="s">
        <v>112</v>
      </c>
      <c r="B251" t="s">
        <v>24</v>
      </c>
      <c r="C251" s="96" t="str">
        <f t="shared" si="14"/>
        <v>Bælgsæd</v>
      </c>
      <c r="D251">
        <f t="shared" si="17"/>
        <v>2030</v>
      </c>
      <c r="E251" s="135">
        <f ca="1"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7686.2399260183547</v>
      </c>
    </row>
    <row r="252" spans="1:5" x14ac:dyDescent="0.25">
      <c r="A252" s="95" t="s">
        <v>112</v>
      </c>
      <c r="B252" t="s">
        <v>24</v>
      </c>
      <c r="C252" s="96" t="str">
        <f t="shared" si="14"/>
        <v>Roer</v>
      </c>
      <c r="D252">
        <f t="shared" si="17"/>
        <v>2030</v>
      </c>
      <c r="E252" s="135">
        <f ca="1"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100241.37903515603</v>
      </c>
    </row>
    <row r="253" spans="1:5" x14ac:dyDescent="0.25">
      <c r="A253" s="95" t="s">
        <v>112</v>
      </c>
      <c r="B253" t="s">
        <v>24</v>
      </c>
      <c r="C253" s="96" t="str">
        <f t="shared" si="14"/>
        <v>Majs</v>
      </c>
      <c r="D253">
        <f t="shared" si="17"/>
        <v>2030</v>
      </c>
      <c r="E253" s="135">
        <f ca="1"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674147.29351119313</v>
      </c>
    </row>
    <row r="254" spans="1:5" x14ac:dyDescent="0.25">
      <c r="A254" s="95" t="s">
        <v>112</v>
      </c>
      <c r="B254" t="s">
        <v>24</v>
      </c>
      <c r="C254" s="96" t="str">
        <f t="shared" si="14"/>
        <v>Rapskage</v>
      </c>
      <c r="D254">
        <f t="shared" si="17"/>
        <v>2030</v>
      </c>
      <c r="E254" s="135">
        <f ca="1"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25514.0464210887</v>
      </c>
    </row>
    <row r="255" spans="1:5" x14ac:dyDescent="0.25">
      <c r="A255" s="95" t="s">
        <v>112</v>
      </c>
      <c r="B255" t="s">
        <v>24</v>
      </c>
      <c r="C255" s="96" t="str">
        <f t="shared" si="14"/>
        <v>Tang</v>
      </c>
      <c r="D255">
        <f t="shared" si="17"/>
        <v>2030</v>
      </c>
      <c r="E255" s="135">
        <f ca="1"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95" t="s">
        <v>112</v>
      </c>
      <c r="B256" t="s">
        <v>24</v>
      </c>
      <c r="C256" s="96" t="str">
        <f t="shared" si="14"/>
        <v>Muslinger</v>
      </c>
      <c r="D256">
        <f t="shared" si="17"/>
        <v>2030</v>
      </c>
      <c r="E256" s="135">
        <f ca="1"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95" t="s">
        <v>112</v>
      </c>
      <c r="B257" t="s">
        <v>24</v>
      </c>
      <c r="C257" s="96" t="str">
        <f t="shared" si="14"/>
        <v>Græs</v>
      </c>
      <c r="D257">
        <f t="shared" si="17"/>
        <v>2030</v>
      </c>
      <c r="E257" s="135">
        <f ca="1"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1458357.2726296766</v>
      </c>
    </row>
    <row r="258" spans="1:5" x14ac:dyDescent="0.25">
      <c r="A258" s="95" t="s">
        <v>112</v>
      </c>
      <c r="B258" t="s">
        <v>24</v>
      </c>
      <c r="C258" s="96" t="str">
        <f t="shared" si="14"/>
        <v>Mælk til foder</v>
      </c>
      <c r="D258">
        <f t="shared" si="17"/>
        <v>2030</v>
      </c>
      <c r="E258" s="135">
        <f ca="1"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180626.6382614313</v>
      </c>
    </row>
    <row r="259" spans="1:5" x14ac:dyDescent="0.25">
      <c r="A259" s="95" t="s">
        <v>112</v>
      </c>
      <c r="B259" t="s">
        <v>24</v>
      </c>
      <c r="C259" s="96" t="str">
        <f t="shared" si="14"/>
        <v>Fiberfraktion</v>
      </c>
      <c r="D259">
        <f t="shared" si="17"/>
        <v>2030</v>
      </c>
      <c r="E259" s="135">
        <f ca="1"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95" t="s">
        <v>112</v>
      </c>
      <c r="B260" t="s">
        <v>24</v>
      </c>
      <c r="C260" s="96" t="str">
        <f t="shared" si="14"/>
        <v>Græsprotein</v>
      </c>
      <c r="D260">
        <f t="shared" si="17"/>
        <v>2030</v>
      </c>
      <c r="E260" s="135">
        <f ca="1"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95" t="s">
        <v>112</v>
      </c>
      <c r="B261" t="s">
        <v>24</v>
      </c>
      <c r="C261" s="96" t="str">
        <f t="shared" si="14"/>
        <v>Slagteriaffald til foder</v>
      </c>
      <c r="D261">
        <f t="shared" si="17"/>
        <v>2030</v>
      </c>
      <c r="E261" s="135">
        <f ca="1"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4697.1466214556613</v>
      </c>
    </row>
    <row r="262" spans="1:5" x14ac:dyDescent="0.25">
      <c r="A262" s="95" t="s">
        <v>112</v>
      </c>
      <c r="B262" t="s">
        <v>24</v>
      </c>
      <c r="C262" s="96" t="str">
        <f t="shared" si="14"/>
        <v>Import af foder</v>
      </c>
      <c r="D262">
        <f t="shared" si="17"/>
        <v>2030</v>
      </c>
      <c r="E262" s="135">
        <f ca="1"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575400.46112831845</v>
      </c>
    </row>
    <row r="263" spans="1:5" x14ac:dyDescent="0.25">
      <c r="A263" s="95" t="s">
        <v>112</v>
      </c>
      <c r="B263" t="s">
        <v>24</v>
      </c>
      <c r="C263" s="96" t="str">
        <f t="shared" si="14"/>
        <v>Korn</v>
      </c>
      <c r="D263">
        <f t="shared" ref="D263:D277" si="18">År3</f>
        <v>2050</v>
      </c>
      <c r="E263" s="135">
        <f ca="1"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662441.233045817</v>
      </c>
    </row>
    <row r="264" spans="1:5" x14ac:dyDescent="0.25">
      <c r="A264" s="95" t="s">
        <v>112</v>
      </c>
      <c r="B264" t="s">
        <v>24</v>
      </c>
      <c r="C264" s="96" t="str">
        <f t="shared" si="14"/>
        <v>Halm</v>
      </c>
      <c r="D264">
        <f t="shared" si="18"/>
        <v>2050</v>
      </c>
      <c r="E264" s="135">
        <f ca="1"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87107.539862645164</v>
      </c>
    </row>
    <row r="265" spans="1:5" x14ac:dyDescent="0.25">
      <c r="A265" s="95" t="s">
        <v>112</v>
      </c>
      <c r="B265" t="s">
        <v>24</v>
      </c>
      <c r="C265" s="96" t="str">
        <f t="shared" si="14"/>
        <v>Kartofler</v>
      </c>
      <c r="D265">
        <f t="shared" si="18"/>
        <v>2050</v>
      </c>
      <c r="E265" s="135">
        <f ca="1"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95" t="s">
        <v>112</v>
      </c>
      <c r="B266" t="s">
        <v>24</v>
      </c>
      <c r="C266" s="96" t="str">
        <f t="shared" si="14"/>
        <v>Bælgsæd</v>
      </c>
      <c r="D266">
        <f t="shared" si="18"/>
        <v>2050</v>
      </c>
      <c r="E266" s="135">
        <f ca="1"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7267.3729665242781</v>
      </c>
    </row>
    <row r="267" spans="1:5" x14ac:dyDescent="0.25">
      <c r="A267" s="95" t="s">
        <v>112</v>
      </c>
      <c r="B267" t="s">
        <v>24</v>
      </c>
      <c r="C267" s="96" t="str">
        <f t="shared" si="14"/>
        <v>Roer</v>
      </c>
      <c r="D267">
        <f t="shared" si="18"/>
        <v>2050</v>
      </c>
      <c r="E267" s="135">
        <f ca="1"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94778.655771754129</v>
      </c>
    </row>
    <row r="268" spans="1:5" x14ac:dyDescent="0.25">
      <c r="A268" s="95" t="s">
        <v>112</v>
      </c>
      <c r="B268" t="s">
        <v>24</v>
      </c>
      <c r="C268" s="96" t="str">
        <f t="shared" ref="C268:C277" si="19">C253</f>
        <v>Majs</v>
      </c>
      <c r="D268">
        <f t="shared" si="18"/>
        <v>2050</v>
      </c>
      <c r="E268" s="135">
        <f ca="1"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637409.17060556682</v>
      </c>
    </row>
    <row r="269" spans="1:5" x14ac:dyDescent="0.25">
      <c r="A269" s="95" t="s">
        <v>112</v>
      </c>
      <c r="B269" t="s">
        <v>24</v>
      </c>
      <c r="C269" s="96" t="str">
        <f t="shared" si="19"/>
        <v>Rapskage</v>
      </c>
      <c r="D269">
        <f t="shared" si="18"/>
        <v>2050</v>
      </c>
      <c r="E269" s="135">
        <f ca="1"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24123.640819434757</v>
      </c>
    </row>
    <row r="270" spans="1:5" x14ac:dyDescent="0.25">
      <c r="A270" s="95" t="s">
        <v>112</v>
      </c>
      <c r="B270" t="s">
        <v>24</v>
      </c>
      <c r="C270" s="96" t="str">
        <f t="shared" si="19"/>
        <v>Tang</v>
      </c>
      <c r="D270">
        <f t="shared" si="18"/>
        <v>2050</v>
      </c>
      <c r="E270" s="135">
        <f ca="1"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95" t="s">
        <v>112</v>
      </c>
      <c r="B271" t="s">
        <v>24</v>
      </c>
      <c r="C271" s="96" t="str">
        <f t="shared" si="19"/>
        <v>Muslinger</v>
      </c>
      <c r="D271">
        <f t="shared" si="18"/>
        <v>2050</v>
      </c>
      <c r="E271" s="135">
        <f ca="1"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95" t="s">
        <v>112</v>
      </c>
      <c r="B272" t="s">
        <v>24</v>
      </c>
      <c r="C272" s="96" t="str">
        <f t="shared" si="19"/>
        <v>Græs</v>
      </c>
      <c r="D272">
        <f t="shared" si="18"/>
        <v>2050</v>
      </c>
      <c r="E272" s="135">
        <f ca="1"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1378883.0846623355</v>
      </c>
    </row>
    <row r="273" spans="1:7" x14ac:dyDescent="0.25">
      <c r="A273" s="95" t="s">
        <v>112</v>
      </c>
      <c r="B273" t="s">
        <v>24</v>
      </c>
      <c r="C273" s="96" t="str">
        <f t="shared" si="19"/>
        <v>Mælk til foder</v>
      </c>
      <c r="D273">
        <f t="shared" si="18"/>
        <v>2050</v>
      </c>
      <c r="E273" s="135">
        <f ca="1"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170783.26471332053</v>
      </c>
    </row>
    <row r="274" spans="1:7" x14ac:dyDescent="0.25">
      <c r="A274" s="95" t="s">
        <v>112</v>
      </c>
      <c r="B274" t="s">
        <v>24</v>
      </c>
      <c r="C274" s="96" t="str">
        <f t="shared" si="19"/>
        <v>Fiberfraktion</v>
      </c>
      <c r="D274">
        <f t="shared" si="18"/>
        <v>2050</v>
      </c>
      <c r="E274" s="135">
        <f ca="1"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95" t="s">
        <v>112</v>
      </c>
      <c r="B275" t="s">
        <v>24</v>
      </c>
      <c r="C275" s="96" t="str">
        <f t="shared" si="19"/>
        <v>Græsprotein</v>
      </c>
      <c r="D275">
        <f t="shared" si="18"/>
        <v>2050</v>
      </c>
      <c r="E275" s="135">
        <f ca="1"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95" t="s">
        <v>112</v>
      </c>
      <c r="B276" t="s">
        <v>24</v>
      </c>
      <c r="C276" s="96" t="str">
        <f t="shared" si="19"/>
        <v>Slagteriaffald til foder</v>
      </c>
      <c r="D276">
        <f t="shared" si="18"/>
        <v>2050</v>
      </c>
      <c r="E276" s="135">
        <f ca="1"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4441.1723684315039</v>
      </c>
    </row>
    <row r="277" spans="1:7" x14ac:dyDescent="0.25">
      <c r="A277" s="95" t="s">
        <v>112</v>
      </c>
      <c r="B277" t="s">
        <v>24</v>
      </c>
      <c r="C277" s="96" t="str">
        <f t="shared" si="19"/>
        <v>Import af foder</v>
      </c>
      <c r="D277">
        <f t="shared" si="18"/>
        <v>2050</v>
      </c>
      <c r="E277" s="135">
        <f ca="1"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544043.61513285921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>
        <f ca="1"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>
        <f ca="1"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>
        <v>1</v>
      </c>
      <c r="G285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>
        <v>1</v>
      </c>
      <c r="G286">
        <v>1</v>
      </c>
    </row>
    <row r="287" spans="1:7" x14ac:dyDescent="0.25">
      <c r="A287" t="s">
        <v>164</v>
      </c>
      <c r="B287" t="s">
        <v>23</v>
      </c>
      <c r="C287" t="s">
        <v>118</v>
      </c>
      <c r="D287">
        <f t="shared" si="20"/>
        <v>2019</v>
      </c>
      <c r="E287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>
        <v>1</v>
      </c>
      <c r="G287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>
        <v>1</v>
      </c>
      <c r="G28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>
        <v>1</v>
      </c>
      <c r="G28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>
        <f ca="1"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>
        <v>1</v>
      </c>
    </row>
    <row r="291" spans="1:7" x14ac:dyDescent="0.25">
      <c r="A291" t="s">
        <v>120</v>
      </c>
      <c r="B291" t="s">
        <v>24</v>
      </c>
      <c r="C291" t="str">
        <f t="shared" ref="C291:C349" si="22">C279</f>
        <v>Rapsolie</v>
      </c>
      <c r="D291">
        <f t="shared" si="20"/>
        <v>2019</v>
      </c>
      <c r="E291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>
        <v>1</v>
      </c>
    </row>
    <row r="292" spans="1:7" x14ac:dyDescent="0.25">
      <c r="A292" t="s">
        <v>120</v>
      </c>
      <c r="B292" t="s">
        <v>24</v>
      </c>
      <c r="C292" t="str">
        <f t="shared" si="22"/>
        <v>Pil &amp; poppel</v>
      </c>
      <c r="D292">
        <f t="shared" si="20"/>
        <v>2019</v>
      </c>
      <c r="E292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>
        <v>1</v>
      </c>
    </row>
    <row r="293" spans="1:7" x14ac:dyDescent="0.25">
      <c r="A293" t="s">
        <v>120</v>
      </c>
      <c r="B293" t="s">
        <v>24</v>
      </c>
      <c r="C293" t="str">
        <f t="shared" si="22"/>
        <v>Træ til energi</v>
      </c>
      <c r="D293">
        <f t="shared" si="20"/>
        <v>2019</v>
      </c>
      <c r="E293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>
        <v>1</v>
      </c>
    </row>
    <row r="294" spans="1:7" x14ac:dyDescent="0.25">
      <c r="A294" t="s">
        <v>120</v>
      </c>
      <c r="B294" t="s">
        <v>24</v>
      </c>
      <c r="C294" t="str">
        <f t="shared" si="22"/>
        <v>Have/parkaffald</v>
      </c>
      <c r="D294">
        <f t="shared" si="20"/>
        <v>2019</v>
      </c>
      <c r="E294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>
        <v>1</v>
      </c>
    </row>
    <row r="295" spans="1:7" x14ac:dyDescent="0.25">
      <c r="A295" t="s">
        <v>120</v>
      </c>
      <c r="B295" t="s">
        <v>24</v>
      </c>
      <c r="C295" t="str">
        <f t="shared" si="22"/>
        <v>Bioaffald</v>
      </c>
      <c r="D295">
        <f t="shared" si="20"/>
        <v>2019</v>
      </c>
      <c r="E295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>
        <v>1</v>
      </c>
    </row>
    <row r="296" spans="1:7" x14ac:dyDescent="0.25">
      <c r="A296" t="s">
        <v>164</v>
      </c>
      <c r="B296" t="s">
        <v>24</v>
      </c>
      <c r="C296" t="str">
        <f t="shared" si="22"/>
        <v>Halm</v>
      </c>
      <c r="D296">
        <f t="shared" si="20"/>
        <v>2019</v>
      </c>
      <c r="E296">
        <f ca="1"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>
        <v>1</v>
      </c>
      <c r="G296">
        <v>1</v>
      </c>
    </row>
    <row r="297" spans="1:7" x14ac:dyDescent="0.25">
      <c r="A297" t="s">
        <v>164</v>
      </c>
      <c r="B297" t="s">
        <v>24</v>
      </c>
      <c r="C297" t="str">
        <f t="shared" si="22"/>
        <v>Rapsolie</v>
      </c>
      <c r="D297">
        <f t="shared" si="20"/>
        <v>2019</v>
      </c>
      <c r="E297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>
        <v>1</v>
      </c>
      <c r="G297">
        <v>1</v>
      </c>
    </row>
    <row r="298" spans="1:7" x14ac:dyDescent="0.25">
      <c r="A298" t="s">
        <v>164</v>
      </c>
      <c r="B298" t="s">
        <v>24</v>
      </c>
      <c r="C298" t="str">
        <f t="shared" si="22"/>
        <v>Pil &amp; poppel</v>
      </c>
      <c r="D298">
        <f t="shared" si="20"/>
        <v>2019</v>
      </c>
      <c r="E29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>
        <v>1</v>
      </c>
      <c r="G298">
        <v>1</v>
      </c>
    </row>
    <row r="299" spans="1:7" x14ac:dyDescent="0.25">
      <c r="A299" t="s">
        <v>164</v>
      </c>
      <c r="B299" t="s">
        <v>24</v>
      </c>
      <c r="C299" t="str">
        <f t="shared" si="22"/>
        <v>Træmaterialer</v>
      </c>
      <c r="D299">
        <f t="shared" si="20"/>
        <v>2019</v>
      </c>
      <c r="E299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>
        <v>1</v>
      </c>
      <c r="G299">
        <v>1</v>
      </c>
    </row>
    <row r="300" spans="1:7" x14ac:dyDescent="0.25">
      <c r="A300" t="s">
        <v>164</v>
      </c>
      <c r="B300" t="s">
        <v>24</v>
      </c>
      <c r="C300" t="str">
        <f t="shared" si="22"/>
        <v>Have/parkaffald</v>
      </c>
      <c r="D300">
        <f t="shared" si="20"/>
        <v>2019</v>
      </c>
      <c r="E300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>
        <v>1</v>
      </c>
      <c r="G300">
        <v>1</v>
      </c>
    </row>
    <row r="301" spans="1:7" x14ac:dyDescent="0.25">
      <c r="A301" t="s">
        <v>164</v>
      </c>
      <c r="B301" t="s">
        <v>24</v>
      </c>
      <c r="C301" t="str">
        <f t="shared" si="22"/>
        <v>Bioaffald</v>
      </c>
      <c r="D301">
        <f t="shared" si="20"/>
        <v>2019</v>
      </c>
      <c r="E301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>
        <v>1</v>
      </c>
      <c r="G301">
        <v>1</v>
      </c>
    </row>
    <row r="302" spans="1:7" x14ac:dyDescent="0.25">
      <c r="A302" t="s">
        <v>120</v>
      </c>
      <c r="B302" t="s">
        <v>23</v>
      </c>
      <c r="C302" t="str">
        <f>C290</f>
        <v>Halm</v>
      </c>
      <c r="D302">
        <f t="shared" ref="D302:D325" si="23">År2</f>
        <v>2030</v>
      </c>
      <c r="E302">
        <f ca="1"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2189846.6217170451</v>
      </c>
      <c r="F302">
        <v>1</v>
      </c>
    </row>
    <row r="303" spans="1:7" x14ac:dyDescent="0.25">
      <c r="A303" t="s">
        <v>120</v>
      </c>
      <c r="B303" t="s">
        <v>23</v>
      </c>
      <c r="C303" t="str">
        <f t="shared" si="22"/>
        <v>Rapsolie</v>
      </c>
      <c r="D303">
        <f t="shared" si="23"/>
        <v>2030</v>
      </c>
      <c r="E303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154609.39143547131</v>
      </c>
      <c r="F303">
        <v>1</v>
      </c>
    </row>
    <row r="304" spans="1:7" x14ac:dyDescent="0.25">
      <c r="A304" t="s">
        <v>120</v>
      </c>
      <c r="B304" t="s">
        <v>23</v>
      </c>
      <c r="C304" t="str">
        <f t="shared" si="22"/>
        <v>Pil &amp; poppel</v>
      </c>
      <c r="D304">
        <f t="shared" si="23"/>
        <v>2030</v>
      </c>
      <c r="E304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166331.75376550294</v>
      </c>
      <c r="F304">
        <v>1</v>
      </c>
    </row>
    <row r="305" spans="1:7" x14ac:dyDescent="0.25">
      <c r="A305" t="s">
        <v>120</v>
      </c>
      <c r="B305" t="s">
        <v>23</v>
      </c>
      <c r="C305" t="str">
        <f t="shared" si="22"/>
        <v>Træ til energi</v>
      </c>
      <c r="D305">
        <f t="shared" si="23"/>
        <v>2030</v>
      </c>
      <c r="E305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2225869.1010711943</v>
      </c>
      <c r="F305">
        <v>1</v>
      </c>
    </row>
    <row r="306" spans="1:7" x14ac:dyDescent="0.25">
      <c r="A306" t="s">
        <v>120</v>
      </c>
      <c r="B306" t="s">
        <v>23</v>
      </c>
      <c r="C306" t="str">
        <f t="shared" si="22"/>
        <v>Have/parkaffald</v>
      </c>
      <c r="D306">
        <f t="shared" si="23"/>
        <v>2030</v>
      </c>
      <c r="E306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124773.42126939242</v>
      </c>
      <c r="F306">
        <v>1</v>
      </c>
    </row>
    <row r="307" spans="1:7" x14ac:dyDescent="0.25">
      <c r="A307" t="s">
        <v>120</v>
      </c>
      <c r="B307" t="s">
        <v>23</v>
      </c>
      <c r="C307" t="str">
        <f t="shared" si="22"/>
        <v>Bioaffald</v>
      </c>
      <c r="D307">
        <f t="shared" si="23"/>
        <v>2030</v>
      </c>
      <c r="E307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195082.22598438186</v>
      </c>
      <c r="F307">
        <v>1</v>
      </c>
    </row>
    <row r="308" spans="1:7" x14ac:dyDescent="0.25">
      <c r="A308" t="s">
        <v>164</v>
      </c>
      <c r="B308" t="s">
        <v>23</v>
      </c>
      <c r="C308" t="str">
        <f t="shared" si="22"/>
        <v>Halm</v>
      </c>
      <c r="D308">
        <f t="shared" si="23"/>
        <v>2030</v>
      </c>
      <c r="E308">
        <f ca="1"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>
        <v>1</v>
      </c>
      <c r="G308">
        <v>1</v>
      </c>
    </row>
    <row r="309" spans="1:7" x14ac:dyDescent="0.25">
      <c r="A309" t="s">
        <v>164</v>
      </c>
      <c r="B309" t="s">
        <v>23</v>
      </c>
      <c r="C309" t="str">
        <f t="shared" si="22"/>
        <v>Rapsolie</v>
      </c>
      <c r="D309">
        <f t="shared" si="23"/>
        <v>2030</v>
      </c>
      <c r="E30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>
        <v>1</v>
      </c>
      <c r="G309">
        <v>1</v>
      </c>
    </row>
    <row r="310" spans="1:7" x14ac:dyDescent="0.25">
      <c r="A310" t="s">
        <v>164</v>
      </c>
      <c r="B310" t="s">
        <v>23</v>
      </c>
      <c r="C310" t="str">
        <f t="shared" si="22"/>
        <v>Pil &amp; poppel</v>
      </c>
      <c r="D310">
        <f t="shared" si="23"/>
        <v>2030</v>
      </c>
      <c r="E310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>
        <v>1</v>
      </c>
      <c r="G310">
        <v>1</v>
      </c>
    </row>
    <row r="311" spans="1:7" x14ac:dyDescent="0.25">
      <c r="A311" t="s">
        <v>164</v>
      </c>
      <c r="B311" t="s">
        <v>23</v>
      </c>
      <c r="C311" t="str">
        <f t="shared" si="22"/>
        <v>Træmaterialer</v>
      </c>
      <c r="D311">
        <f t="shared" si="23"/>
        <v>2030</v>
      </c>
      <c r="E311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613377.28282504401</v>
      </c>
      <c r="F311">
        <v>1</v>
      </c>
      <c r="G311">
        <v>1</v>
      </c>
    </row>
    <row r="312" spans="1:7" x14ac:dyDescent="0.25">
      <c r="A312" t="s">
        <v>164</v>
      </c>
      <c r="B312" t="s">
        <v>23</v>
      </c>
      <c r="C312" t="str">
        <f t="shared" si="22"/>
        <v>Have/parkaffald</v>
      </c>
      <c r="D312">
        <f t="shared" si="23"/>
        <v>2030</v>
      </c>
      <c r="E312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>
        <v>1</v>
      </c>
      <c r="G312">
        <v>1</v>
      </c>
    </row>
    <row r="313" spans="1:7" x14ac:dyDescent="0.25">
      <c r="A313" t="s">
        <v>164</v>
      </c>
      <c r="B313" t="s">
        <v>23</v>
      </c>
      <c r="C313" t="str">
        <f t="shared" si="22"/>
        <v>Bioaffald</v>
      </c>
      <c r="D313">
        <f t="shared" si="23"/>
        <v>2030</v>
      </c>
      <c r="E313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>
        <v>1</v>
      </c>
      <c r="G313">
        <v>1</v>
      </c>
    </row>
    <row r="314" spans="1:7" x14ac:dyDescent="0.25">
      <c r="A314" t="s">
        <v>120</v>
      </c>
      <c r="B314" t="s">
        <v>24</v>
      </c>
      <c r="C314" t="str">
        <f>C302</f>
        <v>Halm</v>
      </c>
      <c r="D314">
        <f t="shared" si="23"/>
        <v>2030</v>
      </c>
      <c r="E314">
        <f ca="1"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1127754.4932839847</v>
      </c>
      <c r="F314">
        <v>1</v>
      </c>
    </row>
    <row r="315" spans="1:7" x14ac:dyDescent="0.25">
      <c r="A315" t="s">
        <v>120</v>
      </c>
      <c r="B315" t="s">
        <v>24</v>
      </c>
      <c r="C315" t="str">
        <f t="shared" si="22"/>
        <v>Rapsolie</v>
      </c>
      <c r="D315">
        <f t="shared" si="23"/>
        <v>2030</v>
      </c>
      <c r="E315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63167.514196711745</v>
      </c>
      <c r="F315">
        <v>1</v>
      </c>
    </row>
    <row r="316" spans="1:7" x14ac:dyDescent="0.25">
      <c r="A316" t="s">
        <v>120</v>
      </c>
      <c r="B316" t="s">
        <v>24</v>
      </c>
      <c r="C316" t="str">
        <f t="shared" si="22"/>
        <v>Pil &amp; poppel</v>
      </c>
      <c r="D316">
        <f t="shared" si="23"/>
        <v>2030</v>
      </c>
      <c r="E316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39167.06519291555</v>
      </c>
      <c r="F316">
        <v>1</v>
      </c>
    </row>
    <row r="317" spans="1:7" x14ac:dyDescent="0.25">
      <c r="A317" t="s">
        <v>120</v>
      </c>
      <c r="B317" t="s">
        <v>24</v>
      </c>
      <c r="C317" t="str">
        <f t="shared" si="22"/>
        <v>Træ til energi</v>
      </c>
      <c r="D317">
        <f t="shared" si="23"/>
        <v>2030</v>
      </c>
      <c r="E317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648970.86702196393</v>
      </c>
      <c r="F317">
        <v>1</v>
      </c>
    </row>
    <row r="318" spans="1:7" x14ac:dyDescent="0.25">
      <c r="A318" t="s">
        <v>120</v>
      </c>
      <c r="B318" t="s">
        <v>24</v>
      </c>
      <c r="C318" t="str">
        <f t="shared" si="22"/>
        <v>Have/parkaffald</v>
      </c>
      <c r="D318">
        <f t="shared" si="23"/>
        <v>2030</v>
      </c>
      <c r="E31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108035.57873060764</v>
      </c>
      <c r="F318">
        <v>1</v>
      </c>
    </row>
    <row r="319" spans="1:7" x14ac:dyDescent="0.25">
      <c r="A319" t="s">
        <v>120</v>
      </c>
      <c r="B319" t="s">
        <v>24</v>
      </c>
      <c r="C319" t="str">
        <f t="shared" si="22"/>
        <v>Bioaffald</v>
      </c>
      <c r="D319">
        <f t="shared" si="23"/>
        <v>2030</v>
      </c>
      <c r="E31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168912.745758362</v>
      </c>
      <c r="F319">
        <v>1</v>
      </c>
    </row>
    <row r="320" spans="1:7" x14ac:dyDescent="0.25">
      <c r="A320" t="s">
        <v>164</v>
      </c>
      <c r="B320" t="s">
        <v>24</v>
      </c>
      <c r="C320" t="str">
        <f t="shared" si="22"/>
        <v>Halm</v>
      </c>
      <c r="D320">
        <f t="shared" si="23"/>
        <v>2030</v>
      </c>
      <c r="E320">
        <f ca="1"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>
        <v>1</v>
      </c>
      <c r="G320">
        <v>1</v>
      </c>
    </row>
    <row r="321" spans="1:7" x14ac:dyDescent="0.25">
      <c r="A321" t="s">
        <v>164</v>
      </c>
      <c r="B321" t="s">
        <v>24</v>
      </c>
      <c r="C321" t="str">
        <f t="shared" si="22"/>
        <v>Rapsolie</v>
      </c>
      <c r="D321">
        <f t="shared" si="23"/>
        <v>2030</v>
      </c>
      <c r="E321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>
        <v>1</v>
      </c>
      <c r="G321">
        <v>1</v>
      </c>
    </row>
    <row r="322" spans="1:7" x14ac:dyDescent="0.25">
      <c r="A322" t="s">
        <v>164</v>
      </c>
      <c r="B322" t="s">
        <v>24</v>
      </c>
      <c r="C322" t="str">
        <f t="shared" si="22"/>
        <v>Pil &amp; poppel</v>
      </c>
      <c r="D322">
        <f t="shared" si="23"/>
        <v>2030</v>
      </c>
      <c r="E322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>
        <v>1</v>
      </c>
      <c r="G322">
        <v>1</v>
      </c>
    </row>
    <row r="323" spans="1:7" x14ac:dyDescent="0.25">
      <c r="A323" t="s">
        <v>164</v>
      </c>
      <c r="B323" t="s">
        <v>24</v>
      </c>
      <c r="C323" t="str">
        <f t="shared" si="22"/>
        <v>Træmaterialer</v>
      </c>
      <c r="D323">
        <f t="shared" si="23"/>
        <v>2030</v>
      </c>
      <c r="E323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178680.65524972283</v>
      </c>
      <c r="F323">
        <v>1</v>
      </c>
      <c r="G323">
        <v>1</v>
      </c>
    </row>
    <row r="324" spans="1:7" x14ac:dyDescent="0.25">
      <c r="A324" t="s">
        <v>164</v>
      </c>
      <c r="B324" t="s">
        <v>24</v>
      </c>
      <c r="C324" t="str">
        <f t="shared" si="22"/>
        <v>Have/parkaffald</v>
      </c>
      <c r="D324">
        <f t="shared" si="23"/>
        <v>2030</v>
      </c>
      <c r="E324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>
        <v>1</v>
      </c>
      <c r="G324">
        <v>1</v>
      </c>
    </row>
    <row r="325" spans="1:7" x14ac:dyDescent="0.25">
      <c r="A325" t="s">
        <v>164</v>
      </c>
      <c r="B325" t="s">
        <v>24</v>
      </c>
      <c r="C325" t="str">
        <f t="shared" si="22"/>
        <v>Bioaffald</v>
      </c>
      <c r="D325">
        <f t="shared" si="23"/>
        <v>2030</v>
      </c>
      <c r="E325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>
        <v>1</v>
      </c>
      <c r="G325">
        <v>1</v>
      </c>
    </row>
    <row r="326" spans="1:7" x14ac:dyDescent="0.25">
      <c r="A326" t="s">
        <v>120</v>
      </c>
      <c r="B326" t="s">
        <v>23</v>
      </c>
      <c r="C326" t="str">
        <f>C314</f>
        <v>Halm</v>
      </c>
      <c r="D326">
        <f t="shared" ref="D326:D349" si="24">År3</f>
        <v>2050</v>
      </c>
      <c r="E326">
        <f ca="1"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2621642.4459828315</v>
      </c>
      <c r="F326">
        <v>1</v>
      </c>
    </row>
    <row r="327" spans="1:7" x14ac:dyDescent="0.25">
      <c r="A327" t="s">
        <v>120</v>
      </c>
      <c r="B327" t="s">
        <v>23</v>
      </c>
      <c r="C327" t="str">
        <f t="shared" si="22"/>
        <v>Rapsolie</v>
      </c>
      <c r="D327">
        <f t="shared" si="24"/>
        <v>2050</v>
      </c>
      <c r="E327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151027.97877060805</v>
      </c>
      <c r="F327">
        <v>1</v>
      </c>
    </row>
    <row r="328" spans="1:7" x14ac:dyDescent="0.25">
      <c r="A328" t="s">
        <v>120</v>
      </c>
      <c r="B328" t="s">
        <v>23</v>
      </c>
      <c r="C328" t="str">
        <f t="shared" si="22"/>
        <v>Pil &amp; poppel</v>
      </c>
      <c r="D328">
        <f t="shared" si="24"/>
        <v>2050</v>
      </c>
      <c r="E32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146472.78733520172</v>
      </c>
      <c r="F328">
        <v>1</v>
      </c>
    </row>
    <row r="329" spans="1:7" x14ac:dyDescent="0.25">
      <c r="A329" t="s">
        <v>120</v>
      </c>
      <c r="B329" t="s">
        <v>23</v>
      </c>
      <c r="C329" t="str">
        <f t="shared" si="22"/>
        <v>Træ til energi</v>
      </c>
      <c r="D329">
        <f t="shared" si="24"/>
        <v>2050</v>
      </c>
      <c r="E329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2312878.2492368715</v>
      </c>
      <c r="F329">
        <v>1</v>
      </c>
    </row>
    <row r="330" spans="1:7" x14ac:dyDescent="0.25">
      <c r="A330" t="s">
        <v>120</v>
      </c>
      <c r="B330" t="s">
        <v>23</v>
      </c>
      <c r="C330" t="str">
        <f t="shared" si="22"/>
        <v>Have/parkaffald</v>
      </c>
      <c r="D330">
        <f t="shared" si="24"/>
        <v>2050</v>
      </c>
      <c r="E330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1500.1831158298883</v>
      </c>
      <c r="F330">
        <v>1</v>
      </c>
    </row>
    <row r="331" spans="1:7" x14ac:dyDescent="0.25">
      <c r="A331" t="s">
        <v>120</v>
      </c>
      <c r="B331" t="s">
        <v>23</v>
      </c>
      <c r="C331" t="str">
        <f t="shared" si="22"/>
        <v>Bioaffald</v>
      </c>
      <c r="D331">
        <f t="shared" si="24"/>
        <v>2050</v>
      </c>
      <c r="E331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197484.13479984918</v>
      </c>
      <c r="F331">
        <v>1</v>
      </c>
    </row>
    <row r="332" spans="1:7" x14ac:dyDescent="0.25">
      <c r="A332" t="s">
        <v>164</v>
      </c>
      <c r="B332" t="s">
        <v>23</v>
      </c>
      <c r="C332" t="str">
        <f t="shared" si="22"/>
        <v>Halm</v>
      </c>
      <c r="D332">
        <f t="shared" si="24"/>
        <v>2050</v>
      </c>
      <c r="E332">
        <f ca="1"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>
        <v>1</v>
      </c>
      <c r="G332">
        <v>1</v>
      </c>
    </row>
    <row r="333" spans="1:7" x14ac:dyDescent="0.25">
      <c r="A333" t="s">
        <v>164</v>
      </c>
      <c r="B333" t="s">
        <v>23</v>
      </c>
      <c r="C333" t="str">
        <f t="shared" si="22"/>
        <v>Rapsolie</v>
      </c>
      <c r="D333">
        <f t="shared" si="24"/>
        <v>2050</v>
      </c>
      <c r="E333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>
        <v>1</v>
      </c>
      <c r="G333">
        <v>1</v>
      </c>
    </row>
    <row r="334" spans="1:7" x14ac:dyDescent="0.25">
      <c r="A334" t="s">
        <v>164</v>
      </c>
      <c r="B334" t="s">
        <v>23</v>
      </c>
      <c r="C334" t="str">
        <f t="shared" si="22"/>
        <v>Pil &amp; poppel</v>
      </c>
      <c r="D334">
        <f t="shared" si="24"/>
        <v>2050</v>
      </c>
      <c r="E334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>
        <v>1</v>
      </c>
      <c r="G334">
        <v>1</v>
      </c>
    </row>
    <row r="335" spans="1:7" x14ac:dyDescent="0.25">
      <c r="A335" t="s">
        <v>164</v>
      </c>
      <c r="B335" t="s">
        <v>23</v>
      </c>
      <c r="C335" t="str">
        <f t="shared" si="22"/>
        <v>Træmaterialer</v>
      </c>
      <c r="D335">
        <f t="shared" si="24"/>
        <v>2050</v>
      </c>
      <c r="E335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676235.95848651009</v>
      </c>
      <c r="F335">
        <v>1</v>
      </c>
      <c r="G335">
        <v>1</v>
      </c>
    </row>
    <row r="336" spans="1:7" x14ac:dyDescent="0.25">
      <c r="A336" t="s">
        <v>164</v>
      </c>
      <c r="B336" t="s">
        <v>23</v>
      </c>
      <c r="C336" t="str">
        <f t="shared" si="22"/>
        <v>Have/parkaffald</v>
      </c>
      <c r="D336">
        <f t="shared" si="24"/>
        <v>2050</v>
      </c>
      <c r="E336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>
        <v>1</v>
      </c>
      <c r="G336">
        <v>1</v>
      </c>
    </row>
    <row r="337" spans="1:7" x14ac:dyDescent="0.25">
      <c r="A337" t="s">
        <v>164</v>
      </c>
      <c r="B337" t="s">
        <v>23</v>
      </c>
      <c r="C337" t="str">
        <f t="shared" si="22"/>
        <v>Bioaffald</v>
      </c>
      <c r="D337">
        <f t="shared" si="24"/>
        <v>2050</v>
      </c>
      <c r="E337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>
        <v>1</v>
      </c>
      <c r="G337">
        <v>1</v>
      </c>
    </row>
    <row r="338" spans="1:7" x14ac:dyDescent="0.25">
      <c r="A338" t="s">
        <v>120</v>
      </c>
      <c r="B338" t="s">
        <v>24</v>
      </c>
      <c r="C338" t="str">
        <f>C326</f>
        <v>Halm</v>
      </c>
      <c r="D338">
        <f t="shared" si="24"/>
        <v>2050</v>
      </c>
      <c r="E338">
        <f ca="1"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1321534.7605934532</v>
      </c>
      <c r="F338">
        <v>1</v>
      </c>
    </row>
    <row r="339" spans="1:7" x14ac:dyDescent="0.25">
      <c r="A339" t="s">
        <v>120</v>
      </c>
      <c r="B339" t="s">
        <v>24</v>
      </c>
      <c r="C339" t="str">
        <f t="shared" si="22"/>
        <v>Rapsolie</v>
      </c>
      <c r="D339">
        <f t="shared" si="24"/>
        <v>2050</v>
      </c>
      <c r="E33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64013.646347353635</v>
      </c>
      <c r="F339">
        <v>1</v>
      </c>
    </row>
    <row r="340" spans="1:7" x14ac:dyDescent="0.25">
      <c r="A340" t="s">
        <v>120</v>
      </c>
      <c r="B340" t="s">
        <v>24</v>
      </c>
      <c r="C340" t="str">
        <f t="shared" si="22"/>
        <v>Pil &amp; poppel</v>
      </c>
      <c r="D340">
        <f t="shared" si="24"/>
        <v>2050</v>
      </c>
      <c r="E340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36959.622363047813</v>
      </c>
      <c r="F340">
        <v>1</v>
      </c>
    </row>
    <row r="341" spans="1:7" x14ac:dyDescent="0.25">
      <c r="A341" t="s">
        <v>120</v>
      </c>
      <c r="B341" t="s">
        <v>24</v>
      </c>
      <c r="C341" t="str">
        <f t="shared" si="22"/>
        <v>Træ til energi</v>
      </c>
      <c r="D341">
        <f t="shared" si="24"/>
        <v>2050</v>
      </c>
      <c r="E341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641761.08642399055</v>
      </c>
      <c r="F341">
        <v>1</v>
      </c>
    </row>
    <row r="342" spans="1:7" x14ac:dyDescent="0.25">
      <c r="A342" t="s">
        <v>120</v>
      </c>
      <c r="B342" t="s">
        <v>24</v>
      </c>
      <c r="C342" t="str">
        <f t="shared" si="22"/>
        <v>Have/parkaffald</v>
      </c>
      <c r="D342">
        <f t="shared" si="24"/>
        <v>2050</v>
      </c>
      <c r="E342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1308.8168841700535</v>
      </c>
      <c r="F342">
        <v>1</v>
      </c>
    </row>
    <row r="343" spans="1:7" x14ac:dyDescent="0.25">
      <c r="A343" t="s">
        <v>120</v>
      </c>
      <c r="B343" t="s">
        <v>24</v>
      </c>
      <c r="C343" t="str">
        <f t="shared" si="22"/>
        <v>Bioaffald</v>
      </c>
      <c r="D343">
        <f t="shared" si="24"/>
        <v>2050</v>
      </c>
      <c r="E343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172292.68030975034</v>
      </c>
      <c r="F343">
        <v>1</v>
      </c>
    </row>
    <row r="344" spans="1:7" x14ac:dyDescent="0.25">
      <c r="A344" t="s">
        <v>164</v>
      </c>
      <c r="B344" t="s">
        <v>24</v>
      </c>
      <c r="C344" t="str">
        <f t="shared" si="22"/>
        <v>Halm</v>
      </c>
      <c r="D344">
        <f t="shared" si="24"/>
        <v>2050</v>
      </c>
      <c r="E344">
        <f ca="1"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>
        <v>1</v>
      </c>
      <c r="G344">
        <v>1</v>
      </c>
    </row>
    <row r="345" spans="1:7" x14ac:dyDescent="0.25">
      <c r="A345" t="s">
        <v>164</v>
      </c>
      <c r="B345" t="s">
        <v>24</v>
      </c>
      <c r="C345" t="str">
        <f t="shared" si="22"/>
        <v>Rapsolie</v>
      </c>
      <c r="D345">
        <f t="shared" si="24"/>
        <v>2050</v>
      </c>
      <c r="E345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>
        <v>1</v>
      </c>
      <c r="G345">
        <v>1</v>
      </c>
    </row>
    <row r="346" spans="1:7" x14ac:dyDescent="0.25">
      <c r="A346" t="s">
        <v>164</v>
      </c>
      <c r="B346" t="s">
        <v>24</v>
      </c>
      <c r="C346" t="str">
        <f t="shared" si="22"/>
        <v>Pil &amp; poppel</v>
      </c>
      <c r="D346">
        <f t="shared" si="24"/>
        <v>2050</v>
      </c>
      <c r="E346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>
        <v>1</v>
      </c>
      <c r="G346">
        <v>1</v>
      </c>
    </row>
    <row r="347" spans="1:7" x14ac:dyDescent="0.25">
      <c r="A347" t="s">
        <v>164</v>
      </c>
      <c r="B347" t="s">
        <v>24</v>
      </c>
      <c r="C347" t="str">
        <f t="shared" si="22"/>
        <v>Træmaterialer</v>
      </c>
      <c r="D347">
        <f t="shared" si="24"/>
        <v>2050</v>
      </c>
      <c r="E347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183690.80267816613</v>
      </c>
      <c r="F347">
        <v>1</v>
      </c>
      <c r="G347">
        <v>1</v>
      </c>
    </row>
    <row r="348" spans="1:7" x14ac:dyDescent="0.25">
      <c r="A348" t="s">
        <v>164</v>
      </c>
      <c r="B348" t="s">
        <v>24</v>
      </c>
      <c r="C348" t="str">
        <f t="shared" si="22"/>
        <v>Have/parkaffald</v>
      </c>
      <c r="D348">
        <f t="shared" si="24"/>
        <v>2050</v>
      </c>
      <c r="E34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>
        <v>1</v>
      </c>
      <c r="G348">
        <v>1</v>
      </c>
    </row>
    <row r="349" spans="1:7" x14ac:dyDescent="0.25">
      <c r="A349" t="s">
        <v>164</v>
      </c>
      <c r="B349" t="s">
        <v>24</v>
      </c>
      <c r="C349" t="str">
        <f t="shared" si="22"/>
        <v>Bioaffald</v>
      </c>
      <c r="D349">
        <f t="shared" si="24"/>
        <v>2050</v>
      </c>
      <c r="E34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>
        <v>1</v>
      </c>
      <c r="G34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 ca="1"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 ca="1"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3634979.9351519686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3245874.1778339455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2085.6815338863707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 ca="1"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243453.07671148074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19339631.292659696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542235.86553828907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1298906.2590821604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1273540.6502549821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861.55317224824194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 ca="1"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96046.599229779691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21610883.072868608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475615.83979339601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 ca="1"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 ca="1"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 ca="1"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526698.10610871855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 ca="1"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230697.29316655223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 ca="1"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175.05048128821366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 ca="1"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32782.169963176602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4017892.007010099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327346.69641367544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188207.76974735426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 ca="1"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90515.640673249072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 ca="1"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72.309839736855295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 ca="1"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12952.924335184269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4680862.224178886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288937.99053379206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 ca="1">SUMIFS($E$2:$E$385,$A$2:$A$385,"Foder",$B$2:$B$385,B389,$C$2:$C$385,"Græsprotein",$D$2:$D$385,D389)/VLOOKUP(A389,'[1]Processer - data'!$A$3:$J$492,MATCH(D389,'[1]Processer - data'!$A$2:$J$2,0),FALSE)</f>
        <v>0</v>
      </c>
      <c r="G389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 ca="1">SUMIFS($E$2:$E$385,$A$2:$A$385,"Foder",$B$2:$B$385,B390,$C$2:$C$385,"Græsprotein",$D$2:$D$385,D390)/VLOOKUP(A390,'[1]Processer - data'!$A$3:$J$492,MATCH(D390,'[1]Processer - data'!$A$2:$J$2,0),FALSE)</f>
        <v>0</v>
      </c>
      <c r="G390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 ca="1">SUMIFS($E$2:$E$385,$A$2:$A$385,"Foder",$B$2:$B$385,B391,$C$2:$C$385,"Græsprotein",$D$2:$D$385,D391)/VLOOKUP(A391,'[1]Processer - data'!$A$3:$J$492,MATCH(D391,'[1]Processer - data'!$A$2:$J$2,0),FALSE)</f>
        <v>0</v>
      </c>
      <c r="G391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483154.34823584778</v>
      </c>
      <c r="G393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471962.43365815014</v>
      </c>
      <c r="G394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197398.48186472419</v>
      </c>
      <c r="G396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200042.64483548011</v>
      </c>
      <c r="G397">
        <v>1</v>
      </c>
    </row>
    <row r="398" spans="1:7" x14ac:dyDescent="0.25">
      <c r="A398" t="s">
        <v>310</v>
      </c>
      <c r="B398" t="s">
        <v>23</v>
      </c>
      <c r="C398" t="s">
        <v>67</v>
      </c>
      <c r="D398">
        <f>År1</f>
        <v>2019</v>
      </c>
      <c r="E398">
        <f ca="1"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>
        <v>1</v>
      </c>
    </row>
    <row r="399" spans="1:7" x14ac:dyDescent="0.25">
      <c r="A399" t="s">
        <v>310</v>
      </c>
      <c r="B399" t="s">
        <v>23</v>
      </c>
      <c r="C399" t="s">
        <v>67</v>
      </c>
      <c r="D399">
        <f>År2</f>
        <v>2030</v>
      </c>
      <c r="E399">
        <f ca="1"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>
        <v>1</v>
      </c>
    </row>
    <row r="400" spans="1:7" x14ac:dyDescent="0.25">
      <c r="A400" t="s">
        <v>310</v>
      </c>
      <c r="B400" t="s">
        <v>23</v>
      </c>
      <c r="C400" t="s">
        <v>67</v>
      </c>
      <c r="D400">
        <f>År3</f>
        <v>2050</v>
      </c>
      <c r="E400">
        <f ca="1"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>
        <v>1</v>
      </c>
    </row>
    <row r="401" spans="1:7" x14ac:dyDescent="0.25">
      <c r="A401" t="s">
        <v>310</v>
      </c>
      <c r="B401" t="s">
        <v>24</v>
      </c>
      <c r="C401" t="s">
        <v>67</v>
      </c>
      <c r="D401">
        <f>År1</f>
        <v>2019</v>
      </c>
      <c r="E401">
        <f ca="1"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>
        <v>1</v>
      </c>
    </row>
    <row r="402" spans="1:7" x14ac:dyDescent="0.25">
      <c r="A402" t="s">
        <v>310</v>
      </c>
      <c r="B402" t="s">
        <v>24</v>
      </c>
      <c r="C402" t="s">
        <v>67</v>
      </c>
      <c r="D402">
        <f>År2</f>
        <v>2030</v>
      </c>
      <c r="E402">
        <f ca="1"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>
        <v>1</v>
      </c>
    </row>
    <row r="403" spans="1:7" x14ac:dyDescent="0.25">
      <c r="A403" t="s">
        <v>310</v>
      </c>
      <c r="B403" t="s">
        <v>24</v>
      </c>
      <c r="C403" t="s">
        <v>67</v>
      </c>
      <c r="D403">
        <f>År3</f>
        <v>2050</v>
      </c>
      <c r="E403">
        <f ca="1"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>
        <v>1</v>
      </c>
    </row>
    <row r="404" spans="1:7" x14ac:dyDescent="0.25">
      <c r="A404" t="s">
        <v>120</v>
      </c>
      <c r="B404" t="s">
        <v>23</v>
      </c>
      <c r="C404" t="s">
        <v>306</v>
      </c>
      <c r="D404">
        <f t="shared" ref="D404:D411" si="31">År1</f>
        <v>2019</v>
      </c>
      <c r="E404">
        <f ca="1"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>
        <v>1</v>
      </c>
    </row>
    <row r="405" spans="1:7" x14ac:dyDescent="0.25">
      <c r="A405" t="s">
        <v>120</v>
      </c>
      <c r="B405" t="s">
        <v>23</v>
      </c>
      <c r="C405" t="s">
        <v>307</v>
      </c>
      <c r="D405">
        <f t="shared" si="31"/>
        <v>2019</v>
      </c>
      <c r="E405">
        <f ca="1"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>
        <v>1</v>
      </c>
    </row>
    <row r="406" spans="1:7" x14ac:dyDescent="0.25">
      <c r="A406" t="s">
        <v>120</v>
      </c>
      <c r="B406" t="s">
        <v>23</v>
      </c>
      <c r="C406" t="s">
        <v>306</v>
      </c>
      <c r="D406">
        <f>År2</f>
        <v>2030</v>
      </c>
      <c r="E406">
        <f ca="1"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>
        <v>1</v>
      </c>
    </row>
    <row r="407" spans="1:7" x14ac:dyDescent="0.25">
      <c r="A407" t="s">
        <v>120</v>
      </c>
      <c r="B407" t="s">
        <v>23</v>
      </c>
      <c r="C407" t="s">
        <v>307</v>
      </c>
      <c r="D407">
        <f>År2</f>
        <v>2030</v>
      </c>
      <c r="E407">
        <f ca="1"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>
        <v>1</v>
      </c>
    </row>
    <row r="408" spans="1:7" x14ac:dyDescent="0.25">
      <c r="A408" t="s">
        <v>120</v>
      </c>
      <c r="B408" t="s">
        <v>23</v>
      </c>
      <c r="C408" t="s">
        <v>306</v>
      </c>
      <c r="D408">
        <f>År3</f>
        <v>2050</v>
      </c>
      <c r="E408">
        <f ca="1"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>
        <v>1</v>
      </c>
    </row>
    <row r="409" spans="1:7" x14ac:dyDescent="0.25">
      <c r="A409" t="s">
        <v>120</v>
      </c>
      <c r="B409" t="s">
        <v>23</v>
      </c>
      <c r="C409" t="s">
        <v>307</v>
      </c>
      <c r="D409">
        <f>År3</f>
        <v>2050</v>
      </c>
      <c r="E409">
        <f ca="1"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>
        <v>1</v>
      </c>
    </row>
    <row r="410" spans="1:7" x14ac:dyDescent="0.25">
      <c r="A410" t="s">
        <v>120</v>
      </c>
      <c r="B410" t="s">
        <v>24</v>
      </c>
      <c r="C410" t="s">
        <v>306</v>
      </c>
      <c r="D410">
        <f t="shared" si="31"/>
        <v>2019</v>
      </c>
      <c r="E410">
        <f ca="1"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>
        <v>1</v>
      </c>
    </row>
    <row r="411" spans="1:7" x14ac:dyDescent="0.25">
      <c r="A411" t="s">
        <v>120</v>
      </c>
      <c r="B411" t="s">
        <v>24</v>
      </c>
      <c r="C411" t="s">
        <v>307</v>
      </c>
      <c r="D411">
        <f t="shared" si="31"/>
        <v>2019</v>
      </c>
      <c r="E411">
        <f ca="1"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>
        <v>1</v>
      </c>
    </row>
    <row r="412" spans="1:7" x14ac:dyDescent="0.25">
      <c r="A412" t="s">
        <v>120</v>
      </c>
      <c r="B412" t="s">
        <v>24</v>
      </c>
      <c r="C412" t="s">
        <v>306</v>
      </c>
      <c r="D412">
        <f>År2</f>
        <v>2030</v>
      </c>
      <c r="E412">
        <f ca="1"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>
        <v>1</v>
      </c>
    </row>
    <row r="413" spans="1:7" x14ac:dyDescent="0.25">
      <c r="A413" t="s">
        <v>120</v>
      </c>
      <c r="B413" t="s">
        <v>24</v>
      </c>
      <c r="C413" t="s">
        <v>307</v>
      </c>
      <c r="D413">
        <f>År2</f>
        <v>2030</v>
      </c>
      <c r="E413">
        <f ca="1"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>
        <v>1</v>
      </c>
    </row>
    <row r="414" spans="1:7" x14ac:dyDescent="0.25">
      <c r="A414" t="s">
        <v>120</v>
      </c>
      <c r="B414" t="s">
        <v>24</v>
      </c>
      <c r="C414" t="s">
        <v>306</v>
      </c>
      <c r="D414">
        <f>År3</f>
        <v>2050</v>
      </c>
      <c r="E414">
        <f ca="1"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>
        <v>1</v>
      </c>
    </row>
    <row r="415" spans="1:7" x14ac:dyDescent="0.25">
      <c r="A415" t="s">
        <v>120</v>
      </c>
      <c r="B415" t="s">
        <v>24</v>
      </c>
      <c r="C415" t="s">
        <v>307</v>
      </c>
      <c r="D415">
        <f>År3</f>
        <v>2050</v>
      </c>
      <c r="E415">
        <f ca="1"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>
        <v>1</v>
      </c>
    </row>
  </sheetData>
  <autoFilter ref="A1:G415" xr:uid="{9891F61F-9FCA-417C-BBAD-AB47A8A15D61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 ca="1"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 ca="1">E2-D2</f>
        <v>1162838.9310658472</v>
      </c>
      <c r="G2">
        <f ca="1">IF(F2&gt;=0,IF(H2&gt;=0,F2,F2+H2),IF(F2+H2&gt;0,0,F2+H2))</f>
        <v>1162838.9310658472</v>
      </c>
      <c r="H2">
        <f t="shared" ref="H2:H37" ca="1" si="1">SUMIFS($F$2:$F$37,$C$2:$C$37,C2,$A$2:$A$37,A2,$B$2:$B$37,"&lt;&gt;"&amp;B2)</f>
        <v>732655.58820898295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25">
      <c r="A5" t="s">
        <v>119</v>
      </c>
      <c r="B5" t="s">
        <v>23</v>
      </c>
      <c r="C5">
        <f t="shared" si="0"/>
        <v>2019</v>
      </c>
      <c r="D5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>
        <f ca="1">SUMIFS('Forbrug af biomasse'!E:E,'Forbrug af biomasse'!F:F,"",'Forbrug af biomasse'!B:B,Restprodukter!$B8,'Forbrug af biomasse'!C:C,Restprodukter!$A8,'Forbrug af biomasse'!D:D,Restprodukter!$C8)</f>
        <v>117628.54342759639</v>
      </c>
      <c r="E8">
        <f ca="1"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ca="1" si="2"/>
        <v>732655.58820898295</v>
      </c>
      <c r="G8">
        <f t="shared" ca="1" si="3"/>
        <v>732655.58820898295</v>
      </c>
      <c r="H8">
        <f t="shared" ca="1" si="1"/>
        <v>1162838.9310658472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>
        <f ca="1">SUMIFS('Forbrug af biomasse'!E:E,'Forbrug af biomasse'!F:F,"",'Forbrug af biomasse'!B:B,Restprodukter!$B14,'Forbrug af biomasse'!C:C,Restprodukter!$A14,'Forbrug af biomasse'!D:D,Restprodukter!$C14)</f>
        <v>754028.76978801878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2943875.391505064</v>
      </c>
      <c r="F14">
        <f ca="1">E14-D14</f>
        <v>2189846.6217170451</v>
      </c>
      <c r="G14">
        <f t="shared" ca="1" si="3"/>
        <v>2189846.6217170451</v>
      </c>
      <c r="H14">
        <f t="shared" ca="1" si="1"/>
        <v>1127754.4932839847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154609.39143547131</v>
      </c>
      <c r="F15">
        <f t="shared" si="2"/>
        <v>154609.39143547131</v>
      </c>
      <c r="G15">
        <f t="shared" si="3"/>
        <v>154609.39143547131</v>
      </c>
      <c r="H15">
        <f t="shared" si="1"/>
        <v>63167.514196711745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166331.75376550294</v>
      </c>
      <c r="F16">
        <f t="shared" si="2"/>
        <v>166331.75376550294</v>
      </c>
      <c r="G16">
        <f t="shared" si="3"/>
        <v>166331.75376550294</v>
      </c>
      <c r="H16">
        <f t="shared" si="1"/>
        <v>39167.06519291555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2225869.1010711943</v>
      </c>
      <c r="F17">
        <f t="shared" ca="1" si="2"/>
        <v>2225869.1010711943</v>
      </c>
      <c r="G17">
        <f t="shared" ca="1" si="3"/>
        <v>2225869.1010711943</v>
      </c>
      <c r="H17">
        <f t="shared" ca="1" si="1"/>
        <v>648970.86702196393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>
        <f>SUMIFS('Forbrug af biomasse'!E:E,'Forbrug af biomasse'!F:F,"",'Forbrug af biomasse'!B:B,Restprodukter!$B18,'Forbrug af biomasse'!C:C,Restprodukter!$A18,'Forbrug af biomasse'!D:D,Restprodukter!$C18)</f>
        <v>401960.68859899876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124773.42126939242</v>
      </c>
      <c r="G18">
        <f t="shared" si="3"/>
        <v>124773.42126939242</v>
      </c>
      <c r="H18">
        <f t="shared" si="1"/>
        <v>108035.57873060764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>
        <f ca="1">SUMIFS('Forbrug af biomasse'!E:E,'Forbrug af biomasse'!F:F,"",'Forbrug af biomasse'!B:B,Restprodukter!$B19,'Forbrug af biomasse'!C:C,Restprodukter!$A19,'Forbrug af biomasse'!D:D,Restprodukter!$C19)</f>
        <v>0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195082.22598438186</v>
      </c>
      <c r="G19">
        <f t="shared" ca="1" si="3"/>
        <v>195082.22598438186</v>
      </c>
      <c r="H19">
        <f t="shared" ca="1" si="1"/>
        <v>168912.745758362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>
        <f ca="1">SUMIFS('Forbrug af biomasse'!E:E,'Forbrug af biomasse'!F:F,"",'Forbrug af biomasse'!B:B,Restprodukter!$B20,'Forbrug af biomasse'!C:C,Restprodukter!$A20,'Forbrug af biomasse'!D:D,Restprodukter!$C20)</f>
        <v>92128.125779914451</v>
      </c>
      <c r="E20">
        <f ca="1"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1219882.6190638992</v>
      </c>
      <c r="F20">
        <f t="shared" ca="1" si="2"/>
        <v>1127754.4932839847</v>
      </c>
      <c r="G20">
        <f t="shared" ca="1" si="3"/>
        <v>1127754.4932839847</v>
      </c>
      <c r="H20">
        <f t="shared" ca="1" si="1"/>
        <v>2189846.6217170451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63167.514196711745</v>
      </c>
      <c r="F21">
        <f t="shared" si="2"/>
        <v>63167.514196711745</v>
      </c>
      <c r="G21">
        <f t="shared" si="3"/>
        <v>63167.514196711745</v>
      </c>
      <c r="H21">
        <f t="shared" si="1"/>
        <v>154609.39143547131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39167.06519291555</v>
      </c>
      <c r="F22">
        <f t="shared" si="2"/>
        <v>39167.06519291555</v>
      </c>
      <c r="G22">
        <f t="shared" si="3"/>
        <v>39167.06519291555</v>
      </c>
      <c r="H22">
        <f t="shared" si="1"/>
        <v>166331.75376550294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648970.86702196393</v>
      </c>
      <c r="F23">
        <f t="shared" ca="1" si="2"/>
        <v>648970.86702196393</v>
      </c>
      <c r="G23">
        <f t="shared" ca="1" si="3"/>
        <v>648970.86702196393</v>
      </c>
      <c r="H23">
        <f t="shared" ca="1" si="1"/>
        <v>2225869.1010711943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>
        <f>SUMIFS('Forbrug af biomasse'!E:E,'Forbrug af biomasse'!F:F,"",'Forbrug af biomasse'!B:B,Restprodukter!$B24,'Forbrug af biomasse'!C:C,Restprodukter!$A24,'Forbrug af biomasse'!D:D,Restprodukter!$C24)</f>
        <v>348039.31140100124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108035.57873060764</v>
      </c>
      <c r="G24">
        <f t="shared" si="3"/>
        <v>108035.57873060764</v>
      </c>
      <c r="H24">
        <f t="shared" si="1"/>
        <v>124773.42126939242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>
        <f ca="1">SUMIFS('Forbrug af biomasse'!E:E,'Forbrug af biomasse'!F:F,"",'Forbrug af biomasse'!B:B,Restprodukter!$B25,'Forbrug af biomasse'!C:C,Restprodukter!$A25,'Forbrug af biomasse'!D:D,Restprodukter!$C25)</f>
        <v>0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168912.745758362</v>
      </c>
      <c r="G25">
        <f t="shared" ca="1" si="3"/>
        <v>168912.745758362</v>
      </c>
      <c r="H25">
        <f t="shared" ca="1" si="1"/>
        <v>195082.22598438186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>
        <f ca="1">SUMIFS('Forbrug af biomasse'!E:E,'Forbrug af biomasse'!F:F,"",'Forbrug af biomasse'!B:B,Restprodukter!$B26,'Forbrug af biomasse'!C:C,Restprodukter!$A26,'Forbrug af biomasse'!D:D,Restprodukter!$C26)</f>
        <v>719379.45387000521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3341021.8998528365</v>
      </c>
      <c r="F26">
        <f t="shared" ca="1" si="2"/>
        <v>2621642.4459828315</v>
      </c>
      <c r="G26">
        <f t="shared" ca="1" si="3"/>
        <v>2621642.4459828315</v>
      </c>
      <c r="H26">
        <f t="shared" ca="1" si="1"/>
        <v>1321534.7605934532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151027.97877060805</v>
      </c>
      <c r="F27">
        <f t="shared" si="2"/>
        <v>151027.97877060805</v>
      </c>
      <c r="G27">
        <f t="shared" si="3"/>
        <v>151027.97877060805</v>
      </c>
      <c r="H27">
        <f t="shared" si="1"/>
        <v>64013.646347353635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146472.78733520172</v>
      </c>
      <c r="F28">
        <f t="shared" si="2"/>
        <v>146472.78733520172</v>
      </c>
      <c r="G28">
        <f t="shared" si="3"/>
        <v>146472.78733520172</v>
      </c>
      <c r="H28">
        <f t="shared" si="1"/>
        <v>36959.622363047813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2312878.2492368715</v>
      </c>
      <c r="F29">
        <f t="shared" ca="1" si="2"/>
        <v>2312878.2492368715</v>
      </c>
      <c r="G29">
        <f t="shared" ca="1" si="3"/>
        <v>2312878.2492368715</v>
      </c>
      <c r="H29">
        <f t="shared" ca="1" si="1"/>
        <v>641761.08642399055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>
        <f>SUMIFS('Forbrug af biomasse'!E:E,'Forbrug af biomasse'!F:F,"",'Forbrug af biomasse'!B:B,Restprodukter!$B30,'Forbrug af biomasse'!C:C,Restprodukter!$A30,'Forbrug af biomasse'!D:D,Restprodukter!$C30)</f>
        <v>523381.79192356829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1500.1831158298883</v>
      </c>
      <c r="G30">
        <f t="shared" si="3"/>
        <v>1500.1831158298883</v>
      </c>
      <c r="H30">
        <f t="shared" si="1"/>
        <v>1308.8168841700535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>
        <f ca="1">SUMIFS('Forbrug af biomasse'!E:E,'Forbrug af biomasse'!F:F,"",'Forbrug af biomasse'!B:B,Restprodukter!$B31,'Forbrug af biomasse'!C:C,Restprodukter!$A31,'Forbrug af biomasse'!D:D,Restprodukter!$C31)</f>
        <v>0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197484.13479984918</v>
      </c>
      <c r="G31">
        <f t="shared" ca="1" si="3"/>
        <v>197484.13479984918</v>
      </c>
      <c r="H31">
        <f t="shared" ca="1" si="1"/>
        <v>172292.68030975034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>
        <f ca="1">SUMIFS('Forbrug af biomasse'!E:E,'Forbrug af biomasse'!F:F,"",'Forbrug af biomasse'!B:B,Restprodukter!$B32,'Forbrug af biomasse'!C:C,Restprodukter!$A32,'Forbrug af biomasse'!D:D,Restprodukter!$C32)</f>
        <v>87107.539862645164</v>
      </c>
      <c r="E32">
        <f ca="1"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1408642.3004560983</v>
      </c>
      <c r="F32">
        <f t="shared" ca="1" si="2"/>
        <v>1321534.7605934532</v>
      </c>
      <c r="G32">
        <f t="shared" ca="1" si="3"/>
        <v>1321534.7605934532</v>
      </c>
      <c r="H32">
        <f t="shared" ca="1" si="1"/>
        <v>2621642.4459828315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64013.646347353635</v>
      </c>
      <c r="F33">
        <f t="shared" si="2"/>
        <v>64013.646347353635</v>
      </c>
      <c r="G33">
        <f t="shared" si="3"/>
        <v>64013.646347353635</v>
      </c>
      <c r="H33">
        <f t="shared" si="1"/>
        <v>151027.97877060805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36959.622363047813</v>
      </c>
      <c r="F34">
        <f t="shared" si="2"/>
        <v>36959.622363047813</v>
      </c>
      <c r="G34">
        <f t="shared" si="3"/>
        <v>36959.622363047813</v>
      </c>
      <c r="H34">
        <f t="shared" si="1"/>
        <v>146472.78733520172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641761.08642399055</v>
      </c>
      <c r="F35">
        <f t="shared" ca="1" si="2"/>
        <v>641761.08642399055</v>
      </c>
      <c r="G35">
        <f t="shared" ca="1" si="3"/>
        <v>641761.08642399055</v>
      </c>
      <c r="H35">
        <f t="shared" ca="1" si="1"/>
        <v>2312878.2492368715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>
        <f>SUMIFS('Forbrug af biomasse'!E:E,'Forbrug af biomasse'!F:F,"",'Forbrug af biomasse'!B:B,Restprodukter!$B36,'Forbrug af biomasse'!C:C,Restprodukter!$A36,'Forbrug af biomasse'!D:D,Restprodukter!$C36)</f>
        <v>456618.20807643177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1308.8168841700535</v>
      </c>
      <c r="G36">
        <f t="shared" si="3"/>
        <v>1308.8168841700535</v>
      </c>
      <c r="H36">
        <f t="shared" si="1"/>
        <v>1500.1831158298883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>
        <f ca="1">SUMIFS('Forbrug af biomasse'!E:E,'Forbrug af biomasse'!F:F,"",'Forbrug af biomasse'!B:B,Restprodukter!$B37,'Forbrug af biomasse'!C:C,Restprodukter!$A37,'Forbrug af biomasse'!D:D,Restprodukter!$C37)</f>
        <v>0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172292.68030975034</v>
      </c>
      <c r="G37">
        <f t="shared" ca="1" si="3"/>
        <v>172292.68030975034</v>
      </c>
      <c r="H37">
        <f t="shared" ca="1" si="1"/>
        <v>197484.13479984918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87" zoomScale="80" zoomScaleNormal="80" workbookViewId="0">
      <selection activeCell="H109" sqref="H109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77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278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279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>
        <f>SUMIF($F$3:$F$494,"Roer",I3:I494)</f>
        <v>376249.55505520181</v>
      </c>
      <c r="O3">
        <f>SUMIF($F$3:$F$494,"Roer",J3:J494)</f>
        <v>370630.07456563454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74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75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76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74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75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76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x14ac:dyDescent="0.25">
      <c r="A6" t="str">
        <f>IF('[1]Processer - data'!A6&lt;&gt;"",'[1]Processer - data'!A6,"")</f>
        <v>Bioaffaldsproduktion</v>
      </c>
      <c r="B6" t="str">
        <f>IF('[1]Processer - data'!B6&lt;&gt;"",'[1]Processer - data'!B6,"")</f>
        <v/>
      </c>
      <c r="C6" t="str">
        <f>IF('[1]Processer - data'!C6&lt;&gt;"",'[1]Processer - data'!C6,"")</f>
        <v/>
      </c>
      <c r="D6" t="str">
        <f>IF('[1]Processer - data'!D6&lt;&gt;"",'[1]Processer - data'!D6,"")</f>
        <v>Befolkning</v>
      </c>
      <c r="E6" t="str">
        <f>IF('[1]Processer - data'!E6&lt;&gt;"",'[1]Processer - data'!E6,"")</f>
        <v>Antal</v>
      </c>
      <c r="F6" t="str">
        <f>IF('[1]Processer - data'!F6&lt;&gt;"",'[1]Processer - data'!F6,"")</f>
        <v>Industriaffald</v>
      </c>
      <c r="G6" t="str">
        <f>IF('[1]Processer - data'!G6&lt;&gt;"",'[1]Processer - data'!G6,"")</f>
        <v>Ton</v>
      </c>
      <c r="H6" s="274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75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76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74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75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878.90231344976178</v>
      </c>
      <c r="J7" s="276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878.90231344976178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74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75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-142.38217477886138</v>
      </c>
      <c r="J8" s="276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-142.38217477886138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74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75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382.5</v>
      </c>
      <c r="J9" s="276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382.5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74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75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-15.861000000000001</v>
      </c>
      <c r="J10" s="276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-15.861000000000001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74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75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76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74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75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76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74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75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76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274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75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76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274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75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76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274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75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76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274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75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-14977.136889477004</v>
      </c>
      <c r="J17" s="276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-9180.50628807049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274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75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76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274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75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76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274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75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76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274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75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-3311.1766801946765</v>
      </c>
      <c r="J21" s="276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-20456.825285870404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274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75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76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74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75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76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74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75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76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74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75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76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-83871.966581071218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274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75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76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274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75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76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1144.5736818569644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274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75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76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597.91162485065297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274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75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76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-8700.6771294542905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274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75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76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-6109.2989850833546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274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75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76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274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75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76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274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75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-674074.4748612477</v>
      </c>
      <c r="J33" s="276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-428430.02545910742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274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75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76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74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75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12353.466412444523</v>
      </c>
      <c r="J35" s="276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77009.557429923152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74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75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3088.3666031111302</v>
      </c>
      <c r="J36" s="276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19252.389357480781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74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75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-86560.382820211555</v>
      </c>
      <c r="J37" s="276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-539603.74759542011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274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75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-77904.344538190417</v>
      </c>
      <c r="J38" s="276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-485643.37283587817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274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75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76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127028.56723918195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274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75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76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43971.427121255299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274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75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76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-26301.776225343885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274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75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76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-801076.95589190233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274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75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76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5815.9325080565959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274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75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76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2907.9662540282984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274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75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76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-65494.400344135225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274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75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76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-36676.864192715722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74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75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76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74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75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76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74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75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-14977.136889477004</v>
      </c>
      <c r="J49" s="276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-9178.2792350017862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274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75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76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274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75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76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274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75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76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274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75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-2558.6365256049771</v>
      </c>
      <c r="J53" s="276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-15807.546811808948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274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75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76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274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75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76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274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75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76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274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75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76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-82374.252892123521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274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75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76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74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75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76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840.41616411625125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74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75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76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458.40881679068264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74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75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76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-7962.4221374896288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274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75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76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-1555.367698333157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274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75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76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274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75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76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274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75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-512331.07277112949</v>
      </c>
      <c r="J65" s="276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-326612.55775362212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274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75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76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274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75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3135.0028409305678</v>
      </c>
      <c r="J67" s="276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19614.272625588896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274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75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10972.509943256982</v>
      </c>
      <c r="J68" s="276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68649.954189561104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274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75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-43251.162461405875</v>
      </c>
      <c r="J69" s="276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-270602.65490535798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274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75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-21625.581230702948</v>
      </c>
      <c r="J70" s="276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-135301.32745267905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74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75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76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32708.999660059962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74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75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76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43260.289872982532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74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75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76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-235819.8879993915</v>
      </c>
    </row>
    <row r="74" spans="1:10" x14ac:dyDescent="0.25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274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75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76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-225630.13975250421</v>
      </c>
    </row>
    <row r="75" spans="1:10" x14ac:dyDescent="0.25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274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75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76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2699.6291358284216</v>
      </c>
    </row>
    <row r="76" spans="1:10" x14ac:dyDescent="0.25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274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75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76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1472.5249831791393</v>
      </c>
    </row>
    <row r="77" spans="1:10" x14ac:dyDescent="0.25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274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75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76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-68025.361090017483</v>
      </c>
    </row>
    <row r="78" spans="1:10" x14ac:dyDescent="0.25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274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75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76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-18622.327357221977</v>
      </c>
    </row>
    <row r="79" spans="1:10" x14ac:dyDescent="0.25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274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75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76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274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75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76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274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75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76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x14ac:dyDescent="0.25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274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75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76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274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75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76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274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75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76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274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75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76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x14ac:dyDescent="0.25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274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75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76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274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75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76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274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75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76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274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75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76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x14ac:dyDescent="0.25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274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75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76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274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75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76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274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75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76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274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75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76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x14ac:dyDescent="0.25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274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75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76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404">
        <f>IFERROR(VLOOKUP($F95,Landbrugsproduktivititet!$B$3:$E$9,MATCH($H2,Landbrugsproduktivititet!$B$2:$E$2,0),FALSE),1)*IF($A95&lt;&gt;"",IF(VLOOKUP($A95,[1]!Table1[#All],2,FALSE)="Direkte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14231744.940235101</v>
      </c>
      <c r="I95" s="405">
        <f>IFERROR(VLOOKUP($F95,Landbrugsproduktivititet!$B$3:$E$9,MATCH($H2,Landbrugsproduktivititet!$B$2:$E$2,0),FALSE),1)*IF($A95&lt;&gt;"",IF(VLOOKUP($A95,[1]!Table1[#All],2,FALSE)="Direkte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13478450.427395193</v>
      </c>
      <c r="J95" s="406">
        <f>IFERROR(VLOOKUP($F95,Landbrugsproduktivititet!$B$3:$E$9,MATCH($H2,Landbrugsproduktivititet!$B$2:$E$2,0),FALSE),1)*IF($A95&lt;&gt;"",IF(VLOOKUP($A95,[1]!Table1[#All],2,FALSE)="Direkte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12040811.734315882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404">
        <f>IFERROR(VLOOKUP($F96,Landbrugsproduktivititet!$B$3:$E$9,MATCH($H3,Landbrugsproduktivititet!$B$2:$E$2,0),FALSE),1)*IF($A96&lt;&gt;"",IF(VLOOKUP($A96,[1]!Table1[#All],2,FALSE)="Direkte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input'!$A$3:$A$230,$A$1)),IF(VLOOKUP($A96,[1]!Table1[#All],2,FALSE)="Resultat",SUMIF($F$1:$F34,$D96,H$1:H34)+SUMIF($F97:$F$512,$D96,H97:H$512),0))*'[1]Processer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15352538.506892066</v>
      </c>
      <c r="I96" s="405">
        <f>IFERROR(VLOOKUP($F96,Landbrugsproduktivititet!$B$3:$E$9,MATCH($H3,Landbrugsproduktivititet!$B$2:$E$2,0),FALSE),1)*IF($A96&lt;&gt;"",IF(VLOOKUP($A96,[1]!Table1[#All],2,FALSE)="Direkte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input'!$A$3:$A$230,$A$1)),IF(VLOOKUP($A96,[1]!Table1[#All],2,FALSE)="Resultat",SUMIF($F$1:$F34,$D96,I$1:I34)+SUMIF($F97:$F$512,$D96,I97:I$512),0))*'[1]Processer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14539919.740607873</v>
      </c>
      <c r="J96" s="406">
        <f>IFERROR(VLOOKUP($F96,Landbrugsproduktivititet!$B$3:$E$9,MATCH($H3,Landbrugsproduktivititet!$B$2:$E$2,0),FALSE),1)*IF($A96&lt;&gt;"",IF(VLOOKUP($A96,[1]!Table1[#All],2,FALSE)="Direkte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input'!$A$3:$A$230,$A$1)),IF(VLOOKUP($A96,[1]!Table1[#All],2,FALSE)="Resultat",SUMIF($F$1:$F34,$D96,J$1:J34)+SUMIF($F97:$F$512,$D96,J97:J$512),0))*'[1]Processer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12989062.590821607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404">
        <f ca="1">IFERROR(VLOOKUP($F97,Landbrugsproduktivititet!$B$3:$E$9,MATCH($H4,Landbrugsproduktivititet!$B$2:$E$2,0),FALSE),1)*IF($A97&lt;&gt;"",IF(VLOOKUP($A97,[1]!Table1[#All],2,FALSE)="Direkte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input'!$A$3:$A$230,$A$1)),IF(VLOOKUP($A97,[1]!Table1[#All],2,FALSE)="Resultat",SUMIF($F$1:$F35,$D97,H$1:H35)+SUMIF($F98:$F$512,$D97,H98:H$512),0))*'[1]Processer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1968084.6638925183</v>
      </c>
      <c r="I97" s="405">
        <f ca="1">IFERROR(VLOOKUP($F97,Landbrugsproduktivititet!$B$3:$E$9,MATCH($H4,Landbrugsproduktivititet!$B$2:$E$2,0),FALSE),1)*IF($A97&lt;&gt;"",IF(VLOOKUP($A97,[1]!Table1[#All],2,FALSE)="Direkte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input'!$A$3:$A$230,$A$1)),IF(VLOOKUP($A97,[1]!Table1[#All],2,FALSE)="Resultat",SUMIF($F$1:$F35,$D97,I$1:I35)+SUMIF($F98:$F$512,$D97,I98:I$512),0))*'[1]Processer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1863912.8013176599</v>
      </c>
      <c r="J97" s="406">
        <f ca="1">IFERROR(VLOOKUP($F97,Landbrugsproduktivititet!$B$3:$E$9,MATCH($H4,Landbrugsproduktivititet!$B$2:$E$2,0),FALSE),1)*IF($A97&lt;&gt;"",IF(VLOOKUP($A97,[1]!Table1[#All],2,FALSE)="Direkte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input'!$A$3:$A$230,$A$1)),IF(VLOOKUP($A97,[1]!Table1[#All],2,FALSE)="Resultat",SUMIF($F$1:$F35,$D97,J$1:J35)+SUMIF($F98:$F$512,$D97,J98:J$512),0))*'[1]Processer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1665104.1045661613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404">
        <f>IFERROR(VLOOKUP($F98,Landbrugsproduktivititet!$B$3:$E$9,MATCH($H5,Landbrugsproduktivititet!$B$2:$E$2,0),FALSE),1)*IF($A98&lt;&gt;"",IF(VLOOKUP($A98,[1]!Table1[#All],2,FALSE)="Direkte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input'!$A$3:$A$230,$A$1)),IF(VLOOKUP($A98,[1]!Table1[#All],2,FALSE)="Resultat",SUMIF($F$1:$F36,$D98,H$1:H36)+SUMIF($F99:$F$512,$D98,H99:H$512),0))*'[1]Processer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160864.90802355704</v>
      </c>
      <c r="I98" s="405">
        <f>IFERROR(VLOOKUP($F98,Landbrugsproduktivititet!$B$3:$E$9,MATCH($H5,Landbrugsproduktivititet!$B$2:$E$2,0),FALSE),1)*IF($A98&lt;&gt;"",IF(VLOOKUP($A98,[1]!Table1[#All],2,FALSE)="Direkte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input'!$A$3:$A$230,$A$1)),IF(VLOOKUP($A98,[1]!Table1[#All],2,FALSE)="Resultat",SUMIF($F$1:$F36,$D98,I$1:I36)+SUMIF($F99:$F$512,$D98,I99:I$512),0))*'[1]Processer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152350.23515445206</v>
      </c>
      <c r="J98" s="406">
        <f>IFERROR(VLOOKUP($F98,Landbrugsproduktivititet!$B$3:$E$9,MATCH($H5,Landbrugsproduktivititet!$B$2:$E$2,0),FALSE),1)*IF($A98&lt;&gt;"",IF(VLOOKUP($A98,[1]!Table1[#All],2,FALSE)="Direkte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input'!$A$3:$A$230,$A$1)),IF(VLOOKUP($A98,[1]!Table1[#All],2,FALSE)="Resultat",SUMIF($F$1:$F36,$D98,J$1:J36)+SUMIF($F99:$F$512,$D98,J99:J$512),0))*'[1]Processer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136100.25195811957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404">
        <f>IFERROR(VLOOKUP($F99,Landbrugsproduktivititet!$B$3:$E$9,MATCH($H6,Landbrugsproduktivititet!$B$2:$E$2,0),FALSE),1)*IF($A99&lt;&gt;"",IF(VLOOKUP($A99,[1]!Table1[#All],2,FALSE)="Direkte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input'!$A$3:$A$230,$A$1)),IF(VLOOKUP($A99,[1]!Table1[#All],2,FALSE)="Resultat",SUMIF($F$1:$F37,$D99,H$1:H37)+SUMIF($F100:$F$512,$D99,H100:H$512),0))*'[1]Processer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-8783081404.0200005</v>
      </c>
      <c r="I99" s="405">
        <f>IFERROR(VLOOKUP($F99,Landbrugsproduktivititet!$B$3:$E$9,MATCH($H6,Landbrugsproduktivititet!$B$2:$E$2,0),FALSE),1)*IF($A99&lt;&gt;"",IF(VLOOKUP($A99,[1]!Table1[#All],2,FALSE)="Direkte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input'!$A$3:$A$230,$A$1)),IF(VLOOKUP($A99,[1]!Table1[#All],2,FALSE)="Resultat",SUMIF($F$1:$F37,$D99,I$1:I37)+SUMIF($F100:$F$512,$D99,I100:I$512),0))*'[1]Processer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-8318187811.8948736</v>
      </c>
      <c r="J99" s="406">
        <f>IFERROR(VLOOKUP($F99,Landbrugsproduktivititet!$B$3:$E$9,MATCH($H6,Landbrugsproduktivititet!$B$2:$E$2,0),FALSE),1)*IF($A99&lt;&gt;"",IF(VLOOKUP($A99,[1]!Table1[#All],2,FALSE)="Direkte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input'!$A$3:$A$230,$A$1)),IF(VLOOKUP($A99,[1]!Table1[#All],2,FALSE)="Resultat",SUMIF($F$1:$F37,$D99,J$1:J37)+SUMIF($F100:$F$512,$D99,J100:J$512),0))*'[1]Processer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-7430953131.6845398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404">
        <f>IFERROR(VLOOKUP($F100,Landbrugsproduktivititet!$B$3:$E$9,MATCH($H7,Landbrugsproduktivititet!$B$2:$E$2,0),FALSE),1)*IF($A100&lt;&gt;"",IF(VLOOKUP($A100,[1]!Table1[#All],2,FALSE)="Direkte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input'!$A$3:$A$230,$A$1)),IF(VLOOKUP($A100,[1]!Table1[#All],2,FALSE)="Resultat",SUMIF($F$1:$F38,$D100,H$1:H38)+SUMIF($F101:$F$512,$D100,H101:H$512),0))*'[1]Processer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-674539.66619999998</v>
      </c>
      <c r="I100" s="405">
        <f>IFERROR(VLOOKUP($F100,Landbrugsproduktivititet!$B$3:$E$9,MATCH($H7,Landbrugsproduktivititet!$B$2:$E$2,0),FALSE),1)*IF($A100&lt;&gt;"",IF(VLOOKUP($A100,[1]!Table1[#All],2,FALSE)="Direkte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input'!$A$3:$A$230,$A$1)),IF(VLOOKUP($A100,[1]!Table1[#All],2,FALSE)="Resultat",SUMIF($F$1:$F38,$D100,I$1:I38)+SUMIF($F101:$F$512,$D100,I101:I$512),0))*'[1]Processer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-638835.89049469074</v>
      </c>
      <c r="J100" s="406">
        <f>IFERROR(VLOOKUP($F100,Landbrugsproduktivititet!$B$3:$E$9,MATCH($H7,Landbrugsproduktivititet!$B$2:$E$2,0),FALSE),1)*IF($A100&lt;&gt;"",IF(VLOOKUP($A100,[1]!Table1[#All],2,FALSE)="Direkte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input'!$A$3:$A$230,$A$1)),IF(VLOOKUP($A100,[1]!Table1[#All],2,FALSE)="Resultat",SUMIF($F$1:$F38,$D100,J$1:J38)+SUMIF($F101:$F$512,$D100,J101:J$512),0))*'[1]Processer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-570696.36661913828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404">
        <f>IFERROR(VLOOKUP($F101,Landbrugsproduktivititet!$B$3:$E$9,MATCH($H8,Landbrugsproduktivititet!$B$2:$E$2,0),FALSE),1)*IF($A101&lt;&gt;"",IF(VLOOKUP($A101,[1]!Table1[#All],2,FALSE)="Direkte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input'!$A$3:$A$230,$A$1)),IF(VLOOKUP($A101,[1]!Table1[#All],2,FALSE)="Resultat",SUMIF($F$1:$F39,$D101,H$1:H39)+SUMIF($F102:$F$512,$D101,H102:H$512),0))*'[1]Processer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1150151.6436268529</v>
      </c>
      <c r="I101" s="405">
        <f>IFERROR(VLOOKUP($F101,Landbrugsproduktivititet!$B$3:$E$9,MATCH($H8,Landbrugsproduktivititet!$B$2:$E$2,0),FALSE),1)*IF($A101&lt;&gt;"",IF(VLOOKUP($A101,[1]!Table1[#All],2,FALSE)="Direkte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input'!$A$3:$A$230,$A$1)),IF(VLOOKUP($A101,[1]!Table1[#All],2,FALSE)="Resultat",SUMIF($F$1:$F39,$D101,I$1:I39)+SUMIF($F102:$F$512,$D101,I102:I$512),0))*'[1]Processer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1089273.4501434613</v>
      </c>
      <c r="J101" s="406">
        <f>IFERROR(VLOOKUP($F101,Landbrugsproduktivititet!$B$3:$E$9,MATCH($H8,Landbrugsproduktivititet!$B$2:$E$2,0),FALSE),1)*IF($A101&lt;&gt;"",IF(VLOOKUP($A101,[1]!Table1[#All],2,FALSE)="Direkte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input'!$A$3:$A$230,$A$1)),IF(VLOOKUP($A101,[1]!Table1[#All],2,FALSE)="Resultat",SUMIF($F$1:$F39,$D101,J$1:J39)+SUMIF($F102:$F$512,$D101,J102:J$512),0))*'[1]Processer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973089.34814258514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404">
        <f>IFERROR(VLOOKUP($F102,Landbrugsproduktivititet!$B$3:$E$9,MATCH($H9,Landbrugsproduktivititet!$B$2:$E$2,0),FALSE),1)*IF($A102&lt;&gt;"",IF(VLOOKUP($A102,[1]!Table1[#All],2,FALSE)="Direkte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input'!$A$3:$A$230,$A$1)),IF(VLOOKUP($A102,[1]!Table1[#All],2,FALSE)="Resultat",SUMIF($F$1:$F40,$D102,H$1:H40)+SUMIF($F103:$F$512,$D102,H103:H$512),0))*'[1]Processer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224727.20289902308</v>
      </c>
      <c r="I102" s="405">
        <f>IFERROR(VLOOKUP($F102,Landbrugsproduktivititet!$B$3:$E$9,MATCH($H9,Landbrugsproduktivititet!$B$2:$E$2,0),FALSE),1)*IF($A102&lt;&gt;"",IF(VLOOKUP($A102,[1]!Table1[#All],2,FALSE)="Direkte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input'!$A$3:$A$230,$A$1)),IF(VLOOKUP($A102,[1]!Table1[#All],2,FALSE)="Resultat",SUMIF($F$1:$F40,$D102,I$1:I40)+SUMIF($F103:$F$512,$D102,I103:I$512),0))*'[1]Processer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301413.69568640337</v>
      </c>
      <c r="J102" s="406">
        <f>IFERROR(VLOOKUP($F102,Landbrugsproduktivititet!$B$3:$E$9,MATCH($H9,Landbrugsproduktivititet!$B$2:$E$2,0),FALSE),1)*IF($A102&lt;&gt;"",IF(VLOOKUP($A102,[1]!Table1[#All],2,FALSE)="Direkte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input'!$A$3:$A$230,$A$1)),IF(VLOOKUP($A102,[1]!Table1[#All],2,FALSE)="Resultat",SUMIF($F$1:$F40,$D102,J$1:J40)+SUMIF($F103:$F$512,$D102,J103:J$512),0))*'[1]Processer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464033.51472467376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404">
        <f>IFERROR(VLOOKUP($F103,Landbrugsproduktivititet!$B$3:$E$9,MATCH($H10,Landbrugsproduktivititet!$B$2:$E$2,0),FALSE),1)*IF($A103&lt;&gt;"",IF(VLOOKUP($A103,[1]!Table1[#All],2,FALSE)="Direkte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input'!$A$3:$A$230,$A$1)),IF(VLOOKUP($A103,[1]!Table1[#All],2,FALSE)="Resultat",SUMIF($F$1:$F41,$D103,H$1:H41)+SUMIF($F104:$F$512,$D103,H104:H$512),0))*'[1]Processer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405">
        <f>IFERROR(VLOOKUP($F103,Landbrugsproduktivititet!$B$3:$E$9,MATCH($H10,Landbrugsproduktivititet!$B$2:$E$2,0),FALSE),1)*IF($A103&lt;&gt;"",IF(VLOOKUP($A103,[1]!Table1[#All],2,FALSE)="Direkte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input'!$A$3:$A$230,$A$1)),IF(VLOOKUP($A103,[1]!Table1[#All],2,FALSE)="Resultat",SUMIF($F$1:$F41,$D103,I$1:I41)+SUMIF($F104:$F$512,$D103,I104:I$512),0))*'[1]Processer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406">
        <f>IFERROR(VLOOKUP($F103,Landbrugsproduktivititet!$B$3:$E$9,MATCH($H10,Landbrugsproduktivititet!$B$2:$E$2,0),FALSE),1)*IF($A103&lt;&gt;"",IF(VLOOKUP($A103,[1]!Table1[#All],2,FALSE)="Direkte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input'!$A$3:$A$230,$A$1)),IF(VLOOKUP($A103,[1]!Table1[#All],2,FALSE)="Resultat",SUMIF($F$1:$F41,$D103,J$1:J41)+SUMIF($F104:$F$512,$D103,J104:J$512),0))*'[1]Processer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404">
        <f>IFERROR(VLOOKUP($F104,Landbrugsproduktivititet!$B$3:$E$9,MATCH($H11,Landbrugsproduktivititet!$B$2:$E$2,0),FALSE),1)*IF($A104&lt;&gt;"",IF(VLOOKUP($A104,[1]!Table1[#All],2,FALSE)="Direkte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input'!$A$3:$A$230,$A$1)),IF(VLOOKUP($A104,[1]!Table1[#All],2,FALSE)="Resultat",SUMIF($F$1:$F42,$D104,H$1:H42)+SUMIF($F105:$F$512,$D104,H105:H$512),0))*'[1]Processer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243586.51339107481</v>
      </c>
      <c r="I104" s="405">
        <f>IFERROR(VLOOKUP($F104,Landbrugsproduktivititet!$B$3:$E$9,MATCH($H11,Landbrugsproduktivititet!$B$2:$E$2,0),FALSE),1)*IF($A104&lt;&gt;"",IF(VLOOKUP($A104,[1]!Table1[#All],2,FALSE)="Direkte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input'!$A$3:$A$230,$A$1)),IF(VLOOKUP($A104,[1]!Table1[#All],2,FALSE)="Resultat",SUMIF($F$1:$F42,$D104,I$1:I42)+SUMIF($F105:$F$512,$D104,I105:I$512),0))*'[1]Processer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326708.60613861453</v>
      </c>
      <c r="J104" s="406">
        <f>IFERROR(VLOOKUP($F104,Landbrugsproduktivititet!$B$3:$E$9,MATCH($H11,Landbrugsproduktivititet!$B$2:$E$2,0),FALSE),1)*IF($A104&lt;&gt;"",IF(VLOOKUP($A104,[1]!Table1[#All],2,FALSE)="Direkte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input'!$A$3:$A$230,$A$1)),IF(VLOOKUP($A104,[1]!Table1[#All],2,FALSE)="Resultat",SUMIF($F$1:$F42,$D104,J$1:J42)+SUMIF($F105:$F$512,$D104,J105:J$512),0))*'[1]Processer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502975.62773999455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404">
        <f>IFERROR(VLOOKUP($F105,Landbrugsproduktivititet!$B$3:$E$9,MATCH($H12,Landbrugsproduktivititet!$B$2:$E$2,0),FALSE),1)*IF($A105&lt;&gt;"",IF(VLOOKUP($A105,[1]!Table1[#All],2,FALSE)="Direkte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input'!$A$3:$A$230,$A$1)),IF(VLOOKUP($A105,[1]!Table1[#All],2,FALSE)="Resultat",SUMIF($F$1:$F43,$D105,H$1:H43)+SUMIF($F106:$F$512,$D105,H106:H$512),0))*'[1]Processer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7449.8701829066958</v>
      </c>
      <c r="I105" s="405">
        <f>IFERROR(VLOOKUP($F105,Landbrugsproduktivititet!$B$3:$E$9,MATCH($H12,Landbrugsproduktivititet!$B$2:$E$2,0),FALSE),1)*IF($A105&lt;&gt;"",IF(VLOOKUP($A105,[1]!Table1[#All],2,FALSE)="Direkte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input'!$A$3:$A$230,$A$1)),IF(VLOOKUP($A105,[1]!Table1[#All],2,FALSE)="Resultat",SUMIF($F$1:$F43,$D105,I$1:I43)+SUMIF($F106:$F$512,$D105,I106:I$512),0))*'[1]Processer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9992.0831801694221</v>
      </c>
      <c r="J105" s="406">
        <f>IFERROR(VLOOKUP($F105,Landbrugsproduktivititet!$B$3:$E$9,MATCH($H12,Landbrugsproduktivititet!$B$2:$E$2,0),FALSE),1)*IF($A105&lt;&gt;"",IF(VLOOKUP($A105,[1]!Table1[#All],2,FALSE)="Direkte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input'!$A$3:$A$230,$A$1)),IF(VLOOKUP($A105,[1]!Table1[#All],2,FALSE)="Resultat",SUMIF($F$1:$F43,$D105,J$1:J43)+SUMIF($F106:$F$512,$D105,J106:J$512),0))*'[1]Processer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15383.048427697806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404">
        <f>IFERROR(VLOOKUP($F106,Landbrugsproduktivititet!$B$3:$E$9,MATCH($H13,Landbrugsproduktivititet!$B$2:$E$2,0),FALSE),1)*IF($A106&lt;&gt;"",IF(VLOOKUP($A106,[1]!Table1[#All],2,FALSE)="Direkte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input'!$A$3:$A$230,$A$1)),IF(VLOOKUP($A106,[1]!Table1[#All],2,FALSE)="Resultat",SUMIF($F$1:$F44,$D106,H$1:H44)+SUMIF($F107:$F$512,$D106,H107:H$512),0))*'[1]Processer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-406756309.19</v>
      </c>
      <c r="I106" s="405">
        <f>IFERROR(VLOOKUP($F106,Landbrugsproduktivititet!$B$3:$E$9,MATCH($H13,Landbrugsproduktivititet!$B$2:$E$2,0),FALSE),1)*IF($A106&lt;&gt;"",IF(VLOOKUP($A106,[1]!Table1[#All],2,FALSE)="Direkte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input'!$A$3:$A$230,$A$1)),IF(VLOOKUP($A106,[1]!Table1[#All],2,FALSE)="Resultat",SUMIF($F$1:$F44,$D106,I$1:I44)+SUMIF($F107:$F$512,$D106,I107:I$512),0))*'[1]Processer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-545558885.68509495</v>
      </c>
      <c r="J106" s="406">
        <f>IFERROR(VLOOKUP($F106,Landbrugsproduktivititet!$B$3:$E$9,MATCH($H13,Landbrugsproduktivititet!$B$2:$E$2,0),FALSE),1)*IF($A106&lt;&gt;"",IF(VLOOKUP($A106,[1]!Table1[#All],2,FALSE)="Direkte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input'!$A$3:$A$230,$A$1)),IF(VLOOKUP($A106,[1]!Table1[#All],2,FALSE)="Resultat",SUMIF($F$1:$F44,$D106,J$1:J44)+SUMIF($F107:$F$512,$D106,J107:J$512),0))*'[1]Processer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-839900810.20446122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404">
        <f>IFERROR(VLOOKUP($F107,Landbrugsproduktivititet!$B$3:$E$9,MATCH($H14,Landbrugsproduktivititet!$B$2:$E$2,0),FALSE),1)*IF($A107&lt;&gt;"",IF(VLOOKUP($A107,[1]!Table1[#All],2,FALSE)="Direkte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input'!$A$3:$A$230,$A$1)),IF(VLOOKUP($A107,[1]!Table1[#All],2,FALSE)="Resultat",SUMIF($F$1:$F45,$D107,H$1:H45)+SUMIF($F108:$F$512,$D107,H108:H$512),0))*'[1]Processer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-27458.796750000001</v>
      </c>
      <c r="I107" s="405">
        <f>IFERROR(VLOOKUP($F107,Landbrugsproduktivititet!$B$3:$E$9,MATCH($H14,Landbrugsproduktivititet!$B$2:$E$2,0),FALSE),1)*IF($A107&lt;&gt;"",IF(VLOOKUP($A107,[1]!Table1[#All],2,FALSE)="Direkte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input'!$A$3:$A$230,$A$1)),IF(VLOOKUP($A107,[1]!Table1[#All],2,FALSE)="Resultat",SUMIF($F$1:$F45,$D107,I$1:I45)+SUMIF($F108:$F$512,$D107,I108:I$512),0))*'[1]Processer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-36828.907674511363</v>
      </c>
      <c r="J107" s="406">
        <f>IFERROR(VLOOKUP($F107,Landbrugsproduktivititet!$B$3:$E$9,MATCH($H14,Landbrugsproduktivititet!$B$2:$E$2,0),FALSE),1)*IF($A107&lt;&gt;"",IF(VLOOKUP($A107,[1]!Table1[#All],2,FALSE)="Direkte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input'!$A$3:$A$230,$A$1)),IF(VLOOKUP($A107,[1]!Table1[#All],2,FALSE)="Resultat",SUMIF($F$1:$F45,$D107,J$1:J45)+SUMIF($F108:$F$512,$D107,J108:J$512),0))*'[1]Processer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-56698.974586259763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404">
        <f>IFERROR(VLOOKUP($F108,Landbrugsproduktivititet!$B$3:$E$9,MATCH($H15,Landbrugsproduktivititet!$B$2:$E$2,0),FALSE),1)*IF($A108&lt;&gt;"",IF(VLOOKUP($A108,[1]!Table1[#All],2,FALSE)="Direkte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input'!$A$3:$A$230,$A$1)),IF(VLOOKUP($A108,[1]!Table1[#All],2,FALSE)="Resultat",SUMIF($F$1:$F46,$D108,H$1:H46)+SUMIF($F109:$F$512,$D108,H109:H$512),0))*'[1]Processer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58591.57596922417</v>
      </c>
      <c r="I108" s="405">
        <f>IFERROR(VLOOKUP($F108,Landbrugsproduktivititet!$B$3:$E$9,MATCH($H15,Landbrugsproduktivititet!$B$2:$E$2,0),FALSE),1)*IF($A108&lt;&gt;"",IF(VLOOKUP($A108,[1]!Table1[#All],2,FALSE)="Direkte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input'!$A$3:$A$230,$A$1)),IF(VLOOKUP($A108,[1]!Table1[#All],2,FALSE)="Resultat",SUMIF($F$1:$F46,$D108,I$1:I46)+SUMIF($F109:$F$512,$D108,I109:I$512),0))*'[1]Processer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78585.517112095433</v>
      </c>
      <c r="J108" s="406">
        <f>IFERROR(VLOOKUP($F108,Landbrugsproduktivititet!$B$3:$E$9,MATCH($H15,Landbrugsproduktivititet!$B$2:$E$2,0),FALSE),1)*IF($A108&lt;&gt;"",IF(VLOOKUP($A108,[1]!Table1[#All],2,FALSE)="Direkte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input'!$A$3:$A$230,$A$1)),IF(VLOOKUP($A108,[1]!Table1[#All],2,FALSE)="Resultat",SUMIF($F$1:$F46,$D108,J$1:J46)+SUMIF($F109:$F$512,$D108,J109:J$512),0))*'[1]Processer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120984.2626060426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404">
        <f>IFERROR(VLOOKUP($F109,Landbrugsproduktivititet!$B$3:$E$9,MATCH($H16,Landbrugsproduktivititet!$B$2:$E$2,0),FALSE),1)*IF($A109&lt;&gt;"",IF(VLOOKUP($A109,[1]!Table1[#All],2,FALSE)="Direkte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input'!$A$3:$A$230,$A$1)),IF(VLOOKUP($A109,[1]!Table1[#All],2,FALSE)="Resultat",SUMIF($F$1:$F47,$D109,H$1:H47)+SUMIF($F110:$F$512,$D109,H110:H$512),0))*'[1]Processer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411928.1258385395</v>
      </c>
      <c r="I109" s="405">
        <f>IFERROR(VLOOKUP($F109,Landbrugsproduktivititet!$B$3:$E$9,MATCH($H16,Landbrugsproduktivititet!$B$2:$E$2,0),FALSE),1)*IF($A109&lt;&gt;"",IF(VLOOKUP($A109,[1]!Table1[#All],2,FALSE)="Direkte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input'!$A$3:$A$230,$A$1)),IF(VLOOKUP($A109,[1]!Table1[#All],2,FALSE)="Resultat",SUMIF($F$1:$F47,$D109,I$1:I47)+SUMIF($F110:$F$512,$D109,I110:I$512),0))*'[1]Processer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400887.81238927291</v>
      </c>
      <c r="J109" s="406">
        <f>IFERROR(VLOOKUP($F109,Landbrugsproduktivititet!$B$3:$E$9,MATCH($H16,Landbrugsproduktivititet!$B$2:$E$2,0),FALSE),1)*IF($A109&lt;&gt;"",IF(VLOOKUP($A109,[1]!Table1[#All],2,FALSE)="Direkte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input'!$A$3:$A$230,$A$1)),IF(VLOOKUP($A109,[1]!Table1[#All],2,FALSE)="Resultat",SUMIF($F$1:$F47,$D109,J$1:J47)+SUMIF($F110:$F$512,$D109,J110:J$512),0))*'[1]Processer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381519.88923974213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404">
        <f>IFERROR(VLOOKUP($F110,Landbrugsproduktivititet!$B$3:$E$9,MATCH($H17,Landbrugsproduktivititet!$B$2:$E$2,0),FALSE),1)*IF($A110&lt;&gt;"",IF(VLOOKUP($A110,[1]!Table1[#All],2,FALSE)="Direkte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input'!$A$3:$A$230,$A$1)),IF(VLOOKUP($A110,[1]!Table1[#All],2,FALSE)="Resultat",SUMIF($F$1:$F48,$D110,H$1:H48)+SUMIF($F111:$F$512,$D110,H111:H$512),0))*'[1]Processer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11953488.544958346</v>
      </c>
      <c r="I110" s="405">
        <f>IFERROR(VLOOKUP($F110,Landbrugsproduktivititet!$B$3:$E$9,MATCH($H17,Landbrugsproduktivititet!$B$2:$E$2,0),FALSE),1)*IF($A110&lt;&gt;"",IF(VLOOKUP($A110,[1]!Table1[#All],2,FALSE)="Direkte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input'!$A$3:$A$230,$A$1)),IF(VLOOKUP($A110,[1]!Table1[#All],2,FALSE)="Resultat",SUMIF($F$1:$F48,$D110,I$1:I48)+SUMIF($F111:$F$512,$D110,I111:I$512),0))*'[1]Processer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11633116.489566609</v>
      </c>
      <c r="J110" s="406">
        <f>IFERROR(VLOOKUP($F110,Landbrugsproduktivititet!$B$3:$E$9,MATCH($H17,Landbrugsproduktivititet!$B$2:$E$2,0),FALSE),1)*IF($A110&lt;&gt;"",IF(VLOOKUP($A110,[1]!Table1[#All],2,FALSE)="Direkte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input'!$A$3:$A$230,$A$1)),IF(VLOOKUP($A110,[1]!Table1[#All],2,FALSE)="Resultat",SUMIF($F$1:$F48,$D110,J$1:J48)+SUMIF($F111:$F$512,$D110,J111:J$512),0))*'[1]Processer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11071090.657909039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404">
        <f>IFERROR(VLOOKUP($F111,Landbrugsproduktivititet!$B$3:$E$9,MATCH($H18,Landbrugsproduktivititet!$B$2:$E$2,0),FALSE),1)*IF($A111&lt;&gt;"",IF(VLOOKUP($A111,[1]!Table1[#All],2,FALSE)="Direkte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input'!$A$3:$A$230,$A$1)),IF(VLOOKUP($A111,[1]!Table1[#All],2,FALSE)="Resultat",SUMIF($F$1:$F49,$D111,H$1:H49)+SUMIF($F112:$F$512,$D111,H112:H$512),0))*'[1]Processer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234254.90515230247</v>
      </c>
      <c r="I111" s="405">
        <f>IFERROR(VLOOKUP($F111,Landbrugsproduktivititet!$B$3:$E$9,MATCH($H18,Landbrugsproduktivititet!$B$2:$E$2,0),FALSE),1)*IF($A111&lt;&gt;"",IF(VLOOKUP($A111,[1]!Table1[#All],2,FALSE)="Direkte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input'!$A$3:$A$230,$A$1)),IF(VLOOKUP($A111,[1]!Table1[#All],2,FALSE)="Resultat",SUMIF($F$1:$F49,$D111,I$1:I49)+SUMIF($F112:$F$512,$D111,I112:I$512),0))*'[1]Processer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227976.50992341404</v>
      </c>
      <c r="J111" s="406">
        <f>IFERROR(VLOOKUP($F111,Landbrugsproduktivititet!$B$3:$E$9,MATCH($H18,Landbrugsproduktivititet!$B$2:$E$2,0),FALSE),1)*IF($A111&lt;&gt;"",IF(VLOOKUP($A111,[1]!Table1[#All],2,FALSE)="Direkte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input'!$A$3:$A$230,$A$1)),IF(VLOOKUP($A111,[1]!Table1[#All],2,FALSE)="Resultat",SUMIF($F$1:$F49,$D111,J$1:J49)+SUMIF($F112:$F$512,$D111,J112:J$512),0))*'[1]Processer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216962.37732162914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404">
        <f>IFERROR(VLOOKUP($F112,Landbrugsproduktivititet!$B$3:$E$9,MATCH($H19,Landbrugsproduktivititet!$B$2:$E$2,0),FALSE),1)*IF($A112&lt;&gt;"",IF(VLOOKUP($A112,[1]!Table1[#All],2,FALSE)="Direkte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input'!$A$3:$A$230,$A$1)),IF(VLOOKUP($A112,[1]!Table1[#All],2,FALSE)="Resultat",SUMIF($F$1:$F50,$D112,H$1:H50)+SUMIF($F113:$F$512,$D112,H113:H$512),0))*'[1]Processer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4474552.90572685</v>
      </c>
      <c r="I112" s="405">
        <f>IFERROR(VLOOKUP($F112,Landbrugsproduktivititet!$B$3:$E$9,MATCH($H19,Landbrugsproduktivititet!$B$2:$E$2,0),FALSE),1)*IF($A112&lt;&gt;"",IF(VLOOKUP($A112,[1]!Table1[#All],2,FALSE)="Direkte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input'!$A$3:$A$230,$A$1)),IF(VLOOKUP($A112,[1]!Table1[#All],2,FALSE)="Resultat",SUMIF($F$1:$F50,$D112,I$1:I50)+SUMIF($F113:$F$512,$D112,I113:I$512),0))*'[1]Processer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4354627.9393896051</v>
      </c>
      <c r="J112" s="406">
        <f>IFERROR(VLOOKUP($F112,Landbrugsproduktivititet!$B$3:$E$9,MATCH($H19,Landbrugsproduktivititet!$B$2:$E$2,0),FALSE),1)*IF($A112&lt;&gt;"",IF(VLOOKUP($A112,[1]!Table1[#All],2,FALSE)="Direkte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input'!$A$3:$A$230,$A$1)),IF(VLOOKUP($A112,[1]!Table1[#All],2,FALSE)="Resultat",SUMIF($F$1:$F50,$D112,J$1:J50)+SUMIF($F113:$F$512,$D112,J113:J$512),0))*'[1]Processer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4144244.6434439537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404">
        <f>IFERROR(VLOOKUP($F113,Landbrugsproduktivititet!$B$3:$E$9,MATCH($H20,Landbrugsproduktivititet!$B$2:$E$2,0),FALSE),1)*IF($A113&lt;&gt;"",IF(VLOOKUP($A113,[1]!Table1[#All],2,FALSE)="Direkte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input'!$A$3:$A$230,$A$1)),IF(VLOOKUP($A113,[1]!Table1[#All],2,FALSE)="Resultat",SUMIF($F$1:$F51,$D113,H$1:H51)+SUMIF($F114:$F$512,$D113,H114:H$512),0))*'[1]Processer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50974.141893857719</v>
      </c>
      <c r="I113" s="405">
        <f>IFERROR(VLOOKUP($F113,Landbrugsproduktivititet!$B$3:$E$9,MATCH($H20,Landbrugsproduktivititet!$B$2:$E$2,0),FALSE),1)*IF($A113&lt;&gt;"",IF(VLOOKUP($A113,[1]!Table1[#All],2,FALSE)="Direkte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input'!$A$3:$A$230,$A$1)),IF(VLOOKUP($A113,[1]!Table1[#All],2,FALSE)="Resultat",SUMIF($F$1:$F51,$D113,I$1:I51)+SUMIF($F114:$F$512,$D113,I114:I$512),0))*'[1]Processer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49607.955734148476</v>
      </c>
      <c r="J113" s="406">
        <f>IFERROR(VLOOKUP($F113,Landbrugsproduktivititet!$B$3:$E$9,MATCH($H20,Landbrugsproduktivititet!$B$2:$E$2,0),FALSE),1)*IF($A113&lt;&gt;"",IF(VLOOKUP($A113,[1]!Table1[#All],2,FALSE)="Direkte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input'!$A$3:$A$230,$A$1)),IF(VLOOKUP($A113,[1]!Table1[#All],2,FALSE)="Resultat",SUMIF($F$1:$F51,$D113,J$1:J51)+SUMIF($F114:$F$512,$D113,J114:J$512),0))*'[1]Processer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47211.267572096425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404">
        <f>IFERROR(VLOOKUP($F114,Landbrugsproduktivititet!$B$3:$E$9,MATCH($H21,Landbrugsproduktivititet!$B$2:$E$2,0),FALSE),1)*IF($A114&lt;&gt;"",IF(VLOOKUP($A114,[1]!Table1[#All],2,FALSE)="Direkte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input'!$A$3:$A$230,$A$1)),IF(VLOOKUP($A114,[1]!Table1[#All],2,FALSE)="Resultat",SUMIF($F$1:$F52,$D114,H$1:H52)+SUMIF($F115:$F$512,$D114,H115:H$512),0))*'[1]Processer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-3101358722</v>
      </c>
      <c r="I114" s="405">
        <f>IFERROR(VLOOKUP($F114,Landbrugsproduktivititet!$B$3:$E$9,MATCH($H21,Landbrugsproduktivititet!$B$2:$E$2,0),FALSE),1)*IF($A114&lt;&gt;"",IF(VLOOKUP($A114,[1]!Table1[#All],2,FALSE)="Direkte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input'!$A$3:$A$230,$A$1)),IF(VLOOKUP($A114,[1]!Table1[#All],2,FALSE)="Resultat",SUMIF($F$1:$F52,$D114,I$1:I52)+SUMIF($F115:$F$512,$D114,I115:I$512),0))*'[1]Processer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-3018237492.1985717</v>
      </c>
      <c r="J114" s="406">
        <f>IFERROR(VLOOKUP($F114,Landbrugsproduktivititet!$B$3:$E$9,MATCH($H21,Landbrugsproduktivititet!$B$2:$E$2,0),FALSE),1)*IF($A114&lt;&gt;"",IF(VLOOKUP($A114,[1]!Table1[#All],2,FALSE)="Direkte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input'!$A$3:$A$230,$A$1)),IF(VLOOKUP($A114,[1]!Table1[#All],2,FALSE)="Resultat",SUMIF($F$1:$F52,$D114,J$1:J52)+SUMIF($F115:$F$512,$D114,J115:J$512),0))*'[1]Processer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-2872418662.1185713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404">
        <f>IFERROR(VLOOKUP($F115,Landbrugsproduktivititet!$B$3:$E$9,MATCH($H22,Landbrugsproduktivititet!$B$2:$E$2,0),FALSE),1)*IF($A115&lt;&gt;"",IF(VLOOKUP($A115,[1]!Table1[#All],2,FALSE)="Direkte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input'!$A$3:$A$230,$A$1)),IF(VLOOKUP($A115,[1]!Table1[#All],2,FALSE)="Resultat",SUMIF($F$1:$F53,$D115,H$1:H53)+SUMIF($F116:$F$512,$D115,H116:H$512),0))*'[1]Processer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-12971.687549999999</v>
      </c>
      <c r="I115" s="405">
        <f>IFERROR(VLOOKUP($F115,Landbrugsproduktivititet!$B$3:$E$9,MATCH($H22,Landbrugsproduktivititet!$B$2:$E$2,0),FALSE),1)*IF($A115&lt;&gt;"",IF(VLOOKUP($A115,[1]!Table1[#All],2,FALSE)="Direkte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input'!$A$3:$A$230,$A$1)),IF(VLOOKUP($A115,[1]!Table1[#All],2,FALSE)="Resultat",SUMIF($F$1:$F53,$D115,I$1:I53)+SUMIF($F116:$F$512,$D115,I116:I$512),0))*'[1]Processer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-12624.026180127716</v>
      </c>
      <c r="J115" s="406">
        <f>IFERROR(VLOOKUP($F115,Landbrugsproduktivititet!$B$3:$E$9,MATCH($H22,Landbrugsproduktivititet!$B$2:$E$2,0),FALSE),1)*IF($A115&lt;&gt;"",IF(VLOOKUP($A115,[1]!Table1[#All],2,FALSE)="Direkte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input'!$A$3:$A$230,$A$1)),IF(VLOOKUP($A115,[1]!Table1[#All],2,FALSE)="Resultat",SUMIF($F$1:$F53,$D115,J$1:J53)+SUMIF($F116:$F$512,$D115,J116:J$512),0))*'[1]Processer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-12014.126948127714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404">
        <f>IFERROR(VLOOKUP($F116,Landbrugsproduktivititet!$B$3:$E$9,MATCH($H23,Landbrugsproduktivititet!$B$2:$E$2,0),FALSE),1)*IF($A116&lt;&gt;"",IF(VLOOKUP($A116,[1]!Table1[#All],2,FALSE)="Direkte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input'!$A$3:$A$230,$A$1)),IF(VLOOKUP($A116,[1]!Table1[#All],2,FALSE)="Resultat",SUMIF($F$1:$F54,$D116,H$1:H54)+SUMIF($F117:$F$512,$D116,H117:H$512),0))*'[1]Processer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3354535.1850575823</v>
      </c>
      <c r="I116" s="405">
        <f>IFERROR(VLOOKUP($F116,Landbrugsproduktivititet!$B$3:$E$9,MATCH($H23,Landbrugsproduktivititet!$B$2:$E$2,0),FALSE),1)*IF($A116&lt;&gt;"",IF(VLOOKUP($A116,[1]!Table1[#All],2,FALSE)="Direkte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input'!$A$3:$A$230,$A$1)),IF(VLOOKUP($A116,[1]!Table1[#All],2,FALSE)="Resultat",SUMIF($F$1:$F54,$D116,I$1:I54)+SUMIF($F117:$F$512,$D116,I117:I$512),0))*'[1]Processer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3264628.4328924101</v>
      </c>
      <c r="J116" s="406">
        <f>IFERROR(VLOOKUP($F116,Landbrugsproduktivititet!$B$3:$E$9,MATCH($H23,Landbrugsproduktivititet!$B$2:$E$2,0),FALSE),1)*IF($A116&lt;&gt;"",IF(VLOOKUP($A116,[1]!Table1[#All],2,FALSE)="Direkte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input'!$A$3:$A$230,$A$1)),IF(VLOOKUP($A116,[1]!Table1[#All],2,FALSE)="Resultat",SUMIF($F$1:$F54,$D116,J$1:J54)+SUMIF($F117:$F$512,$D116,J117:J$512),0))*'[1]Processer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3106905.8216132326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404">
        <f>IFERROR(VLOOKUP($F117,Landbrugsproduktivititet!$B$3:$E$9,MATCH($H24,Landbrugsproduktivititet!$B$2:$E$2,0),FALSE),1)*IF($A117&lt;&gt;"",IF(VLOOKUP($A117,[1]!Table1[#All],2,FALSE)="Direkte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input'!$A$3:$A$230,$A$1)),IF(VLOOKUP($A117,[1]!Table1[#All],2,FALSE)="Resultat",SUMIF($F$1:$F55,$D117,H$1:H55)+SUMIF($F118:$F$512,$D117,H118:H$512),0))*'[1]Processer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21677.657032824009</v>
      </c>
      <c r="I117" s="405">
        <f>IFERROR(VLOOKUP($F117,Landbrugsproduktivititet!$B$3:$E$9,MATCH($H24,Landbrugsproduktivititet!$B$2:$E$2,0),FALSE),1)*IF($A117&lt;&gt;"",IF(VLOOKUP($A117,[1]!Table1[#All],2,FALSE)="Direkte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input'!$A$3:$A$230,$A$1)),IF(VLOOKUP($A117,[1]!Table1[#All],2,FALSE)="Resultat",SUMIF($F$1:$F55,$D117,I$1:I55)+SUMIF($F118:$F$512,$D117,I118:I$512),0))*'[1]Processer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24989.242538077233</v>
      </c>
      <c r="J117" s="406">
        <f>IFERROR(VLOOKUP($F117,Landbrugsproduktivititet!$B$3:$E$9,MATCH($H24,Landbrugsproduktivititet!$B$2:$E$2,0),FALSE),1)*IF($A117&lt;&gt;"",IF(VLOOKUP($A117,[1]!Table1[#All],2,FALSE)="Direkte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input'!$A$3:$A$230,$A$1)),IF(VLOOKUP($A117,[1]!Table1[#All],2,FALSE)="Resultat",SUMIF($F$1:$F55,$D117,J$1:J55)+SUMIF($F118:$F$512,$D117,J118:J$512),0))*'[1]Processer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30798.727374135498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404">
        <f>IFERROR(VLOOKUP($F118,Landbrugsproduktivititet!$B$3:$E$9,MATCH($H25,Landbrugsproduktivititet!$B$2:$E$2,0),FALSE),1)*IF($A118&lt;&gt;"",IF(VLOOKUP($A118,[1]!Table1[#All],2,FALSE)="Direkte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input'!$A$3:$A$230,$A$1)),IF(VLOOKUP($A118,[1]!Table1[#All],2,FALSE)="Resultat",SUMIF($F$1:$F56,$D118,H$1:H56)+SUMIF($F119:$F$512,$D118,H119:H$512),0))*'[1]Processer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1171427.2358122203</v>
      </c>
      <c r="I118" s="405">
        <f>IFERROR(VLOOKUP($F118,Landbrugsproduktivititet!$B$3:$E$9,MATCH($H25,Landbrugsproduktivititet!$B$2:$E$2,0),FALSE),1)*IF($A118&lt;&gt;"",IF(VLOOKUP($A118,[1]!Table1[#All],2,FALSE)="Direkte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input'!$A$3:$A$230,$A$1)),IF(VLOOKUP($A118,[1]!Table1[#All],2,FALSE)="Resultat",SUMIF($F$1:$F56,$D118,I$1:I56)+SUMIF($F119:$F$512,$D118,I119:I$512),0))*'[1]Processer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1350380.2217691736</v>
      </c>
      <c r="J118" s="406">
        <f>IFERROR(VLOOKUP($F118,Landbrugsproduktivititet!$B$3:$E$9,MATCH($H25,Landbrugsproduktivititet!$B$2:$E$2,0),FALSE),1)*IF($A118&lt;&gt;"",IF(VLOOKUP($A118,[1]!Table1[#All],2,FALSE)="Direkte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input'!$A$3:$A$230,$A$1)),IF(VLOOKUP($A118,[1]!Table1[#All],2,FALSE)="Resultat",SUMIF($F$1:$F56,$D118,J$1:J56)+SUMIF($F119:$F$512,$D118,J119:J$512),0))*'[1]Processer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1664315.8446407835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404">
        <f>IFERROR(VLOOKUP($F119,Landbrugsproduktivititet!$B$3:$E$9,MATCH($H26,Landbrugsproduktivititet!$B$2:$E$2,0),FALSE),1)*IF($A119&lt;&gt;"",IF(VLOOKUP($A119,[1]!Table1[#All],2,FALSE)="Direkte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input'!$A$3:$A$230,$A$1)),IF(VLOOKUP($A119,[1]!Table1[#All],2,FALSE)="Resultat",SUMIF($F$1:$F57,$D119,H$1:H57)+SUMIF($F120:$F$512,$D119,H120:H$512),0))*'[1]Processer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9671.5700607984036</v>
      </c>
      <c r="I119" s="405">
        <f>IFERROR(VLOOKUP($F119,Landbrugsproduktivititet!$B$3:$E$9,MATCH($H26,Landbrugsproduktivititet!$B$2:$E$2,0),FALSE),1)*IF($A119&lt;&gt;"",IF(VLOOKUP($A119,[1]!Table1[#All],2,FALSE)="Direkte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input'!$A$3:$A$230,$A$1)),IF(VLOOKUP($A119,[1]!Table1[#All],2,FALSE)="Resultat",SUMIF($F$1:$F57,$D119,I$1:I57)+SUMIF($F120:$F$512,$D119,I120:I$512),0))*'[1]Processer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11149.046670834457</v>
      </c>
      <c r="J119" s="406">
        <f>IFERROR(VLOOKUP($F119,Landbrugsproduktivititet!$B$3:$E$9,MATCH($H26,Landbrugsproduktivititet!$B$2:$E$2,0),FALSE),1)*IF($A119&lt;&gt;"",IF(VLOOKUP($A119,[1]!Table1[#All],2,FALSE)="Direkte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input'!$A$3:$A$230,$A$1)),IF(VLOOKUP($A119,[1]!Table1[#All],2,FALSE)="Resultat",SUMIF($F$1:$F57,$D119,J$1:J57)+SUMIF($F120:$F$512,$D119,J120:J$512),0))*'[1]Processer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13740.970674614298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404">
        <f>IFERROR(VLOOKUP($F120,Landbrugsproduktivititet!$B$3:$E$9,MATCH($H27,Landbrugsproduktivititet!$B$2:$E$2,0),FALSE),1)*IF($A120&lt;&gt;"",IF(VLOOKUP($A120,[1]!Table1[#All],2,FALSE)="Direkte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input'!$A$3:$A$230,$A$1)),IF(VLOOKUP($A120,[1]!Table1[#All],2,FALSE)="Resultat",SUMIF($F$1:$F58,$D120,H$1:H58)+SUMIF($F121:$F$512,$D120,H121:H$512),0))*'[1]Processer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447449.07465188007</v>
      </c>
      <c r="I120" s="405">
        <f>IFERROR(VLOOKUP($F120,Landbrugsproduktivititet!$B$3:$E$9,MATCH($H27,Landbrugsproduktivititet!$B$2:$E$2,0),FALSE),1)*IF($A120&lt;&gt;"",IF(VLOOKUP($A120,[1]!Table1[#All],2,FALSE)="Direkte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input'!$A$3:$A$230,$A$1)),IF(VLOOKUP($A120,[1]!Table1[#All],2,FALSE)="Resultat",SUMIF($F$1:$F58,$D120,I$1:I58)+SUMIF($F121:$F$512,$D120,I121:I$512),0))*'[1]Processer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515803.5959782608</v>
      </c>
      <c r="J120" s="406">
        <f>IFERROR(VLOOKUP($F120,Landbrugsproduktivititet!$B$3:$E$9,MATCH($H27,Landbrugsproduktivititet!$B$2:$E$2,0),FALSE),1)*IF($A120&lt;&gt;"",IF(VLOOKUP($A120,[1]!Table1[#All],2,FALSE)="Direkte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input'!$A$3:$A$230,$A$1)),IF(VLOOKUP($A120,[1]!Table1[#All],2,FALSE)="Resultat",SUMIF($F$1:$F58,$D120,J$1:J58)+SUMIF($F121:$F$512,$D120,J121:J$512),0))*'[1]Processer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635717.32144048903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404">
        <f>IFERROR(VLOOKUP($F121,Landbrugsproduktivititet!$B$3:$E$9,MATCH($H28,Landbrugsproduktivititet!$B$2:$E$2,0),FALSE),1)*IF($A121&lt;&gt;"",IF(VLOOKUP($A121,[1]!Table1[#All],2,FALSE)="Direkte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input'!$A$3:$A$230,$A$1)),IF(VLOOKUP($A121,[1]!Table1[#All],2,FALSE)="Resultat",SUMIF($F$1:$F59,$D121,H$1:H59)+SUMIF($F122:$F$512,$D121,H122:H$512),0))*'[1]Processer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8943.0621574433171</v>
      </c>
      <c r="I121" s="405">
        <f>IFERROR(VLOOKUP($F121,Landbrugsproduktivititet!$B$3:$E$9,MATCH($H28,Landbrugsproduktivititet!$B$2:$E$2,0),FALSE),1)*IF($A121&lt;&gt;"",IF(VLOOKUP($A121,[1]!Table1[#All],2,FALSE)="Direkte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input'!$A$3:$A$230,$A$1)),IF(VLOOKUP($A121,[1]!Table1[#All],2,FALSE)="Resultat",SUMIF($F$1:$F59,$D121,I$1:I59)+SUMIF($F122:$F$512,$D121,I122:I$512),0))*'[1]Processer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10309.248317152564</v>
      </c>
      <c r="J121" s="406">
        <f>IFERROR(VLOOKUP($F121,Landbrugsproduktivititet!$B$3:$E$9,MATCH($H28,Landbrugsproduktivititet!$B$2:$E$2,0),FALSE),1)*IF($A121&lt;&gt;"",IF(VLOOKUP($A121,[1]!Table1[#All],2,FALSE)="Direkte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input'!$A$3:$A$230,$A$1)),IF(VLOOKUP($A121,[1]!Table1[#All],2,FALSE)="Resultat",SUMIF($F$1:$F59,$D121,J$1:J59)+SUMIF($F122:$F$512,$D121,J122:J$512),0))*'[1]Processer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12705.936479204604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404">
        <f>IFERROR(VLOOKUP($F122,Landbrugsproduktivititet!$B$3:$E$9,MATCH($H29,Landbrugsproduktivititet!$B$2:$E$2,0),FALSE),1)*IF($A122&lt;&gt;"",IF(VLOOKUP($A122,[1]!Table1[#All],2,FALSE)="Direkte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input'!$A$3:$A$230,$A$1)),IF(VLOOKUP($A122,[1]!Table1[#All],2,FALSE)="Resultat",SUMIF($F$1:$F60,$D122,H$1:H60)+SUMIF($F123:$F$512,$D122,H123:H$512),0))*'[1]Processer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-544112030</v>
      </c>
      <c r="I122" s="405">
        <f>IFERROR(VLOOKUP($F122,Landbrugsproduktivititet!$B$3:$E$9,MATCH($H29,Landbrugsproduktivititet!$B$2:$E$2,0),FALSE),1)*IF($A122&lt;&gt;"",IF(VLOOKUP($A122,[1]!Table1[#All],2,FALSE)="Direkte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input'!$A$3:$A$230,$A$1)),IF(VLOOKUP($A122,[1]!Table1[#All],2,FALSE)="Resultat",SUMIF($F$1:$F60,$D122,I$1:I60)+SUMIF($F123:$F$512,$D122,I123:I$512),0))*'[1]Processer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-627233259.8014282</v>
      </c>
      <c r="J122" s="406">
        <f>IFERROR(VLOOKUP($F122,Landbrugsproduktivititet!$B$3:$E$9,MATCH($H29,Landbrugsproduktivititet!$B$2:$E$2,0),FALSE),1)*IF($A122&lt;&gt;"",IF(VLOOKUP($A122,[1]!Table1[#All],2,FALSE)="Direkte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input'!$A$3:$A$230,$A$1)),IF(VLOOKUP($A122,[1]!Table1[#All],2,FALSE)="Resultat",SUMIF($F$1:$F60,$D122,J$1:J60)+SUMIF($F123:$F$512,$D122,J123:J$512),0))*'[1]Processer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-773052089.88142812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404">
        <f>IFERROR(VLOOKUP($F123,Landbrugsproduktivititet!$B$3:$E$9,MATCH($H30,Landbrugsproduktivititet!$B$2:$E$2,0),FALSE),1)*IF($A123&lt;&gt;"",IF(VLOOKUP($A123,[1]!Table1[#All],2,FALSE)="Direkte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input'!$A$3:$A$230,$A$1)),IF(VLOOKUP($A123,[1]!Table1[#All],2,FALSE)="Resultat",SUMIF($F$1:$F61,$D123,H$1:H61)+SUMIF($F124:$F$512,$D123,H124:H$512),0))*'[1]Processer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-2743.422</v>
      </c>
      <c r="I123" s="405">
        <f>IFERROR(VLOOKUP($F123,Landbrugsproduktivititet!$B$3:$E$9,MATCH($H30,Landbrugsproduktivititet!$B$2:$E$2,0),FALSE),1)*IF($A123&lt;&gt;"",IF(VLOOKUP($A123,[1]!Table1[#All],2,FALSE)="Direkte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input'!$A$3:$A$230,$A$1)),IF(VLOOKUP($A123,[1]!Table1[#All],2,FALSE)="Resultat",SUMIF($F$1:$F61,$D123,I$1:I61)+SUMIF($F124:$F$512,$D123,I124:I$512),0))*'[1]Processer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-3162.5206376542596</v>
      </c>
      <c r="J123" s="406">
        <f>IFERROR(VLOOKUP($F123,Landbrugsproduktivititet!$B$3:$E$9,MATCH($H30,Landbrugsproduktivititet!$B$2:$E$2,0),FALSE),1)*IF($A123&lt;&gt;"",IF(VLOOKUP($A123,[1]!Table1[#All],2,FALSE)="Direkte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input'!$A$3:$A$230,$A$1)),IF(VLOOKUP($A123,[1]!Table1[#All],2,FALSE)="Resultat",SUMIF($F$1:$F61,$D123,J$1:J61)+SUMIF($F124:$F$512,$D123,J124:J$512),0))*'[1]Processer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-3897.7416296542592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404">
        <f>IFERROR(VLOOKUP($F124,Landbrugsproduktivititet!$B$3:$E$9,MATCH($H31,Landbrugsproduktivititet!$B$2:$E$2,0),FALSE),1)*IF($A124&lt;&gt;"",IF(VLOOKUP($A124,[1]!Table1[#All],2,FALSE)="Direkte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input'!$A$3:$A$230,$A$1)),IF(VLOOKUP($A124,[1]!Table1[#All],2,FALSE)="Resultat",SUMIF($F$1:$F62,$D124,H$1:H62)+SUMIF($F125:$F$512,$D124,H125:H$512),0))*'[1]Processer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492157.47803573997</v>
      </c>
      <c r="I124" s="405">
        <f>IFERROR(VLOOKUP($F124,Landbrugsproduktivititet!$B$3:$E$9,MATCH($H31,Landbrugsproduktivititet!$B$2:$E$2,0),FALSE),1)*IF($A124&lt;&gt;"",IF(VLOOKUP($A124,[1]!Table1[#All],2,FALSE)="Direkte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input'!$A$3:$A$230,$A$1)),IF(VLOOKUP($A124,[1]!Table1[#All],2,FALSE)="Resultat",SUMIF($F$1:$F62,$D124,I$1:I62)+SUMIF($F125:$F$512,$D124,I125:I$512),0))*'[1]Processer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567341.87495175749</v>
      </c>
      <c r="J124" s="406">
        <f>IFERROR(VLOOKUP($F124,Landbrugsproduktivititet!$B$3:$E$9,MATCH($H31,Landbrugsproduktivititet!$B$2:$E$2,0),FALSE),1)*IF($A124&lt;&gt;"",IF(VLOOKUP($A124,[1]!Table1[#All],2,FALSE)="Direkte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input'!$A$3:$A$230,$A$1)),IF(VLOOKUP($A124,[1]!Table1[#All],2,FALSE)="Resultat",SUMIF($F$1:$F62,$D124,J$1:J62)+SUMIF($F125:$F$512,$D124,J125:J$512),0))*'[1]Processer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699237.19008069311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404">
        <f>IFERROR(VLOOKUP($F125,Landbrugsproduktivititet!$B$3:$E$9,MATCH($H32,Landbrugsproduktivititet!$B$2:$E$2,0),FALSE),1)*IF($A125&lt;&gt;"",IF(VLOOKUP($A125,[1]!Table1[#All],2,FALSE)="Direkte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input'!$A$3:$A$230,$A$1)),IF(VLOOKUP($A125,[1]!Table1[#All],2,FALSE)="Resultat",SUMIF($F$1:$F63,$D125,H$1:H63)+SUMIF($F126:$F$512,$D125,H126:H$512),0))*'[1]Processer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97185929.8774468</v>
      </c>
      <c r="I125" s="405">
        <f>IFERROR(VLOOKUP($F125,Landbrugsproduktivititet!$B$3:$E$9,MATCH($H32,Landbrugsproduktivititet!$B$2:$E$2,0),FALSE),1)*IF($A125&lt;&gt;"",IF(VLOOKUP($A125,[1]!Table1[#All],2,FALSE)="Direkte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input'!$A$3:$A$230,$A$1)),IF(VLOOKUP($A125,[1]!Table1[#All],2,FALSE)="Resultat",SUMIF($F$1:$F63,$D125,I$1:I63)+SUMIF($F126:$F$512,$D125,I126:I$512),0))*'[1]Processer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94936837.525924489</v>
      </c>
      <c r="J125" s="406">
        <f>IFERROR(VLOOKUP($F125,Landbrugsproduktivititet!$B$3:$E$9,MATCH($H32,Landbrugsproduktivititet!$B$2:$E$2,0),FALSE),1)*IF($A125&lt;&gt;"",IF(VLOOKUP($A125,[1]!Table1[#All],2,FALSE)="Direkte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input'!$A$3:$A$230,$A$1)),IF(VLOOKUP($A125,[1]!Table1[#All],2,FALSE)="Resultat",SUMIF($F$1:$F63,$D125,J$1:J63)+SUMIF($F126:$F$512,$D125,J126:J$512),0))*'[1]Processer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90395739.189926684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404">
        <f>IFERROR(VLOOKUP($F126,Landbrugsproduktivititet!$B$3:$E$9,MATCH($H33,Landbrugsproduktivititet!$B$2:$E$2,0),FALSE),1)*IF($A126&lt;&gt;"",IF(VLOOKUP($A126,[1]!Table1[#All],2,FALSE)="Direkte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input'!$A$3:$A$230,$A$1)),IF(VLOOKUP($A126,[1]!Table1[#All],2,FALSE)="Resultat",SUMIF($F$1:$F64,$D126,H$1:H64)+SUMIF($F127:$F$512,$D126,H127:H$512),0))*'[1]Processer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6185.7778797696892</v>
      </c>
      <c r="I126" s="405">
        <f>IFERROR(VLOOKUP($F126,Landbrugsproduktivititet!$B$3:$E$9,MATCH($H33,Landbrugsproduktivititet!$B$2:$E$2,0),FALSE),1)*IF($A126&lt;&gt;"",IF(VLOOKUP($A126,[1]!Table1[#All],2,FALSE)="Direkte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input'!$A$3:$A$230,$A$1)),IF(VLOOKUP($A126,[1]!Table1[#All],2,FALSE)="Resultat",SUMIF($F$1:$F64,$D126,I$1:I64)+SUMIF($F127:$F$512,$D126,I127:I$512),0))*'[1]Processer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6042.625617552826</v>
      </c>
      <c r="J126" s="406">
        <f>IFERROR(VLOOKUP($F126,Landbrugsproduktivititet!$B$3:$E$9,MATCH($H33,Landbrugsproduktivititet!$B$2:$E$2,0),FALSE),1)*IF($A126&lt;&gt;"",IF(VLOOKUP($A126,[1]!Table1[#All],2,FALSE)="Direkte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input'!$A$3:$A$230,$A$1)),IF(VLOOKUP($A126,[1]!Table1[#All],2,FALSE)="Resultat",SUMIF($F$1:$F64,$D126,J$1:J64)+SUMIF($F127:$F$512,$D126,J127:J$512),0))*'[1]Processer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5753.5896874331438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404">
        <f>IFERROR(VLOOKUP($F127,Landbrugsproduktivititet!$B$3:$E$9,MATCH($H34,Landbrugsproduktivititet!$B$2:$E$2,0),FALSE),1)*IF($A127&lt;&gt;"",IF(VLOOKUP($A127,[1]!Table1[#All],2,FALSE)="Direkte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input'!$A$3:$A$230,$A$1)),IF(VLOOKUP($A127,[1]!Table1[#All],2,FALSE)="Resultat",SUMIF($F$1:$F65,$D127,H$1:H65)+SUMIF($F128:$F$512,$D127,H128:H$512),0))*'[1]Processer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137099.40658193204</v>
      </c>
      <c r="I127" s="405">
        <f>IFERROR(VLOOKUP($F127,Landbrugsproduktivititet!$B$3:$E$9,MATCH($H34,Landbrugsproduktivititet!$B$2:$E$2,0),FALSE),1)*IF($A127&lt;&gt;"",IF(VLOOKUP($A127,[1]!Table1[#All],2,FALSE)="Direkte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input'!$A$3:$A$230,$A$1)),IF(VLOOKUP($A127,[1]!Table1[#All],2,FALSE)="Resultat",SUMIF($F$1:$F65,$D127,I$1:I65)+SUMIF($F128:$F$512,$D127,I128:I$512),0))*'[1]Processer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133926.6301612042</v>
      </c>
      <c r="J127" s="406">
        <f>IFERROR(VLOOKUP($F127,Landbrugsproduktivititet!$B$3:$E$9,MATCH($H34,Landbrugsproduktivititet!$B$2:$E$2,0),FALSE),1)*IF($A127&lt;&gt;"",IF(VLOOKUP($A127,[1]!Table1[#All],2,FALSE)="Direkte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input'!$A$3:$A$230,$A$1)),IF(VLOOKUP($A127,[1]!Table1[#All],2,FALSE)="Resultat",SUMIF($F$1:$F65,$D127,J$1:J65)+SUMIF($F128:$F$512,$D127,J128:J$512),0))*'[1]Processer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127520.53940423368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404">
        <f>IFERROR(VLOOKUP($F128,Landbrugsproduktivititet!$B$3:$E$9,MATCH($H35,Landbrugsproduktivititet!$B$2:$E$2,0),FALSE),1)*IF($A128&lt;&gt;"",IF(VLOOKUP($A128,[1]!Table1[#All],2,FALSE)="Direkte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input'!$A$3:$A$230,$A$1)),IF(VLOOKUP($A128,[1]!Table1[#All],2,FALSE)="Resultat",SUMIF($F$1:$F66,$D128,H$1:H66)+SUMIF($F129:$F$512,$D128,H129:H$512),0))*'[1]Processer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202533.97911315371</v>
      </c>
      <c r="I128" s="405">
        <f>IFERROR(VLOOKUP($F128,Landbrugsproduktivititet!$B$3:$E$9,MATCH($H35,Landbrugsproduktivititet!$B$2:$E$2,0),FALSE),1)*IF($A128&lt;&gt;"",IF(VLOOKUP($A128,[1]!Table1[#All],2,FALSE)="Direkte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input'!$A$3:$A$230,$A$1)),IF(VLOOKUP($A128,[1]!Table1[#All],2,FALSE)="Resultat",SUMIF($F$1:$F66,$D128,I$1:I66)+SUMIF($F129:$F$512,$D128,I129:I$512),0))*'[1]Processer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197846.90533692716</v>
      </c>
      <c r="J128" s="406">
        <f>IFERROR(VLOOKUP($F128,Landbrugsproduktivititet!$B$3:$E$9,MATCH($H35,Landbrugsproduktivititet!$B$2:$E$2,0),FALSE),1)*IF($A128&lt;&gt;"",IF(VLOOKUP($A128,[1]!Table1[#All],2,FALSE)="Direkte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input'!$A$3:$A$230,$A$1)),IF(VLOOKUP($A128,[1]!Table1[#All],2,FALSE)="Resultat",SUMIF($F$1:$F66,$D128,J$1:J66)+SUMIF($F129:$F$512,$D128,J129:J$512),0))*'[1]Processer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188383.32643519162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404">
        <f>IFERROR(VLOOKUP($F129,Landbrugsproduktivititet!$B$3:$E$9,MATCH($H36,Landbrugsproduktivititet!$B$2:$E$2,0),FALSE),1)*IF($A129&lt;&gt;"",IF(VLOOKUP($A129,[1]!Table1[#All],2,FALSE)="Direkte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input'!$A$3:$A$230,$A$1)),IF(VLOOKUP($A129,[1]!Table1[#All],2,FALSE)="Resultat",SUMIF($F$1:$F67,$D129,H$1:H67)+SUMIF($F130:$F$512,$D129,H130:H$512),0))*'[1]Processer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8553.8229892246891</v>
      </c>
      <c r="I129" s="405">
        <f>IFERROR(VLOOKUP($F129,Landbrugsproduktivititet!$B$3:$E$9,MATCH($H36,Landbrugsproduktivititet!$B$2:$E$2,0),FALSE),1)*IF($A129&lt;&gt;"",IF(VLOOKUP($A129,[1]!Table1[#All],2,FALSE)="Direkte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input'!$A$3:$A$230,$A$1)),IF(VLOOKUP($A129,[1]!Table1[#All],2,FALSE)="Resultat",SUMIF($F$1:$F67,$D129,I$1:I67)+SUMIF($F130:$F$512,$D129,I130:I$512),0))*'[1]Processer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8355.8690478918143</v>
      </c>
      <c r="J129" s="406">
        <f>IFERROR(VLOOKUP($F129,Landbrugsproduktivititet!$B$3:$E$9,MATCH($H36,Landbrugsproduktivititet!$B$2:$E$2,0),FALSE),1)*IF($A129&lt;&gt;"",IF(VLOOKUP($A129,[1]!Table1[#All],2,FALSE)="Direkte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input'!$A$3:$A$230,$A$1)),IF(VLOOKUP($A129,[1]!Table1[#All],2,FALSE)="Resultat",SUMIF($F$1:$F67,$D129,J$1:J67)+SUMIF($F130:$F$512,$D129,J130:J$512),0))*'[1]Processer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7956.1841203331578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404">
        <f>IFERROR(VLOOKUP($F130,Landbrugsproduktivititet!$B$3:$E$9,MATCH($H37,Landbrugsproduktivititet!$B$2:$E$2,0),FALSE),1)*IF($A130&lt;&gt;"",IF(VLOOKUP($A130,[1]!Table1[#All],2,FALSE)="Direkte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input'!$A$3:$A$230,$A$1)),IF(VLOOKUP($A130,[1]!Table1[#All],2,FALSE)="Resultat",SUMIF($F$1:$F68,$D130,H$1:H68)+SUMIF($F131:$F$512,$D130,H131:H$512),0))*'[1]Processer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-336558388.31999999</v>
      </c>
      <c r="I130" s="405">
        <f>IFERROR(VLOOKUP($F130,Landbrugsproduktivititet!$B$3:$E$9,MATCH($H37,Landbrugsproduktivititet!$B$2:$E$2,0),FALSE),1)*IF($A130&lt;&gt;"",IF(VLOOKUP($A130,[1]!Table1[#All],2,FALSE)="Direkte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input'!$A$3:$A$230,$A$1)),IF(VLOOKUP($A130,[1]!Table1[#All],2,FALSE)="Resultat",SUMIF($F$1:$F68,$D130,I$1:I68)+SUMIF($F131:$F$512,$D130,I131:I$512),0))*'[1]Processer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-328769700.20469648</v>
      </c>
      <c r="J130" s="406">
        <f>IFERROR(VLOOKUP($F130,Landbrugsproduktivititet!$B$3:$E$9,MATCH($H37,Landbrugsproduktivititet!$B$2:$E$2,0),FALSE),1)*IF($A130&lt;&gt;"",IF(VLOOKUP($A130,[1]!Table1[#All],2,FALSE)="Direkte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input'!$A$3:$A$230,$A$1)),IF(VLOOKUP($A130,[1]!Table1[#All],2,FALSE)="Resultat",SUMIF($F$1:$F68,$D130,J$1:J68)+SUMIF($F131:$F$512,$D130,J131:J$512),0))*'[1]Processer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-313043712.51189649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404">
        <f>IFERROR(VLOOKUP($F131,Landbrugsproduktivititet!$B$3:$E$9,MATCH($H38,Landbrugsproduktivititet!$B$2:$E$2,0),FALSE),1)*IF($A131&lt;&gt;"",IF(VLOOKUP($A131,[1]!Table1[#All],2,FALSE)="Direkte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input'!$A$3:$A$230,$A$1)),IF(VLOOKUP($A131,[1]!Table1[#All],2,FALSE)="Resultat",SUMIF($F$1:$F69,$D131,H$1:H69)+SUMIF($F132:$F$512,$D131,H132:H$512),0))*'[1]Processer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-7976.870891999999</v>
      </c>
      <c r="I131" s="405">
        <f>IFERROR(VLOOKUP($F131,Landbrugsproduktivititet!$B$3:$E$9,MATCH($H38,Landbrugsproduktivititet!$B$2:$E$2,0),FALSE),1)*IF($A131&lt;&gt;"",IF(VLOOKUP($A131,[1]!Table1[#All],2,FALSE)="Direkte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input'!$A$3:$A$230,$A$1)),IF(VLOOKUP($A131,[1]!Table1[#All],2,FALSE)="Resultat",SUMIF($F$1:$F69,$D131,I$1:I69)+SUMIF($F132:$F$512,$D131,I132:I$512),0))*'[1]Processer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-7792.2688684879358</v>
      </c>
      <c r="J131" s="406">
        <f>IFERROR(VLOOKUP($F131,Landbrugsproduktivititet!$B$3:$E$9,MATCH($H38,Landbrugsproduktivititet!$B$2:$E$2,0),FALSE),1)*IF($A131&lt;&gt;"",IF(VLOOKUP($A131,[1]!Table1[#All],2,FALSE)="Direkte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input'!$A$3:$A$230,$A$1)),IF(VLOOKUP($A131,[1]!Table1[#All],2,FALSE)="Resultat",SUMIF($F$1:$F69,$D131,J$1:J69)+SUMIF($F132:$F$512,$D131,J132:J$512),0))*'[1]Processer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-7419.5425368079359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404">
        <f>IFERROR(VLOOKUP($F132,Landbrugsproduktivititet!$B$3:$E$9,MATCH($H39,Landbrugsproduktivititet!$B$2:$E$2,0),FALSE),1)*IF($A132&lt;&gt;"",IF(VLOOKUP($A132,[1]!Table1[#All],2,FALSE)="Direkte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input'!$A$3:$A$230,$A$1)),IF(VLOOKUP($A132,[1]!Table1[#All],2,FALSE)="Resultat",SUMIF($F$1:$F70,$D132,H$1:H70)+SUMIF($F133:$F$512,$D132,H133:H$512),0))*'[1]Processer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12995.753733500585</v>
      </c>
      <c r="I132" s="405">
        <f>IFERROR(VLOOKUP($F132,Landbrugsproduktivititet!$B$3:$E$9,MATCH($H39,Landbrugsproduktivititet!$B$2:$E$2,0),FALSE),1)*IF($A132&lt;&gt;"",IF(VLOOKUP($A132,[1]!Table1[#All],2,FALSE)="Direkte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input'!$A$3:$A$230,$A$1)),IF(VLOOKUP($A132,[1]!Table1[#All],2,FALSE)="Resultat",SUMIF($F$1:$F70,$D132,I$1:I70)+SUMIF($F133:$F$512,$D132,I133:I$512),0))*'[1]Processer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12695.003919601169</v>
      </c>
      <c r="J132" s="406">
        <f>IFERROR(VLOOKUP($F132,Landbrugsproduktivititet!$B$3:$E$9,MATCH($H39,Landbrugsproduktivititet!$B$2:$E$2,0),FALSE),1)*IF($A132&lt;&gt;"",IF(VLOOKUP($A132,[1]!Table1[#All],2,FALSE)="Direkte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input'!$A$3:$A$230,$A$1)),IF(VLOOKUP($A132,[1]!Table1[#All],2,FALSE)="Resultat",SUMIF($F$1:$F70,$D132,J$1:J70)+SUMIF($F133:$F$512,$D132,J133:J$512),0))*'[1]Processer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12087.765858200146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404">
        <f>IFERROR(VLOOKUP($F133,Landbrugsproduktivititet!$B$3:$E$9,MATCH($H40,Landbrugsproduktivititet!$B$2:$E$2,0),FALSE),1)*IF($A133&lt;&gt;"",IF(VLOOKUP($A133,[1]!Table1[#All],2,FALSE)="Direkte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input'!$A$3:$A$230,$A$1)),IF(VLOOKUP($A133,[1]!Table1[#All],2,FALSE)="Resultat",SUMIF($F$1:$F71,$D133,H$1:H71)+SUMIF($F134:$F$512,$D133,H134:H$512),0))*'[1]Processer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1144367.3520506443</v>
      </c>
      <c r="I133" s="405">
        <f>IFERROR(VLOOKUP($F133,Landbrugsproduktivititet!$B$3:$E$9,MATCH($H40,Landbrugsproduktivititet!$B$2:$E$2,0),FALSE),1)*IF($A133&lt;&gt;"",IF(VLOOKUP($A133,[1]!Table1[#All],2,FALSE)="Direkte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input'!$A$3:$A$230,$A$1)),IF(VLOOKUP($A133,[1]!Table1[#All],2,FALSE)="Resultat",SUMIF($F$1:$F71,$D133,I$1:I71)+SUMIF($F134:$F$512,$D133,I134:I$512),0))*'[1]Processer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1301867.175600535</v>
      </c>
      <c r="J133" s="406">
        <f>IFERROR(VLOOKUP($F133,Landbrugsproduktivititet!$B$3:$E$9,MATCH($H40,Landbrugsproduktivititet!$B$2:$E$2,0),FALSE),1)*IF($A133&lt;&gt;"",IF(VLOOKUP($A133,[1]!Table1[#All],2,FALSE)="Direkte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input'!$A$3:$A$230,$A$1)),IF(VLOOKUP($A133,[1]!Table1[#All],2,FALSE)="Resultat",SUMIF($F$1:$F71,$D133,J$1:J71)+SUMIF($F134:$F$512,$D133,J134:J$512),0))*'[1]Processer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1619871.9859224628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404">
        <f>IFERROR(VLOOKUP($F134,Landbrugsproduktivititet!$B$3:$E$9,MATCH($H41,Landbrugsproduktivititet!$B$2:$E$2,0),FALSE),1)*IF($A134&lt;&gt;"",IF(VLOOKUP($A134,[1]!Table1[#All],2,FALSE)="Direkte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input'!$A$3:$A$230,$A$1)),IF(VLOOKUP($A134,[1]!Table1[#All],2,FALSE)="Resultat",SUMIF($F$1:$F72,$D134,H$1:H72)+SUMIF($F135:$F$512,$D134,H135:H$512),0))*'[1]Processer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2021.8344763254286</v>
      </c>
      <c r="I134" s="405">
        <f>IFERROR(VLOOKUP($F134,Landbrugsproduktivititet!$B$3:$E$9,MATCH($H41,Landbrugsproduktivititet!$B$2:$E$2,0),FALSE),1)*IF($A134&lt;&gt;"",IF(VLOOKUP($A134,[1]!Table1[#All],2,FALSE)="Direkte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input'!$A$3:$A$230,$A$1)),IF(VLOOKUP($A134,[1]!Table1[#All],2,FALSE)="Resultat",SUMIF($F$1:$F72,$D134,I$1:I72)+SUMIF($F135:$F$512,$D134,I135:I$512),0))*'[1]Processer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2300.1005179926569</v>
      </c>
      <c r="J134" s="406">
        <f>IFERROR(VLOOKUP($F134,Landbrugsproduktivititet!$B$3:$E$9,MATCH($H41,Landbrugsproduktivititet!$B$2:$E$2,0),FALSE),1)*IF($A134&lt;&gt;"",IF(VLOOKUP($A134,[1]!Table1[#All],2,FALSE)="Direkte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input'!$A$3:$A$230,$A$1)),IF(VLOOKUP($A134,[1]!Table1[#All],2,FALSE)="Resultat",SUMIF($F$1:$F72,$D134,J$1:J72)+SUMIF($F135:$F$512,$D134,J135:J$512),0))*'[1]Processer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2861.9420350492778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404">
        <f>IFERROR(VLOOKUP($F135,Landbrugsproduktivititet!$B$3:$E$9,MATCH($H42,Landbrugsproduktivititet!$B$2:$E$2,0),FALSE),1)*IF($A135&lt;&gt;"",IF(VLOOKUP($A135,[1]!Table1[#All],2,FALSE)="Direkte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input'!$A$3:$A$230,$A$1)),IF(VLOOKUP($A135,[1]!Table1[#All],2,FALSE)="Resultat",SUMIF($F$1:$F73,$D135,H$1:H73)+SUMIF($F136:$F$512,$D135,H136:H$512),0))*'[1]Processer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7613.0179455684893</v>
      </c>
      <c r="I135" s="405">
        <f>IFERROR(VLOOKUP($F135,Landbrugsproduktivititet!$B$3:$E$9,MATCH($H42,Landbrugsproduktivititet!$B$2:$E$2,0),FALSE),1)*IF($A135&lt;&gt;"",IF(VLOOKUP($A135,[1]!Table1[#All],2,FALSE)="Direkte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input'!$A$3:$A$230,$A$1)),IF(VLOOKUP($A135,[1]!Table1[#All],2,FALSE)="Resultat",SUMIF($F$1:$F73,$D135,I$1:I73)+SUMIF($F136:$F$512,$D135,I136:I$512),0))*'[1]Processer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8660.8012303332616</v>
      </c>
      <c r="J135" s="406">
        <f>IFERROR(VLOOKUP($F135,Landbrugsproduktivititet!$B$3:$E$9,MATCH($H42,Landbrugsproduktivititet!$B$2:$E$2,0),FALSE),1)*IF($A135&lt;&gt;"",IF(VLOOKUP($A135,[1]!Table1[#All],2,FALSE)="Direkte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input'!$A$3:$A$230,$A$1)),IF(VLOOKUP($A135,[1]!Table1[#All],2,FALSE)="Resultat",SUMIF($F$1:$F73,$D135,J$1:J73)+SUMIF($F136:$F$512,$D135,J136:J$512),0))*'[1]Processer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10776.359947924846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404">
        <f>IFERROR(VLOOKUP($F136,Landbrugsproduktivititet!$B$3:$E$9,MATCH($H43,Landbrugsproduktivititet!$B$2:$E$2,0),FALSE),1)*IF($A136&lt;&gt;"",IF(VLOOKUP($A136,[1]!Table1[#All],2,FALSE)="Direkte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input'!$A$3:$A$230,$A$1)),IF(VLOOKUP($A136,[1]!Table1[#All],2,FALSE)="Resultat",SUMIF($F$1:$F74,$D136,H$1:H74)+SUMIF($F137:$F$512,$D136,H137:H$512),0))*'[1]Processer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14016.013855362682</v>
      </c>
      <c r="I136" s="405">
        <f>IFERROR(VLOOKUP($F136,Landbrugsproduktivititet!$B$3:$E$9,MATCH($H43,Landbrugsproduktivititet!$B$2:$E$2,0),FALSE),1)*IF($A136&lt;&gt;"",IF(VLOOKUP($A136,[1]!Table1[#All],2,FALSE)="Direkte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input'!$A$3:$A$230,$A$1)),IF(VLOOKUP($A136,[1]!Table1[#All],2,FALSE)="Resultat",SUMIF($F$1:$F74,$D136,I$1:I74)+SUMIF($F137:$F$512,$D136,I137:I$512),0))*'[1]Processer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15945.044515960162</v>
      </c>
      <c r="J136" s="406">
        <f>IFERROR(VLOOKUP($F136,Landbrugsproduktivititet!$B$3:$E$9,MATCH($H43,Landbrugsproduktivititet!$B$2:$E$2,0),FALSE),1)*IF($A136&lt;&gt;"",IF(VLOOKUP($A136,[1]!Table1[#All],2,FALSE)="Direkte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input'!$A$3:$A$230,$A$1)),IF(VLOOKUP($A136,[1]!Table1[#All],2,FALSE)="Resultat",SUMIF($F$1:$F74,$D136,J$1:J74)+SUMIF($F137:$F$512,$D136,J137:J$512),0))*'[1]Processer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19839.912557727635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404">
        <f>IFERROR(VLOOKUP($F137,Landbrugsproduktivititet!$B$3:$E$9,MATCH($H44,Landbrugsproduktivititet!$B$2:$E$2,0),FALSE),1)*IF($A137&lt;&gt;"",IF(VLOOKUP($A137,[1]!Table1[#All],2,FALSE)="Direkte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input'!$A$3:$A$230,$A$1)),IF(VLOOKUP($A137,[1]!Table1[#All],2,FALSE)="Resultat",SUMIF($F$1:$F75,$D137,H$1:H75)+SUMIF($F138:$F$512,$D137,H138:H$512),0))*'[1]Processer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1438.3001997417073</v>
      </c>
      <c r="I137" s="405">
        <f>IFERROR(VLOOKUP($F137,Landbrugsproduktivititet!$B$3:$E$9,MATCH($H44,Landbrugsproduktivititet!$B$2:$E$2,0),FALSE),1)*IF($A137&lt;&gt;"",IF(VLOOKUP($A137,[1]!Table1[#All],2,FALSE)="Direkte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input'!$A$3:$A$230,$A$1)),IF(VLOOKUP($A137,[1]!Table1[#All],2,FALSE)="Resultat",SUMIF($F$1:$F75,$D137,I$1:I75)+SUMIF($F138:$F$512,$D137,I138:I$512),0))*'[1]Processer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1636.2541410745828</v>
      </c>
      <c r="J137" s="406">
        <f>IFERROR(VLOOKUP($F137,Landbrugsproduktivititet!$B$3:$E$9,MATCH($H44,Landbrugsproduktivititet!$B$2:$E$2,0),FALSE),1)*IF($A137&lt;&gt;"",IF(VLOOKUP($A137,[1]!Table1[#All],2,FALSE)="Direkte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input'!$A$3:$A$230,$A$1)),IF(VLOOKUP($A137,[1]!Table1[#All],2,FALSE)="Resultat",SUMIF($F$1:$F75,$D137,J$1:J75)+SUMIF($F138:$F$512,$D137,J138:J$512),0))*'[1]Processer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2035.9390686332388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404">
        <f>IFERROR(VLOOKUP($F138,Landbrugsproduktivititet!$B$3:$E$9,MATCH($H45,Landbrugsproduktivititet!$B$2:$E$2,0),FALSE),1)*IF($A138&lt;&gt;"",IF(VLOOKUP($A138,[1]!Table1[#All],2,FALSE)="Direkte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input'!$A$3:$A$230,$A$1)),IF(VLOOKUP($A138,[1]!Table1[#All],2,FALSE)="Resultat",SUMIF($F$1:$F76,$D138,H$1:H76)+SUMIF($F139:$F$512,$D138,H139:H$512),0))*'[1]Processer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-56591304</v>
      </c>
      <c r="I138" s="405">
        <f>IFERROR(VLOOKUP($F138,Landbrugsproduktivititet!$B$3:$E$9,MATCH($H45,Landbrugsproduktivititet!$B$2:$E$2,0),FALSE),1)*IF($A138&lt;&gt;"",IF(VLOOKUP($A138,[1]!Table1[#All],2,FALSE)="Direkte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input'!$A$3:$A$230,$A$1)),IF(VLOOKUP($A138,[1]!Table1[#All],2,FALSE)="Resultat",SUMIF($F$1:$F76,$D138,I$1:I76)+SUMIF($F139:$F$512,$D138,I139:I$512),0))*'[1]Processer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-64379992.115303531</v>
      </c>
      <c r="J138" s="406">
        <f>IFERROR(VLOOKUP($F138,Landbrugsproduktivititet!$B$3:$E$9,MATCH($H45,Landbrugsproduktivititet!$B$2:$E$2,0),FALSE),1)*IF($A138&lt;&gt;"",IF(VLOOKUP($A138,[1]!Table1[#All],2,FALSE)="Direkte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input'!$A$3:$A$230,$A$1)),IF(VLOOKUP($A138,[1]!Table1[#All],2,FALSE)="Resultat",SUMIF($F$1:$F76,$D138,J$1:J76)+SUMIF($F139:$F$512,$D138,J139:J$512),0))*'[1]Processer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-80105979.808103532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404">
        <f>IFERROR(VLOOKUP($F139,Landbrugsproduktivititet!$B$3:$E$9,MATCH($H46,Landbrugsproduktivititet!$B$2:$E$2,0),FALSE),1)*IF($A139&lt;&gt;"",IF(VLOOKUP($A139,[1]!Table1[#All],2,FALSE)="Direkte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input'!$A$3:$A$230,$A$1)),IF(VLOOKUP($A139,[1]!Table1[#All],2,FALSE)="Resultat",SUMIF($F$1:$F77,$D139,H$1:H77)+SUMIF($F140:$F$512,$D139,H140:H$512),0))*'[1]Processer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-2526.3975</v>
      </c>
      <c r="I139" s="405">
        <f>IFERROR(VLOOKUP($F139,Landbrugsproduktivititet!$B$3:$E$9,MATCH($H46,Landbrugsproduktivititet!$B$2:$E$2,0),FALSE),1)*IF($A139&lt;&gt;"",IF(VLOOKUP($A139,[1]!Table1[#All],2,FALSE)="Direkte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input'!$A$3:$A$230,$A$1)),IF(VLOOKUP($A139,[1]!Table1[#All],2,FALSE)="Resultat",SUMIF($F$1:$F77,$D139,I$1:I77)+SUMIF($F140:$F$512,$D139,I140:I$512),0))*'[1]Processer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-2874.1067908617647</v>
      </c>
      <c r="J139" s="406">
        <f>IFERROR(VLOOKUP($F139,Landbrugsproduktivititet!$B$3:$E$9,MATCH($H46,Landbrugsproduktivititet!$B$2:$E$2,0),FALSE),1)*IF($A139&lt;&gt;"",IF(VLOOKUP($A139,[1]!Table1[#All],2,FALSE)="Direkte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input'!$A$3:$A$230,$A$1)),IF(VLOOKUP($A139,[1]!Table1[#All],2,FALSE)="Resultat",SUMIF($F$1:$F77,$D139,J$1:J77)+SUMIF($F140:$F$512,$D139,J140:J$512),0))*'[1]Processer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-3576.1598128617643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404">
        <f>IFERROR(VLOOKUP($F140,Landbrugsproduktivititet!$B$3:$E$9,MATCH($H47,Landbrugsproduktivititet!$B$2:$E$2,0),FALSE),1)*IF($A140&lt;&gt;"",IF(VLOOKUP($A140,[1]!Table1[#All],2,FALSE)="Direkte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input'!$A$3:$A$230,$A$1)),IF(VLOOKUP($A140,[1]!Table1[#All],2,FALSE)="Resultat",SUMIF($F$1:$F78,$D140,H$1:H78)+SUMIF($F141:$F$512,$D140,H141:H$512),0))*'[1]Processer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2403.7175816775175</v>
      </c>
      <c r="I140" s="405">
        <f>IFERROR(VLOOKUP($F140,Landbrugsproduktivititet!$B$3:$E$9,MATCH($H47,Landbrugsproduktivititet!$B$2:$E$2,0),FALSE),1)*IF($A140&lt;&gt;"",IF(VLOOKUP($A140,[1]!Table1[#All],2,FALSE)="Direkte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input'!$A$3:$A$230,$A$1)),IF(VLOOKUP($A140,[1]!Table1[#All],2,FALSE)="Resultat",SUMIF($F$1:$F78,$D140,I$1:I78)+SUMIF($F141:$F$512,$D140,I141:I$512),0))*'[1]Processer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2734.5423769668755</v>
      </c>
      <c r="J140" s="406">
        <f>IFERROR(VLOOKUP($F140,Landbrugsproduktivititet!$B$3:$E$9,MATCH($H47,Landbrugsproduktivititet!$B$2:$E$2,0),FALSE),1)*IF($A140&lt;&gt;"",IF(VLOOKUP($A140,[1]!Table1[#All],2,FALSE)="Direkte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input'!$A$3:$A$230,$A$1)),IF(VLOOKUP($A140,[1]!Table1[#All],2,FALSE)="Resultat",SUMIF($F$1:$F78,$D140,J$1:J78)+SUMIF($F141:$F$512,$D140,J141:J$512),0))*'[1]Processer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3402.5042445080016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74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75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5897437.7182691516</v>
      </c>
      <c r="J141" s="276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5669396.5034545362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74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75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2594872.5960384272</v>
      </c>
      <c r="J142" s="276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2806351.2692099959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74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75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-125800263.2985007</v>
      </c>
      <c r="J143" s="276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-112522910.19695166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74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75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1787695.9380624311</v>
      </c>
      <c r="J144" s="276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1599016.9195492582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74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75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187609.28996138749</v>
      </c>
      <c r="J145" s="276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159621.9312272981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74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75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82548.087583010521</v>
      </c>
      <c r="J146" s="276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79012.855957512569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74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75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-2709659.0645962353</v>
      </c>
      <c r="J147" s="276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-2145056.8607526263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74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75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333323.38154699642</v>
      </c>
      <c r="J148" s="276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263869.95167718321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74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75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86832.772896460694</v>
      </c>
      <c r="J149" s="276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74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75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38206.420074442707</v>
      </c>
      <c r="J150" s="276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74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75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-826901.61200631468</v>
      </c>
      <c r="J151" s="276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74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75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338630.22086863633</v>
      </c>
      <c r="J152" s="276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74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75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616674.26776583213</v>
      </c>
      <c r="J153" s="276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805741.50306672044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74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75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271336.6778169662</v>
      </c>
      <c r="J154" s="276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398842.04401802667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74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75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-13154489.959941491</v>
      </c>
      <c r="J155" s="276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-15991892.388597069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74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75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279004.56836812507</v>
      </c>
      <c r="J156" s="276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339185.40717711538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74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75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19617.641938736997</v>
      </c>
      <c r="J157" s="276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22685.662347152367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74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75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8631.762453044279</v>
      </c>
      <c r="J158" s="276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11229.402861840423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74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75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-283339.49409564101</v>
      </c>
      <c r="J159" s="276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-304858.08111908543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74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75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52021.568218317363</v>
      </c>
      <c r="J160" s="276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55972.413992129776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74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75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9079.7968884218153</v>
      </c>
      <c r="J161" s="276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74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75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3995.1106309055999</v>
      </c>
      <c r="J162" s="276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74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75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-86466.185902856858</v>
      </c>
      <c r="J163" s="276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74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75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52849.803256954823</v>
      </c>
      <c r="J164" s="276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74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75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148605.62227031626</v>
      </c>
      <c r="J165" s="276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142715.4964922044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74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75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-1348075.1684066702</v>
      </c>
      <c r="J166" s="276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-1205795.1003920683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74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75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15325.5545867663</v>
      </c>
      <c r="J167" s="276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13708.047640515055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74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75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2184.7595918649358</v>
      </c>
      <c r="J168" s="276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1856.9674854049474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74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75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-16102.966625087563</v>
      </c>
      <c r="J169" s="276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-12747.647661260922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74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75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1320.5831829652263</v>
      </c>
      <c r="J170" s="276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1045.4178733501305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74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75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510.14665094313386</v>
      </c>
      <c r="J171" s="276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74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75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-3140.2879878678937</v>
      </c>
      <c r="J172" s="276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74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75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676.84270476343079</v>
      </c>
      <c r="J173" s="276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74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75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13219.887437804438</v>
      </c>
      <c r="J174" s="276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17255.600939511984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74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75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-119924.1435940963</v>
      </c>
      <c r="J175" s="276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-145791.58941104097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74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75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2391.8495597843366</v>
      </c>
      <c r="J176" s="276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2907.7676813213752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74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75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194.35520299885178</v>
      </c>
      <c r="J177" s="276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224.52425050805272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74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75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-1432.5124645092346</v>
      </c>
      <c r="J178" s="276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-1541.3064899524566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74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75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206.10257768821452</v>
      </c>
      <c r="J179" s="276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221.75530646820951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74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75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45.382410161935432</v>
      </c>
      <c r="J180" s="276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74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75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-279.35856724443283</v>
      </c>
      <c r="J181" s="276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74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75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105.63441057001521</v>
      </c>
      <c r="J182" s="276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74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75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18146.062042733</v>
      </c>
      <c r="J183" s="276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18478.993734755764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74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75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-14362914.278106526</v>
      </c>
      <c r="J184" s="276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-12798130.913545679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74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75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3110.1787899816486</v>
      </c>
      <c r="J185" s="276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2771.3369688067014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74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75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1614.2652880789644</v>
      </c>
      <c r="J186" s="276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2234.2783333841066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74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75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-1277718.212370286</v>
      </c>
      <c r="J187" s="276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-1547410.3740923414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74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75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485.40362618210702</v>
      </c>
      <c r="J188" s="276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587.85935701960341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74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75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1824719.8912023418</v>
      </c>
      <c r="J189" s="276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1754161.903044682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74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75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-6022991.2032388803</v>
      </c>
      <c r="J190" s="276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-5387305.8808387714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74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75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91296.274494791462</v>
      </c>
      <c r="J191" s="276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81660.580247896083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74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75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71094.924825440001</v>
      </c>
      <c r="J192" s="276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60489.05788957436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74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75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-156445.60347155639</v>
      </c>
      <c r="J193" s="276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-123847.57899837565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74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75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20848.585632116265</v>
      </c>
      <c r="J194" s="276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16504.438595791955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74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75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55657.468506481237</v>
      </c>
      <c r="J195" s="276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74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75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-78734.067190725124</v>
      </c>
      <c r="J196" s="276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74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75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35825.482843373764</v>
      </c>
      <c r="J197" s="276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74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75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162326.23772025458</v>
      </c>
      <c r="J198" s="276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212094.1210044933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74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75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-535802.51224188658</v>
      </c>
      <c r="J199" s="276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-651374.25650141481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74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75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14248.551510747804</v>
      </c>
      <c r="J200" s="276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17321.941264705227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74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75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6324.5716362053263</v>
      </c>
      <c r="J201" s="276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7313.6769993758098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74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75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-13917.328540041923</v>
      </c>
      <c r="J202" s="276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-14974.29818798542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74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75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3253.8255032782613</v>
      </c>
      <c r="J203" s="276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3500.9415203195058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74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75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4951.2626607788789</v>
      </c>
      <c r="J204" s="276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74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75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-7004.1462084697077</v>
      </c>
      <c r="J205" s="276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74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75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5591.2603281565989</v>
      </c>
      <c r="J206" s="276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74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75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9247816.6009216346</v>
      </c>
      <c r="J207" s="276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8890223.4506753813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74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75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-26997923.906603333</v>
      </c>
      <c r="J208" s="276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-24148478.608812794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74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75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396032.43561448425</v>
      </c>
      <c r="J209" s="276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354233.93416903727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74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75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1124921.4616650923</v>
      </c>
      <c r="J210" s="276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957106.84810423467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74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75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-2295322.8024648074</v>
      </c>
      <c r="J211" s="276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-1817054.3997212222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74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75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282354.62101336458</v>
      </c>
      <c r="J212" s="276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223521.37391874261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74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75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1056967.2697290797</v>
      </c>
      <c r="J213" s="276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74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75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-1493077.2041285918</v>
      </c>
      <c r="J214" s="276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74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75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582324.20314794069</v>
      </c>
      <c r="J215" s="276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74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75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1125774.6682971658</v>
      </c>
      <c r="J216" s="276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1470927.8800208364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74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75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-3286568.0778789958</v>
      </c>
      <c r="J217" s="276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-3995475.5516399359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74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75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61808.530413821245</v>
      </c>
      <c r="J218" s="276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75140.531490401874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74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75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136941.30625818987</v>
      </c>
      <c r="J219" s="276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158357.67850451884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74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75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-279419.06485496444</v>
      </c>
      <c r="J220" s="276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-300639.9097720568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74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75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44066.906169715861</v>
      </c>
      <c r="J221" s="276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47413.624770642382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74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75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128668.96358667292</v>
      </c>
      <c r="J222" s="276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74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75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-181758.41571646326</v>
      </c>
      <c r="J223" s="276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74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75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90882.968121354905</v>
      </c>
      <c r="J224" s="276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74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75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224366.16635314791</v>
      </c>
      <c r="J225" s="276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215690.40993439485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74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75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89792.967301125085</v>
      </c>
      <c r="J226" s="276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97110.97498056601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74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75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76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74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75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123514.62125113995</v>
      </c>
      <c r="J228" s="276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110478.50195730201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74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75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8855.7853733845513</v>
      </c>
      <c r="J229" s="276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7534.6885227540415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74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75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3544.1495452861277</v>
      </c>
      <c r="J230" s="276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3392.3666279000636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74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75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76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74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75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28573.881223510933</v>
      </c>
      <c r="J232" s="276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22620.041302486134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74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75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2753.0794920470639</v>
      </c>
      <c r="J233" s="276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74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75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1101.8023832420477</v>
      </c>
      <c r="J234" s="276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74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75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76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74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75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19498.064764712784</v>
      </c>
      <c r="J236" s="276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74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75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19959.51040563553</v>
      </c>
      <c r="J237" s="276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26078.931382976833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74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75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7987.9408483486422</v>
      </c>
      <c r="J238" s="276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11741.599702195706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74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75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76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74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75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19276.8484033571</v>
      </c>
      <c r="J240" s="276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23434.833748518609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74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75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787.80657165542334</v>
      </c>
      <c r="J241" s="276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911.01233956935209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74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75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315.28590463556941</v>
      </c>
      <c r="J242" s="276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410.16796500973487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74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75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76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74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75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4459.5074741895678</v>
      </c>
      <c r="J244" s="276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4798.19057931524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74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75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244.91267851216364</v>
      </c>
      <c r="J245" s="276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74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75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98.015830509220308</v>
      </c>
      <c r="J246" s="276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74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75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76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74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75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3043.0505702152905</v>
      </c>
      <c r="J248" s="276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74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75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340792.96068902157</v>
      </c>
      <c r="J249" s="276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327615.23089035868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74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75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-529172.53143857257</v>
      </c>
      <c r="J250" s="276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-473322.00801892707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74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75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8912.4192900733724</v>
      </c>
      <c r="J251" s="276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7971.7746936262402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74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75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3568.426949187919</v>
      </c>
      <c r="J252" s="276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3036.0927286177698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74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75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-3591.3503316030301</v>
      </c>
      <c r="J253" s="276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-2843.0331951445032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74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75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546.96930351964966</v>
      </c>
      <c r="J254" s="276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432.99921841301472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74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75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1151.5006496503686</v>
      </c>
      <c r="J255" s="276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74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75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-709.52928230698751</v>
      </c>
      <c r="J256" s="276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74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75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387.41901751756075</v>
      </c>
      <c r="J257" s="276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74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75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30316.784190774808</v>
      </c>
      <c r="J258" s="276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39611.65973492519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74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75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-47074.943692714623</v>
      </c>
      <c r="J259" s="276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-57228.933696833898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74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75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1390.9556117455552</v>
      </c>
      <c r="J260" s="276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1690.9825107692025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74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75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317.44561126012758</v>
      </c>
      <c r="J261" s="276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367.09121173287576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74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75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-319.48486475936778</v>
      </c>
      <c r="J262" s="276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-343.74855904928995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74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75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85.365151416361513</v>
      </c>
      <c r="J263" s="276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91.848319057306156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74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75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102.43696530704723</v>
      </c>
      <c r="J264" s="276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74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75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-63.119396848003106</v>
      </c>
      <c r="J265" s="276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74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75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60.464239728174228</v>
      </c>
      <c r="J266" s="276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74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75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22406.861750143828</v>
      </c>
      <c r="J267" s="276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21540.436665592773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74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75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-345316.71620489587</v>
      </c>
      <c r="J268" s="276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-308870.91034802975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74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75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4848.4794574467078</v>
      </c>
      <c r="J269" s="276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4336.7557767944909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74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75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819.9378354889443</v>
      </c>
      <c r="J270" s="276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697.62036205143568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74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75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-10530.191004301578</v>
      </c>
      <c r="J271" s="276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-8336.0518501904207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74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75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801.92627227934429</v>
      </c>
      <c r="J272" s="276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634.83169327315693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74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75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428.7841052512365</v>
      </c>
      <c r="J273" s="276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74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75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-4720.056638940111</v>
      </c>
      <c r="J274" s="276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74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75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960.92579800208387</v>
      </c>
      <c r="J275" s="276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74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75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1993.3040597382283</v>
      </c>
      <c r="J276" s="276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2604.4346150216716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74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75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-30719.215389556921</v>
      </c>
      <c r="J277" s="276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-37345.300978443593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74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75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756.69910607549775</v>
      </c>
      <c r="J278" s="276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919.91789204731629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74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75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72.941290683091623</v>
      </c>
      <c r="J279" s="276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84.348643775309938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74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75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-936.76092229018082</v>
      </c>
      <c r="J280" s="276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-1007.9044509775689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74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75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125.15612341931964</v>
      </c>
      <c r="J281" s="276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134.66126827006357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74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75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38.144435721482829</v>
      </c>
      <c r="J282" s="276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74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75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-419.89405591496137</v>
      </c>
      <c r="J283" s="276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74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75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149.97107830090329</v>
      </c>
      <c r="J284" s="276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74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75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1390777.5954085826</v>
      </c>
      <c r="J285" s="276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1336999.2212154246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74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75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-6198118.9011745965</v>
      </c>
      <c r="J286" s="276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-5543950.0539996875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74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75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99185.651856463461</v>
      </c>
      <c r="J287" s="276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88717.288056772813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74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75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50892.944489136768</v>
      </c>
      <c r="J288" s="276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43300.787966692063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74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75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-166282.07121231768</v>
      </c>
      <c r="J289" s="276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-131634.45628067906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74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75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21273.056492958694</v>
      </c>
      <c r="J290" s="276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16840.463944565974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74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75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26614.317234626018</v>
      </c>
      <c r="J291" s="276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74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75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-64347.976722367624</v>
      </c>
      <c r="J292" s="276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74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75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24418.458772822862</v>
      </c>
      <c r="J293" s="276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74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75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123722.93175339933</v>
      </c>
      <c r="J294" s="276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161655.36038331952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74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75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-551381.79126634123</v>
      </c>
      <c r="J295" s="276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-670313.96107450756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74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75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15479.841619216842</v>
      </c>
      <c r="J296" s="276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18818.818678709384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74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75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4527.4128074440168</v>
      </c>
      <c r="J297" s="276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5235.4589087000395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74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75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-14792.376161604447</v>
      </c>
      <c r="J298" s="276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-15915.80244120938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74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75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3320.072400635172</v>
      </c>
      <c r="J299" s="276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3572.2196246049034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74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75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2367.5973539936099</v>
      </c>
      <c r="J300" s="276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74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75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-5724.3662529320109</v>
      </c>
      <c r="J301" s="276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74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75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3810.9733344868055</v>
      </c>
      <c r="J302" s="276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74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75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6392887.5069823796</v>
      </c>
      <c r="J303" s="276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6145688.3159253355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74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75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-21477101.672357164</v>
      </c>
      <c r="J304" s="276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-19210341.213953946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74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75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305202.28188969404</v>
      </c>
      <c r="J305" s="276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272990.27884775557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74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75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252328.77397797129</v>
      </c>
      <c r="J306" s="276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214686.62993644815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74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75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-573967.77750136773</v>
      </c>
      <c r="J307" s="276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-454372.11458324391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74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75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70605.517496821296</v>
      </c>
      <c r="J308" s="276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55893.692196333228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74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75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78443.767955346804</v>
      </c>
      <c r="J309" s="276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74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75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-117649.21633749784</v>
      </c>
      <c r="J310" s="276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74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75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48179.347500273878</v>
      </c>
      <c r="J311" s="276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74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75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828119.12734956713</v>
      </c>
      <c r="J312" s="276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1082013.6095613998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74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75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-2782091.6096966704</v>
      </c>
      <c r="J313" s="276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-3382184.3167597698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74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75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47632.72607527017</v>
      </c>
      <c r="J314" s="276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57907.028846493602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74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75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32686.056791019295</v>
      </c>
      <c r="J315" s="276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37797.858179720104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74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75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-74350.392449743653</v>
      </c>
      <c r="J316" s="276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-79997.029870565049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74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75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11019.358222047258</v>
      </c>
      <c r="J317" s="276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11856.237738616137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74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75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10161.415259418043</v>
      </c>
      <c r="J318" s="276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74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75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-15239.993861984547</v>
      </c>
      <c r="J319" s="276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74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75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7519.3201301005465</v>
      </c>
      <c r="J320" s="276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74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75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430086.75143465574</v>
      </c>
      <c r="J321" s="276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413456.22306654684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74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75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309662.46103295212</v>
      </c>
      <c r="J322" s="276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334899.54068390297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74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75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-15986657.073293276</v>
      </c>
      <c r="J323" s="276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-14299375.303684922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74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75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207707.2693855344</v>
      </c>
      <c r="J324" s="276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185785.19478028058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74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75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10809.20917965933</v>
      </c>
      <c r="J325" s="276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9196.7025974682201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74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75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7782.6306093547182</v>
      </c>
      <c r="J326" s="276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7449.3291039492578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74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75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-277424.12401773623</v>
      </c>
      <c r="J327" s="276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-219618.2273769585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74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75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30596.42621695876</v>
      </c>
      <c r="J328" s="276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24221.155653387919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74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75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4063.8596933860977</v>
      </c>
      <c r="J329" s="276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74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75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2925.9789792379902</v>
      </c>
      <c r="J330" s="276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74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75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-70904.215429572942</v>
      </c>
      <c r="J331" s="276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74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75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25249.110953375803</v>
      </c>
      <c r="J332" s="276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74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75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36917.851206963234</v>
      </c>
      <c r="J333" s="276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48236.559357763814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74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75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26580.852869013524</v>
      </c>
      <c r="J334" s="276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39071.61307978868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74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75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-1372265.0724763307</v>
      </c>
      <c r="J335" s="276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-1668260.4520965745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74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75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32416.741464794392</v>
      </c>
      <c r="J336" s="276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39408.980710968615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74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75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927.84252206902363</v>
      </c>
      <c r="J337" s="276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1072.9486363712924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74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75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668.04661588969691</v>
      </c>
      <c r="J338" s="276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869.08839546074671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74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75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-23813.573651233433</v>
      </c>
      <c r="J339" s="276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-25622.126527311826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74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75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4775.1647853057029</v>
      </c>
      <c r="J340" s="276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5137.8208961731953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74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75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348.83419911435578</v>
      </c>
      <c r="J341" s="276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74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75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251.16062336233614</v>
      </c>
      <c r="J342" s="276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74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75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-6086.2867001685454</v>
      </c>
      <c r="J343" s="276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74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75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3940.6126921453565</v>
      </c>
      <c r="J344" s="276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74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75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701580.61202882649</v>
      </c>
      <c r="J345" s="276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674452.00080808939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74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75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157119.45103815256</v>
      </c>
      <c r="J346" s="276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169924.47779966748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74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75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-6883153.5209471034</v>
      </c>
      <c r="J347" s="276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-6156683.9782488225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74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75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104334.58260743431</v>
      </c>
      <c r="J348" s="276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93322.784558215499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74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75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60241.404140316445</v>
      </c>
      <c r="J349" s="276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51254.654130936353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74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75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13491.103069286513</v>
      </c>
      <c r="J350" s="276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12913.328639498148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74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75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-443267.84325196629</v>
      </c>
      <c r="J351" s="276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-350905.66955158015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74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75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52508.17683125849</v>
      </c>
      <c r="J352" s="276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41567.231253975689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74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75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40607.881429595029</v>
      </c>
      <c r="J353" s="276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74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75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9094.1624221768107</v>
      </c>
      <c r="J354" s="276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74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75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-227657.60402645552</v>
      </c>
      <c r="J355" s="276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74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75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77691.371837711937</v>
      </c>
      <c r="J356" s="276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74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75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62412.286815743581</v>
      </c>
      <c r="J357" s="276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81547.378279523546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74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75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13977.273707960505</v>
      </c>
      <c r="J358" s="276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20545.414133959795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74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75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-612322.15426228836</v>
      </c>
      <c r="J359" s="276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-744399.06282463029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74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75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16283.431967634255</v>
      </c>
      <c r="J360" s="276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19795.742179015411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74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75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5359.0474550258386</v>
      </c>
      <c r="J361" s="276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6197.1536358313933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74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75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1200.162290383349</v>
      </c>
      <c r="J362" s="276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1561.3388264120483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74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75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-39432.902356345432</v>
      </c>
      <c r="J363" s="276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-42427.685500327403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74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75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8194.9177713524823</v>
      </c>
      <c r="J364" s="276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8817.2914781160543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74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75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3612.458353765709</v>
      </c>
      <c r="J365" s="276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74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75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809.01248368382153</v>
      </c>
      <c r="J366" s="276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74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75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-20252.315179000871</v>
      </c>
      <c r="J367" s="276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74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75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12125.24300357354</v>
      </c>
      <c r="J368" s="276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74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75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661852.7793789471</v>
      </c>
      <c r="J369" s="276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636260.35788198875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74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75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-1360818.7987230686</v>
      </c>
      <c r="J370" s="276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-1217193.7281220653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74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75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24317.762252893335</v>
      </c>
      <c r="J371" s="276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21751.189595528846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74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75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24219.283422536049</v>
      </c>
      <c r="J372" s="276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20606.275913320449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74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75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-37724.740533545249</v>
      </c>
      <c r="J373" s="276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-29864.167990319493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74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75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4022.0965366134983</v>
      </c>
      <c r="J374" s="276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3184.0263165202896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74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75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12665.403793649248</v>
      </c>
      <c r="J375" s="276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74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75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-15218.776254051163</v>
      </c>
      <c r="J376" s="276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74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75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4819.5656604456844</v>
      </c>
      <c r="J377" s="276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74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75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58878.1171944624</v>
      </c>
      <c r="J378" s="276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76929.661453004082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74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75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-121057.81105403484</v>
      </c>
      <c r="J379" s="276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-147169.78712748608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74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75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3795.2576926480929</v>
      </c>
      <c r="J380" s="276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4613.8887020818765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74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75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2154.5362536001721</v>
      </c>
      <c r="J381" s="276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2491.4860877014721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74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75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-3355.9754728974644</v>
      </c>
      <c r="J382" s="276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-3610.8494024659017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74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75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627.72604906684671</v>
      </c>
      <c r="J383" s="276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675.39952168612194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74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75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1126.7084646489125</v>
      </c>
      <c r="J384" s="276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74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75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-1353.8552979759963</v>
      </c>
      <c r="J385" s="276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74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75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752.18654816204321</v>
      </c>
      <c r="J386" s="276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74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75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118756.43303312096</v>
      </c>
      <c r="J387" s="276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114164.37754230494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74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75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-546057.617311173</v>
      </c>
      <c r="J388" s="276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-488424.98913751339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74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75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8944.8531889258666</v>
      </c>
      <c r="J389" s="276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8000.785417389644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74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75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19403.411727071914</v>
      </c>
      <c r="J390" s="276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16508.830948142655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74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75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-74349.52157102323</v>
      </c>
      <c r="J391" s="276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-58857.571206421642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74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75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6605.7656279918092</v>
      </c>
      <c r="J392" s="276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5229.3452951281679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74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75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14583.896422630054</v>
      </c>
      <c r="J393" s="276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74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75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-47899.045660440504</v>
      </c>
      <c r="J394" s="276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74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75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11376.699665900886</v>
      </c>
      <c r="J395" s="276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74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75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10564.517366356829</v>
      </c>
      <c r="J396" s="276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13803.511102842323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74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75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-48577.033123808978</v>
      </c>
      <c r="J397" s="276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-59055.02141389934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74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75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1396.0175497167538</v>
      </c>
      <c r="J398" s="276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1697.1363006584095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74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75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1726.1185345643742</v>
      </c>
      <c r="J399" s="276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1996.0677419117933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74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75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-6614.0990576765735</v>
      </c>
      <c r="J400" s="276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-7116.4154276855252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74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75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1030.9576413628836</v>
      </c>
      <c r="J401" s="276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1109.2550626029447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74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75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1297.3766817588239</v>
      </c>
      <c r="J402" s="276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74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75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-4261.0769521050834</v>
      </c>
      <c r="J403" s="276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74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75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1775.5542831174796</v>
      </c>
      <c r="J404" s="276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74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75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1618400.3058228916</v>
      </c>
      <c r="J405" s="276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1555820.2516659971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74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75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-5484132.1620803755</v>
      </c>
      <c r="J406" s="276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-4905319.7076205099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74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75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215602.55403094509</v>
      </c>
      <c r="J407" s="276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192847.18639970126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74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75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310081.75317351293</v>
      </c>
      <c r="J408" s="276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263824.07976752869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74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75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-875622.52539063047</v>
      </c>
      <c r="J409" s="276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-693172.11528919474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74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75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186712.39494001362</v>
      </c>
      <c r="J410" s="276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147807.78474553581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74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75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304965.29453590809</v>
      </c>
      <c r="J411" s="276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0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74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75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-738149.52335748624</v>
      </c>
      <c r="J412" s="276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0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74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75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420770.24224480294</v>
      </c>
      <c r="J413" s="276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0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74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75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252582.70668912181</v>
      </c>
      <c r="J414" s="276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330022.47762612061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74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75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-855905.01951543451</v>
      </c>
      <c r="J415" s="276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-1040522.3622225323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74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75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33648.953519280454</v>
      </c>
      <c r="J416" s="276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40906.978933269958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74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75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48394.262055981795</v>
      </c>
      <c r="J417" s="276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55962.683587051535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74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75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-136657.85078350882</v>
      </c>
      <c r="J418" s="276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-147036.50930376857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74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75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29140.084759424091</v>
      </c>
      <c r="J419" s="276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31353.16646117426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74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75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47595.739609650402</v>
      </c>
      <c r="J420" s="276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0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74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75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-115202.52676677532</v>
      </c>
      <c r="J421" s="276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0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74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75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65669.344165373885</v>
      </c>
      <c r="J422" s="276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0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4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75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613377.28282504401</v>
      </c>
      <c r="J423" s="276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676235.95848651009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4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75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664492.05639379763</v>
      </c>
      <c r="J424" s="276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732588.95502705255</v>
      </c>
    </row>
    <row r="425" spans="1:10" ht="15.75" thickBot="1" x14ac:dyDescent="0.3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313">
        <f>SUMIFS(H3:H424,$F$3:$F$424,$D$425)*H423/SUM(H423:H424)</f>
        <v>-469132.82551179174</v>
      </c>
      <c r="I425" s="314">
        <f t="shared" ref="I425:J425" ca="1" si="0">SUMIFS(I3:I424,$F$3:$F$424,$D$425)*I423/SUM(I423:I424)</f>
        <v>-491740.36233297375</v>
      </c>
      <c r="J425" s="315">
        <f t="shared" ca="1" si="0"/>
        <v>-1222711.8086435611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4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75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276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4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75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276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x14ac:dyDescent="0.25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4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75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276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4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75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276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4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75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1329115.7893830882</v>
      </c>
      <c r="J430" s="276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1206135.7873952007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4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75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25463.771576319879</v>
      </c>
      <c r="J431" s="276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23107.667838715166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4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75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118535.6583697202</v>
      </c>
      <c r="J432" s="276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107567.82876571713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4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75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116959.18666245982</v>
      </c>
      <c r="J433" s="276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106137.22432994761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4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75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276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4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75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276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4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75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276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74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75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276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74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75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276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280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281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282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49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50">
        <f>SUMIFS('Forbrug af biomasse'!$E$1:$E$425,'Forbrug af biomasse'!$A$1:$A$425,$F440,'Forbrug af biomasse'!$C$1:$C$425,$D440,'Forbrug af biomasse'!$B$1:$B$425,$A$1,'Forbrug af biomasse'!$D$1:$D$425,I$2)*'[1]Processer - data'!I440</f>
        <v>5160247872.9641237</v>
      </c>
      <c r="J440" s="251">
        <f>SUMIFS('Forbrug af biomasse'!$E$1:$E$425,'Forbrug af biomasse'!$A$1:$A$425,$F440,'Forbrug af biomasse'!$C$1:$C$425,$D440,'Forbrug af biomasse'!$B$1:$B$425,$A$1,'Forbrug af biomasse'!$D$1:$D$425,J$2)*'[1]Processer - data'!J440</f>
        <v>4923122890.5634422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52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53">
        <f>SUMIFS('Forbrug af biomasse'!$E$1:$E$425,'Forbrug af biomasse'!$A$1:$A$425,$F441,'Forbrug af biomasse'!$C$1:$C$425,$D441,'Forbrug af biomasse'!$B$1:$B$425,$A$1,'Forbrug af biomasse'!$D$1:$D$425,I$2)*'[1]Processer - data'!I441</f>
        <v>143291678.15206847</v>
      </c>
      <c r="J441" s="254">
        <f>SUMIFS('Forbrug af biomasse'!$E$1:$E$425,'Forbrug af biomasse'!$A$1:$A$425,$F441,'Forbrug af biomasse'!$C$1:$C$425,$D441,'Forbrug af biomasse'!$B$1:$B$425,$A$1,'Forbrug af biomasse'!$D$1:$D$425,J$2)*'[1]Processer - data'!J441</f>
        <v>136707103.6323069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52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53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54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52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53">
        <f>SUMIFS('Forbrug af biomasse'!$E$1:$E$425,'Forbrug af biomasse'!$A$1:$A$425,$F443,'Forbrug af biomasse'!$C$1:$C$425,$D443,'Forbrug af biomasse'!$B$1:$B$425,$A$1,'Forbrug af biomasse'!$D$1:$D$425,I$2)*'[1]Processer - data'!I443</f>
        <v>68150920.09671548</v>
      </c>
      <c r="J443" s="254">
        <f>SUMIFS('Forbrug af biomasse'!$E$1:$E$425,'Forbrug af biomasse'!$A$1:$A$425,$F443,'Forbrug af biomasse'!$C$1:$C$425,$D443,'Forbrug af biomasse'!$B$1:$B$425,$A$1,'Forbrug af biomasse'!$D$1:$D$425,J$2)*'[1]Processer - data'!J443</f>
        <v>65019232.215365477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52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53">
        <f>SUMIFS('Forbrug af biomasse'!$E$1:$E$425,'Forbrug af biomasse'!$A$1:$A$425,$F444,'Forbrug af biomasse'!$C$1:$C$425,$D444,'Forbrug af biomasse'!$B$1:$B$425,$A$1,'Forbrug af biomasse'!$D$1:$D$425,I$2)*'[1]Processer - data'!I444</f>
        <v>124943353.51064506</v>
      </c>
      <c r="J444" s="254">
        <f>SUMIFS('Forbrug af biomasse'!$E$1:$E$425,'Forbrug af biomasse'!$A$1:$A$425,$F444,'Forbrug af biomasse'!$C$1:$C$425,$D444,'Forbrug af biomasse'!$B$1:$B$425,$A$1,'Forbrug af biomasse'!$D$1:$D$425,J$2)*'[1]Processer - data'!J444</f>
        <v>119201925.72817004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52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53">
        <f>SUMIFS('Forbrug af biomasse'!$E$1:$E$425,'Forbrug af biomasse'!$A$1:$A$425,$F445,'Forbrug af biomasse'!$C$1:$C$425,$D445,'Forbrug af biomasse'!$B$1:$B$425,$A$1,'Forbrug af biomasse'!$D$1:$D$425,I$2)*'[1]Processer - data'!I445</f>
        <v>1461749863.1000643</v>
      </c>
      <c r="J445" s="254">
        <f>SUMIFS('Forbrug af biomasse'!$E$1:$E$425,'Forbrug af biomasse'!$A$1:$A$425,$F445,'Forbrug af biomasse'!$C$1:$C$425,$D445,'Forbrug af biomasse'!$B$1:$B$425,$A$1,'Forbrug af biomasse'!$D$1:$D$425,J$2)*'[1]Processer - data'!J445</f>
        <v>1394579173.0295696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52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53">
        <f>SUMIFS('Forbrug af biomasse'!$E$1:$E$425,'Forbrug af biomasse'!$A$1:$A$425,$F446,'Forbrug af biomasse'!$C$1:$C$425,$D446,'Forbrug af biomasse'!$B$1:$B$425,$A$1,'Forbrug af biomasse'!$D$1:$D$425,I$2)*'[1]Processer - data'!I446</f>
        <v>210568868.50395426</v>
      </c>
      <c r="J446" s="254">
        <f>SUMIFS('Forbrug af biomasse'!$E$1:$E$425,'Forbrug af biomasse'!$A$1:$A$425,$F446,'Forbrug af biomasse'!$C$1:$C$425,$D446,'Forbrug af biomasse'!$B$1:$B$425,$A$1,'Forbrug af biomasse'!$D$1:$D$425,J$2)*'[1]Processer - data'!J446</f>
        <v>200892755.94747537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52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53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54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52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53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54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3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52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53">
        <f>SUMIFS('Forbrug af biomasse'!$E$1:$E$425,'Forbrug af biomasse'!$A$1:$A$425,$F449,'Forbrug af biomasse'!$C$1:$C$425,$D449,'Forbrug af biomasse'!$B$1:$B$425,$A$1,'Forbrug af biomasse'!$D$1:$D$425,I$2)*'[1]Processer - data'!I449</f>
        <v>1985113980.2530456</v>
      </c>
      <c r="J449" s="254">
        <f>SUMIFS('Forbrug af biomasse'!$E$1:$E$425,'Forbrug af biomasse'!$A$1:$A$425,$F449,'Forbrug af biomasse'!$C$1:$C$425,$D449,'Forbrug af biomasse'!$B$1:$B$425,$A$1,'Forbrug af biomasse'!$D$1:$D$425,J$2)*'[1]Processer - data'!J449</f>
        <v>1893893533.2475684</v>
      </c>
    </row>
    <row r="450" spans="1:13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52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53">
        <f>SUMIFS('Forbrug af biomasse'!$E$1:$E$425,'Forbrug af biomasse'!$A$1:$A$425,$F450,'Forbrug af biomasse'!$C$1:$C$425,$D450,'Forbrug af biomasse'!$B$1:$B$425,$A$1,'Forbrug af biomasse'!$D$1:$D$425,I$2)*'[1]Processer - data'!I450</f>
        <v>142417948.40723878</v>
      </c>
      <c r="J450" s="254">
        <f>SUMIFS('Forbrug af biomasse'!$E$1:$E$425,'Forbrug af biomasse'!$A$1:$A$425,$F450,'Forbrug af biomasse'!$C$1:$C$425,$D450,'Forbrug af biomasse'!$B$1:$B$425,$A$1,'Forbrug af biomasse'!$D$1:$D$425,J$2)*'[1]Processer - data'!J450</f>
        <v>135873523.7321099</v>
      </c>
    </row>
    <row r="451" spans="1:13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52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53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4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3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52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53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54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3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52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53">
        <f>SUMIFS('Forbrug af biomasse'!$E$1:$E$425,'Forbrug af biomasse'!$A$1:$A$425,$F453,'Forbrug af biomasse'!$C$1:$C$425,$D453,'Forbrug af biomasse'!$B$1:$B$425,$A$1,'Forbrug af biomasse'!$D$1:$D$425,I$2)*'[1]Processer - data'!I453</f>
        <v>105721299.124392</v>
      </c>
      <c r="J453" s="254">
        <f>SUMIFS('Forbrug af biomasse'!$E$1:$E$425,'Forbrug af biomasse'!$A$1:$A$425,$F453,'Forbrug af biomasse'!$C$1:$C$425,$D453,'Forbrug af biomasse'!$B$1:$B$425,$A$1,'Forbrug af biomasse'!$D$1:$D$425,J$2)*'[1]Processer - data'!J453</f>
        <v>100863167.9238362</v>
      </c>
    </row>
    <row r="454" spans="1:13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52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53">
        <f>SUMIFS('Forbrug af biomasse'!$E$1:$E$425,'Forbrug af biomasse'!$A$1:$A$425,$F454,'Forbrug af biomasse'!$C$1:$C$425,$D454,'Forbrug af biomasse'!$B$1:$B$425,$A$1,'Forbrug af biomasse'!$D$1:$D$425,I$2)*'[1]Processer - data'!I454</f>
        <v>3500161357.7877212</v>
      </c>
      <c r="J454" s="254">
        <f>SUMIFS('Forbrug af biomasse'!$E$1:$E$425,'Forbrug af biomasse'!$A$1:$A$425,$F454,'Forbrug af biomasse'!$C$1:$C$425,$D454,'Forbrug af biomasse'!$B$1:$B$425,$A$1,'Forbrug af biomasse'!$D$1:$D$425,J$2)*'[1]Processer - data'!J454</f>
        <v>3339321080.1891551</v>
      </c>
    </row>
    <row r="455" spans="1:13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52">
        <f ca="1"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53">
        <f ca="1"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54">
        <f ca="1"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  <c r="L455" s="117"/>
      <c r="M455" s="114"/>
    </row>
    <row r="456" spans="1:13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52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53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54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  <c r="L456" s="114"/>
      <c r="M456" s="114"/>
    </row>
    <row r="457" spans="1:13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52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53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54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  <c r="L457" s="114"/>
      <c r="M457" s="114"/>
    </row>
    <row r="458" spans="1:13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52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53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130859277.66547085</v>
      </c>
      <c r="J458" s="254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140281875.98087335</v>
      </c>
      <c r="L458" s="114"/>
      <c r="M458" s="114"/>
    </row>
    <row r="459" spans="1:13" x14ac:dyDescent="0.25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58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59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-138793.7123601487</v>
      </c>
      <c r="J459" s="260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-148787.63425551826</v>
      </c>
      <c r="L459" s="114"/>
      <c r="M459" s="114"/>
    </row>
    <row r="460" spans="1:13" x14ac:dyDescent="0.25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52">
        <f ca="1"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53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137300477.7223759</v>
      </c>
      <c r="J460" s="254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161612308.51735726</v>
      </c>
      <c r="L460" s="114"/>
      <c r="M460" s="114"/>
    </row>
    <row r="461" spans="1:13" x14ac:dyDescent="0.25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58">
        <f ca="1"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59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-286542.73504246637</v>
      </c>
      <c r="J461" s="260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-337280.93060774158</v>
      </c>
      <c r="L461" s="114"/>
      <c r="M461" s="114"/>
    </row>
    <row r="462" spans="1:13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52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53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81967.284281734363</v>
      </c>
      <c r="J462" s="254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101577.11900806775</v>
      </c>
      <c r="L462" s="114"/>
      <c r="M462" s="114"/>
    </row>
    <row r="463" spans="1:13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52">
        <f ca="1"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53">
        <f ca="1"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115755047.79489273</v>
      </c>
      <c r="J463" s="254">
        <f ca="1"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137002318.90134615</v>
      </c>
      <c r="L463" s="114"/>
      <c r="M463" s="114"/>
    </row>
    <row r="464" spans="1:13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52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53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54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  <c r="L464" s="114"/>
      <c r="M464" s="114"/>
    </row>
    <row r="465" spans="1:13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52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53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54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  <c r="L465" s="114"/>
      <c r="M465" s="114"/>
    </row>
    <row r="466" spans="1:13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52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53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54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  <c r="L466" s="114"/>
      <c r="M466" s="114"/>
    </row>
    <row r="467" spans="1:13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52">
        <f ca="1"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53">
        <f ca="1"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54">
        <f ca="1"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  <c r="L467" s="114"/>
      <c r="M467" s="114"/>
    </row>
    <row r="468" spans="1:13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52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53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54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14"/>
      <c r="M468" s="114"/>
    </row>
    <row r="469" spans="1:13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52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53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54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14"/>
      <c r="M469" s="114"/>
    </row>
    <row r="470" spans="1:13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52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53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19012740.570732642</v>
      </c>
      <c r="J470" s="254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24755958.75798478</v>
      </c>
      <c r="L470" s="114"/>
      <c r="M470" s="114"/>
    </row>
    <row r="471" spans="1:13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52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53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54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14"/>
      <c r="M471" s="114"/>
    </row>
    <row r="472" spans="1:13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52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53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54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14"/>
      <c r="M472" s="114"/>
    </row>
    <row r="473" spans="1:13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52">
        <f ca="1"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53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41428022.148986496</v>
      </c>
      <c r="J473" s="254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51564125.798275217</v>
      </c>
      <c r="L473" s="126"/>
      <c r="M473" s="114"/>
    </row>
    <row r="474" spans="1:13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58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59">
        <f ca="1">SUMIFS('Forbrug af biomasse'!$E$1:$E$425,'Forbrug af biomasse'!$A$1:$A$425,"Biogas",'Forbrug af biomasse'!$B$1:$B$425,$A$1,'Forbrug af biomasse'!$D$1:$D$425,I$2)*'[1]Processer - data'!I474</f>
        <v>23970432.839117184</v>
      </c>
      <c r="J474" s="260">
        <f ca="1">SUMIFS('Forbrug af biomasse'!$E$1:$E$425,'Forbrug af biomasse'!$A$1:$A$425,"Biogas",'Forbrug af biomasse'!$B$1:$B$425,$A$1,'Forbrug af biomasse'!$D$1:$D$425,J$2)*'[1]Processer - data'!J474</f>
        <v>27386289.783254456</v>
      </c>
    </row>
    <row r="475" spans="1:13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58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59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19265393.656305432</v>
      </c>
      <c r="J475" s="260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6884203.1731354501</v>
      </c>
    </row>
    <row r="476" spans="1:13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58">
        <f ca="1"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59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25966993.422671564</v>
      </c>
      <c r="J476" s="260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10188325.202039856</v>
      </c>
    </row>
    <row r="477" spans="1:13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58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59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14599.770737204595</v>
      </c>
      <c r="J477" s="260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6030.8722057376935</v>
      </c>
    </row>
    <row r="478" spans="1:13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58">
        <f ca="1"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59">
        <f ca="1"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3408343.0739607303</v>
      </c>
      <c r="J478" s="260">
        <f ca="1"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1344652.3892169157</v>
      </c>
    </row>
    <row r="479" spans="1:13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58">
        <f ca="1">H474*'[1]Processer - data'!H$479*Biogasanlæg!AA$3</f>
        <v>49011407.308287665</v>
      </c>
      <c r="I479" s="259">
        <f ca="1">I474*'[1]Processer - data'!I$479*Biogasanlæg!AB$3</f>
        <v>135377419.04861787</v>
      </c>
      <c r="J479" s="260">
        <f ca="1">J474*'[1]Processer - data'!J$479*Biogasanlæg!AC$3</f>
        <v>151276181.51008025</v>
      </c>
    </row>
    <row r="480" spans="1:13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58">
        <f ca="1">-SUMIFS('Resultater - Vestdanmark'!H$3:H$504,'Resultater - Vestdanmark'!$F$3:$F$504,"Gødning",'Resultater - Vestdanmark'!$A$3:$A$504,"&lt;&gt;Gødning")-SUM(H475:H479)</f>
        <v>91199509.604784429</v>
      </c>
      <c r="I480" s="259">
        <f ca="1">-SUMIFS('Resultater - Vestdanmark'!I$3:I$504,'Resultater - Vestdanmark'!$F$3:$F$504,"Gødning",'Resultater - Vestdanmark'!$A$3:$A$504,"&lt;&gt;Gødning")-SUM(I475:I479)</f>
        <v>86757738.486126244</v>
      </c>
      <c r="J480" s="260">
        <f ca="1">-SUMIFS('Resultater - Vestdanmark'!J$3:J$504,'Resultater - Vestdanmark'!$F$3:$F$504,"Gødning",'Resultater - Vestdanmark'!$A$3:$A$504,"&lt;&gt;Gødning")-SUM(J475:J479)</f>
        <v>76098534.366943359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61">
        <f ca="1"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63">
        <f ca="1">SUMIFS('Forbrug af biomasse'!$E$1:$E$425,'Forbrug af biomasse'!$A$1:$A$425,$F481,'Forbrug af biomasse'!$C$1:$C$425,$D481,'Forbrug af biomasse'!$B$1:$B$425,$A$1,'Forbrug af biomasse'!$D$1:$D$425,I$2)*'[1]Processer - data'!I481</f>
        <v>22.633830594475008</v>
      </c>
      <c r="J481" s="264">
        <f ca="1">SUMIFS('Forbrug af biomasse'!$E$1:$E$425,'Forbrug af biomasse'!$A$1:$A$425,$F481,'Forbrug af biomasse'!$C$1:$C$425,$D481,'Forbrug af biomasse'!$B$1:$B$425,$A$1,'Forbrug af biomasse'!$D$1:$D$425,J$2)*'[1]Processer - data'!J481</f>
        <v>27.096788612133071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61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63">
        <f>SUMIFS('Forbrug af biomasse'!$E$1:$E$425,'Forbrug af biomasse'!$A$1:$A$425,$F482,'Forbrug af biomasse'!$C$1:$C$425,$D482,'Forbrug af biomasse'!$B$1:$B$425,$A$1,'Forbrug af biomasse'!$D$1:$D$425,I$2)*'[1]Processer - data'!I482</f>
        <v>5.4113287002414951</v>
      </c>
      <c r="J482" s="264">
        <f>SUMIFS('Forbrug af biomasse'!$E$1:$E$425,'Forbrug af biomasse'!$A$1:$A$425,$F482,'Forbrug af biomasse'!$C$1:$C$425,$D482,'Forbrug af biomasse'!$B$1:$B$425,$A$1,'Forbrug af biomasse'!$D$1:$D$425,J$2)*'[1]Processer - data'!J482</f>
        <v>5.2859792569712818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61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63">
        <f>SUMIFS('Forbrug af biomasse'!$E$1:$E$425,'Forbrug af biomasse'!$A$1:$A$425,$F483,'Forbrug af biomasse'!$C$1:$C$425,$D483,'Forbrug af biomasse'!$B$1:$B$425,$A$1,'Forbrug af biomasse'!$D$1:$D$425,I$2)*'[1]Processer - data'!I483</f>
        <v>3.0605042692852535</v>
      </c>
      <c r="J483" s="264">
        <f>SUMIFS('Forbrug af biomasse'!$E$1:$E$425,'Forbrug af biomasse'!$A$1:$A$425,$F483,'Forbrug af biomasse'!$C$1:$C$425,$D483,'Forbrug af biomasse'!$B$1:$B$425,$A$1,'Forbrug af biomasse'!$D$1:$D$425,J$2)*'[1]Processer - data'!J483</f>
        <v>2.6950992869677113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61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63">
        <f ca="1">SUMIFS('Forbrug af biomasse'!$E$1:$E$425,'Forbrug af biomasse'!$A$1:$A$425,$F484,'Forbrug af biomasse'!$C$1:$C$425,$D484,'Forbrug af biomasse'!$B$1:$B$425,$A$1,'Forbrug af biomasse'!$D$1:$D$425,I$2)*'[1]Processer - data'!I484</f>
        <v>32.260787180482176</v>
      </c>
      <c r="J484" s="264">
        <f ca="1">SUMIFS('Forbrug af biomasse'!$E$1:$E$425,'Forbrug af biomasse'!$A$1:$A$425,$F484,'Forbrug af biomasse'!$C$1:$C$425,$D484,'Forbrug af biomasse'!$B$1:$B$425,$A$1,'Forbrug af biomasse'!$D$1:$D$425,J$2)*'[1]Processer - data'!J484</f>
        <v>33.521860264419189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61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63">
        <f>SUMIFS('Forbrug af biomasse'!$E$1:$E$425,'Forbrug af biomasse'!$A$1:$A$425,$F485,'Forbrug af biomasse'!$C$1:$C$425,$D485,'Forbrug af biomasse'!$B$1:$B$425,$A$1,'Forbrug af biomasse'!$D$1:$D$425,I$2)*'[1]Processer - data'!I485</f>
        <v>2.2274826316201262</v>
      </c>
      <c r="J485" s="264">
        <f>SUMIFS('Forbrug af biomasse'!$E$1:$E$425,'Forbrug af biomasse'!$A$1:$A$425,$F485,'Forbrug af biomasse'!$C$1:$C$425,$D485,'Forbrug af biomasse'!$B$1:$B$425,$A$1,'Forbrug af biomasse'!$D$1:$D$425,J$2)*'[1]Processer - data'!J485</f>
        <v>2.6781599805186716E-2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61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63">
        <f ca="1">SUMIFS('Forbrug af biomasse'!$E$1:$E$425,'Forbrug af biomasse'!$A$1:$A$425,$F486,'Forbrug af biomasse'!$C$1:$C$425,$D486,'Forbrug af biomasse'!$B$1:$B$425,$A$1,'Forbrug af biomasse'!$D$1:$D$425,I$2)*'[1]Processer - data'!I486</f>
        <v>3.4826509179371086</v>
      </c>
      <c r="J486" s="264">
        <f ca="1">SUMIFS('Forbrug af biomasse'!$E$1:$E$425,'Forbrug af biomasse'!$A$1:$A$425,$F486,'Forbrug af biomasse'!$C$1:$C$425,$D486,'Forbrug af biomasse'!$B$1:$B$425,$A$1,'Forbrug af biomasse'!$D$1:$D$425,J$2)*'[1]Processer - data'!J486</f>
        <v>3.5255303237813815</v>
      </c>
    </row>
    <row r="487" spans="1:10" x14ac:dyDescent="0.25">
      <c r="A487" t="str">
        <f>IF('[1]Processer - data'!A487&lt;&gt;"",'[1]Processer - data'!A487,"")</f>
        <v>Til energi</v>
      </c>
      <c r="B487" t="str">
        <f>IF('[1]Processer - data'!B487&lt;&gt;"",'[1]Processer - data'!B487,"")</f>
        <v/>
      </c>
      <c r="C487" t="str">
        <f>IF('[1]Processer - data'!C487&lt;&gt;"",'[1]Processer - data'!C487,"")</f>
        <v/>
      </c>
      <c r="D487" t="str">
        <f>IF('[1]Processer - data'!D487&lt;&gt;"",'[1]Processer - data'!D487,"")</f>
        <v>Pyrolyseolie</v>
      </c>
      <c r="E487" t="str">
        <f>IF('[1]Processer - data'!E487&lt;&gt;"",'[1]Processer - data'!E487,"")</f>
        <v>Ton</v>
      </c>
      <c r="F487" t="str">
        <f>IF('[1]Processer - data'!F487&lt;&gt;"",'[1]Processer - data'!F487,"")</f>
        <v>Energi</v>
      </c>
      <c r="G487" t="str">
        <f>IF('[1]Processer - data'!G487&lt;&gt;"",'[1]Processer - data'!G487,"")</f>
        <v>PJ</v>
      </c>
      <c r="H487" s="261">
        <f ca="1"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63">
        <f ca="1"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64">
        <f ca="1"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x14ac:dyDescent="0.25">
      <c r="A488" t="str">
        <f>IF('[1]Processer - data'!A488&lt;&gt;"",'[1]Processer - data'!A488,"")</f>
        <v>Til energi</v>
      </c>
      <c r="B488" t="str">
        <f>IF('[1]Processer - data'!B488&lt;&gt;"",'[1]Processer - data'!B488,"")</f>
        <v/>
      </c>
      <c r="C488" t="str">
        <f>IF('[1]Processer - data'!C488&lt;&gt;"",'[1]Processer - data'!C488,"")</f>
        <v/>
      </c>
      <c r="D488" t="str">
        <f>IF('[1]Processer - data'!D488&lt;&gt;"",'[1]Processer - data'!D488,"")</f>
        <v>Pyrolysegas</v>
      </c>
      <c r="E488" t="str">
        <f>IF('[1]Processer - data'!E488&lt;&gt;"",'[1]Processer - data'!E488,"")</f>
        <v>Ton</v>
      </c>
      <c r="F488" t="str">
        <f>IF('[1]Processer - data'!F488&lt;&gt;"",'[1]Processer - data'!F488,"")</f>
        <v>Energi</v>
      </c>
      <c r="G488" t="str">
        <f>IF('[1]Processer - data'!G488&lt;&gt;"",'[1]Processer - data'!G488,"")</f>
        <v>PJ</v>
      </c>
      <c r="H488" s="261">
        <f ca="1"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63">
        <f ca="1"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64">
        <f ca="1"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58">
        <f ca="1">SUM(H455:H473)*'[1]Processer - data'!$H$489</f>
        <v>12.632071606880629</v>
      </c>
      <c r="I489" s="259">
        <f ca="1">SUM(I455:I473)*'[1]Processer - data'!$H$489</f>
        <v>17.675623452548628</v>
      </c>
      <c r="J489" s="260">
        <f ca="1">SUM(J455:J473)*'[1]Processer - data'!$H$489</f>
        <v>20.218057854314736</v>
      </c>
    </row>
    <row r="490" spans="1:10" x14ac:dyDescent="0.25">
      <c r="A490" t="str">
        <f>IF('[1]Processer - data'!A490&lt;&gt;"",'[1]Processer - data'!A490,"")</f>
        <v>Proteinproces</v>
      </c>
      <c r="B490" t="str">
        <f>IF('[1]Processer - data'!B490&lt;&gt;"",'[1]Processer - data'!B490,"")</f>
        <v/>
      </c>
      <c r="C490" t="str">
        <f>IF('[1]Processer - data'!C490&lt;&gt;"",'[1]Processer - data'!C490,"")</f>
        <v/>
      </c>
      <c r="D490" t="str">
        <f>IF('[1]Processer - data'!D490&lt;&gt;"",'[1]Processer - data'!D490,"")</f>
        <v>Græs</v>
      </c>
      <c r="E490" t="str">
        <f>IF('[1]Processer - data'!E490&lt;&gt;"",'[1]Processer - data'!E490,"")</f>
        <v>Ton</v>
      </c>
      <c r="F490" t="str">
        <f>IF('[1]Processer - data'!F490&lt;&gt;"",'[1]Processer - data'!F490,"")</f>
        <v>Græsprotein</v>
      </c>
      <c r="G490" t="str">
        <f>IF('[1]Processer - data'!G490&lt;&gt;"",'[1]Processer - data'!G490,"")</f>
        <v>Ton</v>
      </c>
      <c r="H490" s="252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53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54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t="str">
        <f>IF('[1]Processer - data'!A491&lt;&gt;"",'[1]Processer - data'!A491,"")</f>
        <v>Proteinproces</v>
      </c>
      <c r="B491" t="str">
        <f>IF('[1]Processer - data'!B491&lt;&gt;"",'[1]Processer - data'!B491,"")</f>
        <v/>
      </c>
      <c r="C491" t="str">
        <f>IF('[1]Processer - data'!C491&lt;&gt;"",'[1]Processer - data'!C491,"")</f>
        <v/>
      </c>
      <c r="D491" t="str">
        <f>IF('[1]Processer - data'!D491&lt;&gt;"",'[1]Processer - data'!D491,"")</f>
        <v>Græs</v>
      </c>
      <c r="E491" t="str">
        <f>IF('[1]Processer - data'!E491&lt;&gt;"",'[1]Processer - data'!E491,"")</f>
        <v>Ton</v>
      </c>
      <c r="F491" t="str">
        <f>IF('[1]Processer - data'!F491&lt;&gt;"",'[1]Processer - data'!F491,"")</f>
        <v>Fiberfraktion</v>
      </c>
      <c r="G491" t="str">
        <f>IF('[1]Processer - data'!G491&lt;&gt;"",'[1]Processer - data'!G491,"")</f>
        <v>Ton</v>
      </c>
      <c r="H491" s="252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53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54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t="str">
        <f>IF('[1]Processer - data'!A492&lt;&gt;"",'[1]Processer - data'!A492,"")</f>
        <v>Proteinproces</v>
      </c>
      <c r="B492" t="str">
        <f>IF('[1]Processer - data'!B492&lt;&gt;"",'[1]Processer - data'!B492,"")</f>
        <v/>
      </c>
      <c r="C492" t="str">
        <f>IF('[1]Processer - data'!C492&lt;&gt;"",'[1]Processer - data'!C492,"")</f>
        <v/>
      </c>
      <c r="D492" t="str">
        <f>IF('[1]Processer - data'!D492&lt;&gt;"",'[1]Processer - data'!D492,"")</f>
        <v>Græs</v>
      </c>
      <c r="E492" t="str">
        <f>IF('[1]Processer - data'!E492&lt;&gt;"",'[1]Processer - data'!E492,"")</f>
        <v>Ton</v>
      </c>
      <c r="F492" t="str">
        <f>IF('[1]Processer - data'!F492&lt;&gt;"",'[1]Processer - data'!F492,"")</f>
        <v>Brun saft</v>
      </c>
      <c r="G492" t="str">
        <f>IF('[1]Processer - data'!G492&lt;&gt;"",'[1]Processer - data'!G492,"")</f>
        <v>PJ</v>
      </c>
      <c r="H492" s="252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53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54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t="str">
        <f>IF('[1]Processer - data'!A493&lt;&gt;"",'[1]Processer - data'!A493,"")</f>
        <v>Rapskageproduktion</v>
      </c>
      <c r="B493" t="str">
        <f>IF('[1]Processer - data'!B493&lt;&gt;"",'[1]Processer - data'!B493,"")</f>
        <v/>
      </c>
      <c r="C493" t="str">
        <f>IF('[1]Processer - data'!C493&lt;&gt;"",'[1]Processer - data'!C493,"")</f>
        <v/>
      </c>
      <c r="D493" t="str">
        <f>IF('[1]Processer - data'!D493&lt;&gt;"",'[1]Processer - data'!D493,"")</f>
        <v>Raps</v>
      </c>
      <c r="E493" t="str">
        <f>IF('[1]Processer - data'!E493&lt;&gt;"",'[1]Processer - data'!E493,"")</f>
        <v>Ton</v>
      </c>
      <c r="F493" t="str">
        <f>IF('[1]Processer - data'!F493&lt;&gt;"",'[1]Processer - data'!F493,"")</f>
        <v>Rapskage</v>
      </c>
      <c r="G493" t="str">
        <f>IF('[1]Processer - data'!G493&lt;&gt;"",'[1]Processer - data'!G493,"")</f>
        <v>Ton</v>
      </c>
      <c r="H493" s="274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75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241577.17411792389</v>
      </c>
      <c r="J493" s="276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235981.21682907507</v>
      </c>
    </row>
    <row r="494" spans="1:10" ht="15.75" thickBot="1" x14ac:dyDescent="0.3">
      <c r="A494" t="str">
        <f>IF('[1]Processer - data'!A494&lt;&gt;"",'[1]Processer - data'!A494,"")</f>
        <v>Rapskageproduktion</v>
      </c>
      <c r="B494" t="str">
        <f>IF('[1]Processer - data'!B494&lt;&gt;"",'[1]Processer - data'!B494,"")</f>
        <v/>
      </c>
      <c r="C494" t="str">
        <f>IF('[1]Processer - data'!C494&lt;&gt;"",'[1]Processer - data'!C494,"")</f>
        <v/>
      </c>
      <c r="D494" t="str">
        <f>IF('[1]Processer - data'!D494&lt;&gt;"",'[1]Processer - data'!D494,"")</f>
        <v>Raps</v>
      </c>
      <c r="E494" t="str">
        <f>IF('[1]Processer - data'!E494&lt;&gt;"",'[1]Processer - data'!E494,"")</f>
        <v>Ton</v>
      </c>
      <c r="F494" t="str">
        <f>IF('[1]Processer - data'!F494&lt;&gt;"",'[1]Processer - data'!F494,"")</f>
        <v>Rapsolie</v>
      </c>
      <c r="G494" t="str">
        <f>IF('[1]Processer - data'!G494&lt;&gt;"",'[1]Processer - data'!G494,"")</f>
        <v>Ton</v>
      </c>
      <c r="H494" s="274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75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154609.39143547131</v>
      </c>
      <c r="J494" s="276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151027.97877060805</v>
      </c>
    </row>
    <row r="495" spans="1:10" x14ac:dyDescent="0.25">
      <c r="A495" t="str">
        <f>IF('[1]Processer - data'!A495&lt;&gt;"",'[1]Processer - data'!A495,"")</f>
        <v>Pyrolyseproces</v>
      </c>
      <c r="B495" t="str">
        <f>IF('[1]Processer - data'!B495&lt;&gt;"",'[1]Processer - data'!B495,"")</f>
        <v/>
      </c>
      <c r="C495" t="str">
        <f>IF('[1]Processer - data'!C495&lt;&gt;"",'[1]Processer - data'!C495,"")</f>
        <v/>
      </c>
      <c r="D495" t="str">
        <f>IF('[1]Processer - data'!D495&lt;&gt;"",'[1]Processer - data'!D495,"")</f>
        <v>Halm</v>
      </c>
      <c r="E495" t="str">
        <f>IF('[1]Processer - data'!E495&lt;&gt;"",'[1]Processer - data'!E495,"")</f>
        <v>Ton</v>
      </c>
      <c r="F495" t="str">
        <f>IF('[1]Processer - data'!F495&lt;&gt;"",'[1]Processer - data'!F495,"")</f>
        <v>CO2 - atmosfære</v>
      </c>
      <c r="G495" t="str">
        <f>IF('[1]Processer - data'!G495&lt;&gt;"",'[1]Processer - data'!G495,"")</f>
        <v>t CO2-ækvivalenter</v>
      </c>
      <c r="H495" s="249">
        <f ca="1"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50">
        <f ca="1"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51">
        <f ca="1"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t="str">
        <f>IF('[1]Processer - data'!A496&lt;&gt;"",'[1]Processer - data'!A496,"")</f>
        <v>Pyrolyseproces</v>
      </c>
      <c r="B496" t="str">
        <f>IF('[1]Processer - data'!B496&lt;&gt;"",'[1]Processer - data'!B496,"")</f>
        <v/>
      </c>
      <c r="C496" t="str">
        <f>IF('[1]Processer - data'!C496&lt;&gt;"",'[1]Processer - data'!C496,"")</f>
        <v/>
      </c>
      <c r="D496" t="str">
        <f>IF('[1]Processer - data'!D496&lt;&gt;"",'[1]Processer - data'!D496,"")</f>
        <v>Halm</v>
      </c>
      <c r="E496" t="str">
        <f>IF('[1]Processer - data'!E496&lt;&gt;"",'[1]Processer - data'!E496,"")</f>
        <v>Ton</v>
      </c>
      <c r="F496" t="str">
        <f>IF('[1]Processer - data'!F496&lt;&gt;"",'[1]Processer - data'!F496,"")</f>
        <v>Pyrolyseolie</v>
      </c>
      <c r="G496" t="str">
        <f>IF('[1]Processer - data'!G496&lt;&gt;"",'[1]Processer - data'!G496,"")</f>
        <v>Ton</v>
      </c>
      <c r="H496" s="252">
        <f ca="1"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53">
        <f ca="1"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54">
        <f ca="1"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t="str">
        <f>IF('[1]Processer - data'!A497&lt;&gt;"",'[1]Processer - data'!A497,"")</f>
        <v>Pyrolyseproces</v>
      </c>
      <c r="B497" t="str">
        <f>IF('[1]Processer - data'!B497&lt;&gt;"",'[1]Processer - data'!B497,"")</f>
        <v/>
      </c>
      <c r="C497" t="str">
        <f>IF('[1]Processer - data'!C497&lt;&gt;"",'[1]Processer - data'!C497,"")</f>
        <v/>
      </c>
      <c r="D497" t="str">
        <f>IF('[1]Processer - data'!D497&lt;&gt;"",'[1]Processer - data'!D497,"")</f>
        <v>Halm</v>
      </c>
      <c r="E497" t="str">
        <f>IF('[1]Processer - data'!E497&lt;&gt;"",'[1]Processer - data'!E497,"")</f>
        <v>Ton</v>
      </c>
      <c r="F497" t="str">
        <f>IF('[1]Processer - data'!F497&lt;&gt;"",'[1]Processer - data'!F497,"")</f>
        <v>Pyrolysegas</v>
      </c>
      <c r="G497" t="str">
        <f>IF('[1]Processer - data'!G497&lt;&gt;"",'[1]Processer - data'!G497,"")</f>
        <v>Ton</v>
      </c>
      <c r="H497" s="255">
        <f ca="1"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56">
        <f ca="1"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57">
        <f ca="1"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3"/>
      <c r="I498" s="93"/>
      <c r="J498" s="93"/>
    </row>
    <row r="499" spans="1:10" x14ac:dyDescent="0.25">
      <c r="H499" s="93"/>
      <c r="I499" s="93"/>
      <c r="J499" s="93"/>
    </row>
    <row r="500" spans="1:10" x14ac:dyDescent="0.25">
      <c r="H500" s="93"/>
      <c r="I500" s="93"/>
      <c r="J500" s="93"/>
    </row>
    <row r="501" spans="1:10" x14ac:dyDescent="0.25">
      <c r="H501" s="93"/>
      <c r="I501" s="93"/>
      <c r="J501" s="93"/>
    </row>
    <row r="502" spans="1:10" x14ac:dyDescent="0.25">
      <c r="H502" s="93"/>
      <c r="I502" s="93"/>
      <c r="J502" s="93"/>
    </row>
  </sheetData>
  <autoFilter ref="A2:U497" xr:uid="{909A89E6-B9A6-46D5-83F7-24899AA46FB2}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94" zoomScale="80" zoomScaleNormal="80" workbookViewId="0">
      <selection activeCell="J95" sqref="J9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77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278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279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>
        <f>SUMIF($F$3:$F$494,"Roer",H3:H494)</f>
        <v>2233316.4654569654</v>
      </c>
      <c r="N3">
        <f>SUMIF($F$3:$F$494,"Roer",I3:I494)</f>
        <v>2293231.7704404793</v>
      </c>
      <c r="O3">
        <f>SUMIF($F$3:$F$494,"Roer",J3:J494)</f>
        <v>2337477.1247217245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74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75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76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>
        <f ca="1">SUMIF($F$3:$F$494,"Bioaffald",H3:H494)</f>
        <v>165083.0224523381</v>
      </c>
      <c r="N4">
        <f ca="1">SUMIF($F$3:$F$494,"Bioaffald",I3:I494)</f>
        <v>168912.745758362</v>
      </c>
      <c r="O4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74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75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76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x14ac:dyDescent="0.25">
      <c r="A6" t="str">
        <f>IF('[1]Processer - data'!A6&lt;&gt;"",'[1]Processer - data'!A6,"")</f>
        <v>Bioaffaldsproduktion</v>
      </c>
      <c r="B6" t="str">
        <f>IF('[1]Processer - data'!B6&lt;&gt;"",'[1]Processer - data'!B6,"")</f>
        <v/>
      </c>
      <c r="C6" t="str">
        <f>IF('[1]Processer - data'!C6&lt;&gt;"",'[1]Processer - data'!C6,"")</f>
        <v/>
      </c>
      <c r="D6" t="str">
        <f>IF('[1]Processer - data'!D6&lt;&gt;"",'[1]Processer - data'!D6,"")</f>
        <v>Befolkning</v>
      </c>
      <c r="E6" t="str">
        <f>IF('[1]Processer - data'!E6&lt;&gt;"",'[1]Processer - data'!E6,"")</f>
        <v>Antal</v>
      </c>
      <c r="F6" t="str">
        <f>IF('[1]Processer - data'!F6&lt;&gt;"",'[1]Processer - data'!F6,"")</f>
        <v>Industriaffald</v>
      </c>
      <c r="G6" t="str">
        <f>IF('[1]Processer - data'!G6&lt;&gt;"",'[1]Processer - data'!G6,"")</f>
        <v>Ton</v>
      </c>
      <c r="H6" s="274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75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76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74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75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1.1976865502381491</v>
      </c>
      <c r="J7" s="276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1.1976865502381491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74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75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-0.19402522113858015</v>
      </c>
      <c r="J8" s="276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-0.19402522113858015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74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75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0</v>
      </c>
      <c r="J9" s="276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74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75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0</v>
      </c>
      <c r="J10" s="276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0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74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75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76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74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75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76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74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75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76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274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75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76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274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75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76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274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75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76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274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75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-2647.2424109586382</v>
      </c>
      <c r="J17" s="276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-1731.4549502152695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274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75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76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274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75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76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274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75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76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274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75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-587.13706980532299</v>
      </c>
      <c r="J21" s="276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-3886.4796678685052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274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75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76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74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75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76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74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75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76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74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75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76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-14824.557501368374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274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75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76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274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75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76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202.9555359462961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274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75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76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106.02154862866215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274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75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76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-1542.8020213073119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274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75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76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-1083.2994585041538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274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75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76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274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75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76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274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75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-119144.22825533217</v>
      </c>
      <c r="J33" s="276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-80668.73605144961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274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75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76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74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75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2190.5137574581831</v>
      </c>
      <c r="J35" s="276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14614.721265087281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74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75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547.62843936454567</v>
      </c>
      <c r="J36" s="276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3653.6803162718193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74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75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-15348.866713840824</v>
      </c>
      <c r="J37" s="276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-102404.93034750642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274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75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-13813.980042456744</v>
      </c>
      <c r="J38" s="276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-92164.437312755792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274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75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76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22452.407196714055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274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75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76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7771.9871065548659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274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75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76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-4648.8612966589626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274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75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76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-141591.03263538438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274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75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76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1031.2797838275148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274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75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76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515.63989191375754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274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75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76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-11613.451658052703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274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75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76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-6503.5329285095131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74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75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76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74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75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76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74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75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-2647.2424109586382</v>
      </c>
      <c r="J49" s="276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-1731.0600496891564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274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75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76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274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75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76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274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75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76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274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75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-453.69682666774958</v>
      </c>
      <c r="J53" s="276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-3003.1888342620268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274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75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76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274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75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76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274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75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76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274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75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76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-14559.83326027251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274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75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76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74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75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76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149.0223964694128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74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75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76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81.28494352877064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74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75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76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-1411.8948198450812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274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75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76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-275.79743428716347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274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75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76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274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75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76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274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75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-90555.726019096532</v>
      </c>
      <c r="J65" s="276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-61500.968484459918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274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75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76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274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75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555.89796608108406</v>
      </c>
      <c r="J67" s="276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3720.6760272116003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274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75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1945.6428812837928</v>
      </c>
      <c r="J68" s="276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13022.366095240593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274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75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-7669.2859505675169</v>
      </c>
      <c r="J69" s="276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-51331.233649351307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274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75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-3834.6429752837603</v>
      </c>
      <c r="J70" s="276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-25665.616824675664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74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75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76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5781.3590968093122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74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75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76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7646.313644167155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74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75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76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-41681.478151671967</v>
      </c>
    </row>
    <row r="74" spans="1:10" x14ac:dyDescent="0.25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274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75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76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-39880.426626599721</v>
      </c>
    </row>
    <row r="75" spans="1:10" x14ac:dyDescent="0.25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274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75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76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478.69760313671463</v>
      </c>
    </row>
    <row r="76" spans="1:10" x14ac:dyDescent="0.25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274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75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76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261.10778352911717</v>
      </c>
    </row>
    <row r="77" spans="1:10" x14ac:dyDescent="0.25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274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75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76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-12062.241021972182</v>
      </c>
    </row>
    <row r="78" spans="1:10" x14ac:dyDescent="0.25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274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75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76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-3302.1067051100317</v>
      </c>
    </row>
    <row r="79" spans="1:10" x14ac:dyDescent="0.25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274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75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76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274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75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76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274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75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76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x14ac:dyDescent="0.25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274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75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76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274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75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76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274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75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76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274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75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76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x14ac:dyDescent="0.25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274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75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76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274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75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76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274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75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76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274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75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76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x14ac:dyDescent="0.25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274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75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76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274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75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76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274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75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76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274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75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76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x14ac:dyDescent="0.25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274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75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76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404">
        <f>IFERROR(VLOOKUP($F95,Landbrugsproduktivititet!$B$3:$E$9,MATCH($H2,Landbrugsproduktivititet!$B$2:$E$2,0),FALSE),1)*IF($A95&lt;&gt;"",IF(VLOOKUP($A95,[1]!Table1[#All],2,FALSE)="Direkte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405">
        <f>IFERROR(VLOOKUP($F95,Landbrugsproduktivititet!$B$3:$E$9,MATCH($H2,Landbrugsproduktivititet!$B$2:$E$2,0),FALSE),1)*IF($A95&lt;&gt;"",IF(VLOOKUP($A95,[1]!Table1[#All],2,FALSE)="Direkte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1952988.5831660042</v>
      </c>
      <c r="J95" s="406">
        <f>IFERROR(VLOOKUP($F95,Landbrugsproduktivititet!$B$3:$E$9,MATCH($H2,Landbrugsproduktivititet!$B$2:$E$2,0),FALSE),1)*IF($A95&lt;&gt;"",IF(VLOOKUP($A95,[1]!Table1[#All],2,FALSE)="Direkte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1744678.8839594168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404">
        <f>IFERROR(VLOOKUP($F96,Landbrugsproduktivititet!$B$3:$E$9,MATCH($H3,Landbrugsproduktivititet!$B$2:$E$2,0),FALSE),1)*IF($A96&lt;&gt;"",IF(VLOOKUP($A96,[1]!Table1[#All],2,FALSE)="Direkte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input'!$A$3:$A$230,$A$1)),IF(VLOOKUP($A96,[1]!Table1[#All],2,FALSE)="Resultat",SUMIF($F$1:$F34,$D96,H$1:H34)+SUMIF($F97:$F$512,$D96,H97:H$512),0))*'[1]Processer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405">
        <f>IFERROR(VLOOKUP($F96,Landbrugsproduktivititet!$B$3:$E$9,MATCH($H3,Landbrugsproduktivititet!$B$2:$E$2,0),FALSE),1)*IF($A96&lt;&gt;"",IF(VLOOKUP($A96,[1]!Table1[#All],2,FALSE)="Direkte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input'!$A$3:$A$230,$A$1)),IF(VLOOKUP($A96,[1]!Table1[#All],2,FALSE)="Resultat",SUMIF($F$1:$F34,$D96,I$1:I34)+SUMIF($F97:$F$512,$D96,I97:I$512),0))*'[1]Processer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2106792.4244348742</v>
      </c>
      <c r="J96" s="406">
        <f>IFERROR(VLOOKUP($F96,Landbrugsproduktivititet!$B$3:$E$9,MATCH($H3,Landbrugsproduktivititet!$B$2:$E$2,0),FALSE),1)*IF($A96&lt;&gt;"",IF(VLOOKUP($A96,[1]!Table1[#All],2,FALSE)="Direkte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input'!$A$3:$A$230,$A$1)),IF(VLOOKUP($A96,[1]!Table1[#All],2,FALSE)="Resultat",SUMIF($F$1:$F34,$D96,J$1:J34)+SUMIF($F97:$F$512,$D96,J97:J$512),0))*'[1]Processer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1882077.697473543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404">
        <f ca="1">IFERROR(VLOOKUP($F97,Landbrugsproduktivititet!$B$3:$E$9,MATCH($H4,Landbrugsproduktivititet!$B$2:$E$2,0),FALSE),1)*IF($A97&lt;&gt;"",IF(VLOOKUP($A97,[1]!Table1[#All],2,FALSE)="Direkte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input'!$A$3:$A$230,$A$1)),IF(VLOOKUP($A97,[1]!Table1[#All],2,FALSE)="Resultat",SUMIF($F$1:$F35,$D97,H$1:H35)+SUMIF($F98:$F$512,$D97,H98:H$512),0))*'[1]Processer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405">
        <f ca="1">IFERROR(VLOOKUP($F97,Landbrugsproduktivititet!$B$3:$E$9,MATCH($H4,Landbrugsproduktivititet!$B$2:$E$2,0),FALSE),1)*IF($A97&lt;&gt;"",IF(VLOOKUP($A97,[1]!Table1[#All],2,FALSE)="Direkte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input'!$A$3:$A$230,$A$1)),IF(VLOOKUP($A97,[1]!Table1[#All],2,FALSE)="Resultat",SUMIF($F$1:$F35,$D97,I$1:I35)+SUMIF($F98:$F$512,$D97,I98:I$512),0))*'[1]Processer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270075.58773904614</v>
      </c>
      <c r="J97" s="406">
        <f ca="1">IFERROR(VLOOKUP($F97,Landbrugsproduktivititet!$B$3:$E$9,MATCH($H4,Landbrugsproduktivititet!$B$2:$E$2,0),FALSE),1)*IF($A97&lt;&gt;"",IF(VLOOKUP($A97,[1]!Table1[#All],2,FALSE)="Direkte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input'!$A$3:$A$230,$A$1)),IF(VLOOKUP($A97,[1]!Table1[#All],2,FALSE)="Resultat",SUMIF($F$1:$F35,$D97,J$1:J35)+SUMIF($F98:$F$512,$D97,J98:J$512),0))*'[1]Processer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241268.78111974653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404">
        <f>IFERROR(VLOOKUP($F98,Landbrugsproduktivititet!$B$3:$E$9,MATCH($H5,Landbrugsproduktivititet!$B$2:$E$2,0),FALSE),1)*IF($A98&lt;&gt;"",IF(VLOOKUP($A98,[1]!Table1[#All],2,FALSE)="Direkte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input'!$A$3:$A$230,$A$1)),IF(VLOOKUP($A98,[1]!Table1[#All],2,FALSE)="Resultat",SUMIF($F$1:$F36,$D98,H$1:H36)+SUMIF($F99:$F$512,$D98,H99:H$512),0))*'[1]Processer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405">
        <f>IFERROR(VLOOKUP($F98,Landbrugsproduktivititet!$B$3:$E$9,MATCH($H5,Landbrugsproduktivititet!$B$2:$E$2,0),FALSE),1)*IF($A98&lt;&gt;"",IF(VLOOKUP($A98,[1]!Table1[#All],2,FALSE)="Direkte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input'!$A$3:$A$230,$A$1)),IF(VLOOKUP($A98,[1]!Table1[#All],2,FALSE)="Resultat",SUMIF($F$1:$F36,$D98,I$1:I36)+SUMIF($F99:$F$512,$D98,I99:I$512),0))*'[1]Processer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22075.109561151701</v>
      </c>
      <c r="J98" s="406">
        <f>IFERROR(VLOOKUP($F98,Landbrugsproduktivititet!$B$3:$E$9,MATCH($H5,Landbrugsproduktivititet!$B$2:$E$2,0),FALSE),1)*IF($A98&lt;&gt;"",IF(VLOOKUP($A98,[1]!Table1[#All],2,FALSE)="Direkte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input'!$A$3:$A$230,$A$1)),IF(VLOOKUP($A98,[1]!Table1[#All],2,FALSE)="Resultat",SUMIF($F$1:$F36,$D98,J$1:J36)+SUMIF($F99:$F$512,$D98,J99:J$512),0))*'[1]Processer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19720.533875316727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404">
        <f>IFERROR(VLOOKUP($F99,Landbrugsproduktivititet!$B$3:$E$9,MATCH($H6,Landbrugsproduktivititet!$B$2:$E$2,0),FALSE),1)*IF($A99&lt;&gt;"",IF(VLOOKUP($A99,[1]!Table1[#All],2,FALSE)="Direkte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input'!$A$3:$A$230,$A$1)),IF(VLOOKUP($A99,[1]!Table1[#All],2,FALSE)="Resultat",SUMIF($F$1:$F37,$D99,H$1:H37)+SUMIF($F100:$F$512,$D99,H100:H$512),0))*'[1]Processer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405">
        <f>IFERROR(VLOOKUP($F99,Landbrugsproduktivititet!$B$3:$E$9,MATCH($H6,Landbrugsproduktivititet!$B$2:$E$2,0),FALSE),1)*IF($A99&lt;&gt;"",IF(VLOOKUP($A99,[1]!Table1[#All],2,FALSE)="Direkte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input'!$A$3:$A$230,$A$1)),IF(VLOOKUP($A99,[1]!Table1[#All],2,FALSE)="Resultat",SUMIF($F$1:$F37,$D99,I$1:I37)+SUMIF($F100:$F$512,$D99,I100:I$512),0))*'[1]Processer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-1205281416.9381351</v>
      </c>
      <c r="J99" s="406">
        <f>IFERROR(VLOOKUP($F99,Landbrugsproduktivititet!$B$3:$E$9,MATCH($H6,Landbrugsproduktivititet!$B$2:$E$2,0),FALSE),1)*IF($A99&lt;&gt;"",IF(VLOOKUP($A99,[1]!Table1[#All],2,FALSE)="Direkte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input'!$A$3:$A$230,$A$1)),IF(VLOOKUP($A99,[1]!Table1[#All],2,FALSE)="Resultat",SUMIF($F$1:$F37,$D99,J$1:J37)+SUMIF($F100:$F$512,$D99,J100:J$512),0))*'[1]Processer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-1076723671.3446317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404">
        <f>IFERROR(VLOOKUP($F100,Landbrugsproduktivititet!$B$3:$E$9,MATCH($H7,Landbrugsproduktivititet!$B$2:$E$2,0),FALSE),1)*IF($A100&lt;&gt;"",IF(VLOOKUP($A100,[1]!Table1[#All],2,FALSE)="Direkte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input'!$A$3:$A$230,$A$1)),IF(VLOOKUP($A100,[1]!Table1[#All],2,FALSE)="Resultat",SUMIF($F$1:$F38,$D100,H$1:H38)+SUMIF($F101:$F$512,$D100,H101:H$512),0))*'[1]Processer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405">
        <f>IFERROR(VLOOKUP($F100,Landbrugsproduktivititet!$B$3:$E$9,MATCH($H7,Landbrugsproduktivititet!$B$2:$E$2,0),FALSE),1)*IF($A100&lt;&gt;"",IF(VLOOKUP($A100,[1]!Table1[#All],2,FALSE)="Direkte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input'!$A$3:$A$230,$A$1)),IF(VLOOKUP($A100,[1]!Table1[#All],2,FALSE)="Resultat",SUMIF($F$1:$F38,$D100,I$1:I38)+SUMIF($F101:$F$512,$D100,I101:I$512),0))*'[1]Processer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-92565.477565356443</v>
      </c>
      <c r="J100" s="406">
        <f>IFERROR(VLOOKUP($F100,Landbrugsproduktivititet!$B$3:$E$9,MATCH($H7,Landbrugsproduktivititet!$B$2:$E$2,0),FALSE),1)*IF($A100&lt;&gt;"",IF(VLOOKUP($A100,[1]!Table1[#All],2,FALSE)="Direkte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input'!$A$3:$A$230,$A$1)),IF(VLOOKUP($A100,[1]!Table1[#All],2,FALSE)="Resultat",SUMIF($F$1:$F38,$D100,J$1:J38)+SUMIF($F101:$F$512,$D100,J101:J$512),0))*'[1]Processer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-82692.257130398822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404">
        <f>IFERROR(VLOOKUP($F101,Landbrugsproduktivititet!$B$3:$E$9,MATCH($H8,Landbrugsproduktivititet!$B$2:$E$2,0),FALSE),1)*IF($A101&lt;&gt;"",IF(VLOOKUP($A101,[1]!Table1[#All],2,FALSE)="Direkte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input'!$A$3:$A$230,$A$1)),IF(VLOOKUP($A101,[1]!Table1[#All],2,FALSE)="Resultat",SUMIF($F$1:$F39,$D101,H$1:H39)+SUMIF($F102:$F$512,$D101,H102:H$512),0))*'[1]Processer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405">
        <f>IFERROR(VLOOKUP($F101,Landbrugsproduktivititet!$B$3:$E$9,MATCH($H8,Landbrugsproduktivititet!$B$2:$E$2,0),FALSE),1)*IF($A101&lt;&gt;"",IF(VLOOKUP($A101,[1]!Table1[#All],2,FALSE)="Direkte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input'!$A$3:$A$230,$A$1)),IF(VLOOKUP($A101,[1]!Table1[#All],2,FALSE)="Resultat",SUMIF($F$1:$F39,$D101,I$1:I39)+SUMIF($F102:$F$512,$D101,I102:I$512),0))*'[1]Processer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157832.58049843548</v>
      </c>
      <c r="J101" s="406">
        <f>IFERROR(VLOOKUP($F101,Landbrugsproduktivititet!$B$3:$E$9,MATCH($H8,Landbrugsproduktivititet!$B$2:$E$2,0),FALSE),1)*IF($A101&lt;&gt;"",IF(VLOOKUP($A101,[1]!Table1[#All],2,FALSE)="Direkte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input'!$A$3:$A$230,$A$1)),IF(VLOOKUP($A101,[1]!Table1[#All],2,FALSE)="Resultat",SUMIF($F$1:$F39,$D101,J$1:J39)+SUMIF($F102:$F$512,$D101,J102:J$512),0))*'[1]Processer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140997.83929614452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404">
        <f>IFERROR(VLOOKUP($F102,Landbrugsproduktivititet!$B$3:$E$9,MATCH($H9,Landbrugsproduktivititet!$B$2:$E$2,0),FALSE),1)*IF($A102&lt;&gt;"",IF(VLOOKUP($A102,[1]!Table1[#All],2,FALSE)="Direkte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input'!$A$3:$A$230,$A$1)),IF(VLOOKUP($A102,[1]!Table1[#All],2,FALSE)="Resultat",SUMIF($F$1:$F40,$D102,H$1:H40)+SUMIF($F103:$F$512,$D102,H103:H$512),0))*'[1]Processer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405">
        <f>IFERROR(VLOOKUP($F102,Landbrugsproduktivititet!$B$3:$E$9,MATCH($H9,Landbrugsproduktivititet!$B$2:$E$2,0),FALSE),1)*IF($A102&lt;&gt;"",IF(VLOOKUP($A102,[1]!Table1[#All],2,FALSE)="Direkte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input'!$A$3:$A$230,$A$1)),IF(VLOOKUP($A102,[1]!Table1[#All],2,FALSE)="Resultat",SUMIF($F$1:$F40,$D102,I$1:I40)+SUMIF($F103:$F$512,$D102,I103:I$512),0))*'[1]Processer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43673.974961465974</v>
      </c>
      <c r="J102" s="406">
        <f>IFERROR(VLOOKUP($F102,Landbrugsproduktivititet!$B$3:$E$9,MATCH($H9,Landbrugsproduktivititet!$B$2:$E$2,0),FALSE),1)*IF($A102&lt;&gt;"",IF(VLOOKUP($A102,[1]!Table1[#All],2,FALSE)="Direkte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input'!$A$3:$A$230,$A$1)),IF(VLOOKUP($A102,[1]!Table1[#All],2,FALSE)="Resultat",SUMIF($F$1:$F40,$D102,J$1:J40)+SUMIF($F103:$F$512,$D102,J103:J$512),0))*'[1]Processer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67237.117600826576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404">
        <f>IFERROR(VLOOKUP($F103,Landbrugsproduktivititet!$B$3:$E$9,MATCH($H10,Landbrugsproduktivititet!$B$2:$E$2,0),FALSE),1)*IF($A103&lt;&gt;"",IF(VLOOKUP($A103,[1]!Table1[#All],2,FALSE)="Direkte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input'!$A$3:$A$230,$A$1)),IF(VLOOKUP($A103,[1]!Table1[#All],2,FALSE)="Resultat",SUMIF($F$1:$F41,$D103,H$1:H41)+SUMIF($F104:$F$512,$D103,H104:H$512),0))*'[1]Processer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405">
        <f>IFERROR(VLOOKUP($F103,Landbrugsproduktivititet!$B$3:$E$9,MATCH($H10,Landbrugsproduktivititet!$B$2:$E$2,0),FALSE),1)*IF($A103&lt;&gt;"",IF(VLOOKUP($A103,[1]!Table1[#All],2,FALSE)="Direkte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input'!$A$3:$A$230,$A$1)),IF(VLOOKUP($A103,[1]!Table1[#All],2,FALSE)="Resultat",SUMIF($F$1:$F41,$D103,I$1:I41)+SUMIF($F104:$F$512,$D103,I104:I$512),0))*'[1]Processer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406">
        <f>IFERROR(VLOOKUP($F103,Landbrugsproduktivititet!$B$3:$E$9,MATCH($H10,Landbrugsproduktivititet!$B$2:$E$2,0),FALSE),1)*IF($A103&lt;&gt;"",IF(VLOOKUP($A103,[1]!Table1[#All],2,FALSE)="Direkte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input'!$A$3:$A$230,$A$1)),IF(VLOOKUP($A103,[1]!Table1[#All],2,FALSE)="Resultat",SUMIF($F$1:$F41,$D103,J$1:J41)+SUMIF($F104:$F$512,$D103,J104:J$512),0))*'[1]Processer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404">
        <f>IFERROR(VLOOKUP($F104,Landbrugsproduktivititet!$B$3:$E$9,MATCH($H11,Landbrugsproduktivititet!$B$2:$E$2,0),FALSE),1)*IF($A104&lt;&gt;"",IF(VLOOKUP($A104,[1]!Table1[#All],2,FALSE)="Direkte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input'!$A$3:$A$230,$A$1)),IF(VLOOKUP($A104,[1]!Table1[#All],2,FALSE)="Resultat",SUMIF($F$1:$F42,$D104,H$1:H42)+SUMIF($F105:$F$512,$D104,H105:H$512),0))*'[1]Processer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405">
        <f>IFERROR(VLOOKUP($F104,Landbrugsproduktivititet!$B$3:$E$9,MATCH($H11,Landbrugsproduktivititet!$B$2:$E$2,0),FALSE),1)*IF($A104&lt;&gt;"",IF(VLOOKUP($A104,[1]!Table1[#All],2,FALSE)="Direkte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input'!$A$3:$A$230,$A$1)),IF(VLOOKUP($A104,[1]!Table1[#All],2,FALSE)="Resultat",SUMIF($F$1:$F42,$D104,I$1:I42)+SUMIF($F105:$F$512,$D104,I105:I$512),0))*'[1]Processer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47339.134513113473</v>
      </c>
      <c r="J104" s="406">
        <f>IFERROR(VLOOKUP($F104,Landbrugsproduktivititet!$B$3:$E$9,MATCH($H11,Landbrugsproduktivititet!$B$2:$E$2,0),FALSE),1)*IF($A104&lt;&gt;"",IF(VLOOKUP($A104,[1]!Table1[#All],2,FALSE)="Direkte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input'!$A$3:$A$230,$A$1)),IF(VLOOKUP($A104,[1]!Table1[#All],2,FALSE)="Resultat",SUMIF($F$1:$F42,$D104,J$1:J42)+SUMIF($F105:$F$512,$D104,J105:J$512),0))*'[1]Processer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72879.717433274796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404">
        <f>IFERROR(VLOOKUP($F105,Landbrugsproduktivititet!$B$3:$E$9,MATCH($H12,Landbrugsproduktivititet!$B$2:$E$2,0),FALSE),1)*IF($A105&lt;&gt;"",IF(VLOOKUP($A105,[1]!Table1[#All],2,FALSE)="Direkte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input'!$A$3:$A$230,$A$1)),IF(VLOOKUP($A105,[1]!Table1[#All],2,FALSE)="Resultat",SUMIF($F$1:$F43,$D105,H$1:H43)+SUMIF($F106:$F$512,$D105,H106:H$512),0))*'[1]Processer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405">
        <f>IFERROR(VLOOKUP($F105,Landbrugsproduktivititet!$B$3:$E$9,MATCH($H12,Landbrugsproduktivititet!$B$2:$E$2,0),FALSE),1)*IF($A105&lt;&gt;"",IF(VLOOKUP($A105,[1]!Table1[#All],2,FALSE)="Direkte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input'!$A$3:$A$230,$A$1)),IF(VLOOKUP($A105,[1]!Table1[#All],2,FALSE)="Resultat",SUMIF($F$1:$F43,$D105,I$1:I43)+SUMIF($F106:$F$512,$D105,I106:I$512),0))*'[1]Processer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1447.8240268074526</v>
      </c>
      <c r="J105" s="406">
        <f>IFERROR(VLOOKUP($F105,Landbrugsproduktivititet!$B$3:$E$9,MATCH($H12,Landbrugsproduktivititet!$B$2:$E$2,0),FALSE),1)*IF($A105&lt;&gt;"",IF(VLOOKUP($A105,[1]!Table1[#All],2,FALSE)="Direkte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input'!$A$3:$A$230,$A$1)),IF(VLOOKUP($A105,[1]!Table1[#All],2,FALSE)="Resultat",SUMIF($F$1:$F43,$D105,J$1:J43)+SUMIF($F106:$F$512,$D105,J106:J$512),0))*'[1]Processer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2228.9593388658977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404">
        <f>IFERROR(VLOOKUP($F106,Landbrugsproduktivititet!$B$3:$E$9,MATCH($H13,Landbrugsproduktivititet!$B$2:$E$2,0),FALSE),1)*IF($A106&lt;&gt;"",IF(VLOOKUP($A106,[1]!Table1[#All],2,FALSE)="Direkte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input'!$A$3:$A$230,$A$1)),IF(VLOOKUP($A106,[1]!Table1[#All],2,FALSE)="Resultat",SUMIF($F$1:$F44,$D106,H$1:H44)+SUMIF($F107:$F$512,$D106,H107:H$512),0))*'[1]Processer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405">
        <f>IFERROR(VLOOKUP($F106,Landbrugsproduktivititet!$B$3:$E$9,MATCH($H13,Landbrugsproduktivititet!$B$2:$E$2,0),FALSE),1)*IF($A106&lt;&gt;"",IF(VLOOKUP($A106,[1]!Table1[#All],2,FALSE)="Direkte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input'!$A$3:$A$230,$A$1)),IF(VLOOKUP($A106,[1]!Table1[#All],2,FALSE)="Resultat",SUMIF($F$1:$F44,$D106,I$1:I44)+SUMIF($F107:$F$512,$D106,I107:I$512),0))*'[1]Processer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-79049908.661767974</v>
      </c>
      <c r="J106" s="406">
        <f>IFERROR(VLOOKUP($F106,Landbrugsproduktivititet!$B$3:$E$9,MATCH($H13,Landbrugsproduktivititet!$B$2:$E$2,0),FALSE),1)*IF($A106&lt;&gt;"",IF(VLOOKUP($A106,[1]!Table1[#All],2,FALSE)="Direkte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input'!$A$3:$A$230,$A$1)),IF(VLOOKUP($A106,[1]!Table1[#All],2,FALSE)="Resultat",SUMIF($F$1:$F44,$D106,J$1:J44)+SUMIF($F107:$F$512,$D106,J107:J$512),0))*'[1]Processer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-121699204.38236851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404">
        <f>IFERROR(VLOOKUP($F107,Landbrugsproduktivititet!$B$3:$E$9,MATCH($H14,Landbrugsproduktivititet!$B$2:$E$2,0),FALSE),1)*IF($A107&lt;&gt;"",IF(VLOOKUP($A107,[1]!Table1[#All],2,FALSE)="Direkte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input'!$A$3:$A$230,$A$1)),IF(VLOOKUP($A107,[1]!Table1[#All],2,FALSE)="Resultat",SUMIF($F$1:$F45,$D107,H$1:H45)+SUMIF($F108:$F$512,$D107,H108:H$512),0))*'[1]Processer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405">
        <f>IFERROR(VLOOKUP($F107,Landbrugsproduktivititet!$B$3:$E$9,MATCH($H14,Landbrugsproduktivititet!$B$2:$E$2,0),FALSE),1)*IF($A107&lt;&gt;"",IF(VLOOKUP($A107,[1]!Table1[#All],2,FALSE)="Direkte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input'!$A$3:$A$230,$A$1)),IF(VLOOKUP($A107,[1]!Table1[#All],2,FALSE)="Resultat",SUMIF($F$1:$F45,$D107,I$1:I45)+SUMIF($F108:$F$512,$D107,I108:I$512),0))*'[1]Processer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-5336.4024749168302</v>
      </c>
      <c r="J107" s="406">
        <f>IFERROR(VLOOKUP($F107,Landbrugsproduktivititet!$B$3:$E$9,MATCH($H14,Landbrugsproduktivititet!$B$2:$E$2,0),FALSE),1)*IF($A107&lt;&gt;"",IF(VLOOKUP($A107,[1]!Table1[#All],2,FALSE)="Direkte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input'!$A$3:$A$230,$A$1)),IF(VLOOKUP($A107,[1]!Table1[#All],2,FALSE)="Resultat",SUMIF($F$1:$F45,$D107,J$1:J45)+SUMIF($F108:$F$512,$D107,J108:J$512),0))*'[1]Processer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-8215.5178475946341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404">
        <f ca="1">IFERROR(VLOOKUP($F108,Landbrugsproduktivititet!$B$3:$E$9,MATCH($H15,Landbrugsproduktivititet!$B$2:$E$2,0),FALSE),1)*IF($A108&lt;&gt;"",IF(VLOOKUP($A108,[1]!Table1[#All],2,FALSE)="Direkte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input'!$A$3:$A$230,$A$1)),IF(VLOOKUP($A108,[1]!Table1[#All],2,FALSE)="Resultat",SUMIF($F$1:$F46,$D108,H$1:H46)+SUMIF($F109:$F$512,$D108,H109:H$512),0))*'[1]Processer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405">
        <f ca="1">IFERROR(VLOOKUP($F108,Landbrugsproduktivititet!$B$3:$E$9,MATCH($H15,Landbrugsproduktivititet!$B$2:$E$2,0),FALSE),1)*IF($A108&lt;&gt;"",IF(VLOOKUP($A108,[1]!Table1[#All],2,FALSE)="Direkte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input'!$A$3:$A$230,$A$1)),IF(VLOOKUP($A108,[1]!Table1[#All],2,FALSE)="Resultat",SUMIF($F$1:$F46,$D108,I$1:I46)+SUMIF($F109:$F$512,$D108,I109:I$512),0))*'[1]Processer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11386.814719455808</v>
      </c>
      <c r="J108" s="406">
        <f ca="1">IFERROR(VLOOKUP($F108,Landbrugsproduktivititet!$B$3:$E$9,MATCH($H15,Landbrugsproduktivititet!$B$2:$E$2,0),FALSE),1)*IF($A108&lt;&gt;"",IF(VLOOKUP($A108,[1]!Table1[#All],2,FALSE)="Direkte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input'!$A$3:$A$230,$A$1)),IF(VLOOKUP($A108,[1]!Table1[#All],2,FALSE)="Resultat",SUMIF($F$1:$F46,$D108,J$1:J46)+SUMIF($F109:$F$512,$D108,J109:J$512),0))*'[1]Processer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17530.270626073881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404">
        <f ca="1">IFERROR(VLOOKUP($F109,Landbrugsproduktivititet!$B$3:$E$9,MATCH($H16,Landbrugsproduktivititet!$B$2:$E$2,0),FALSE),1)*IF($A109&lt;&gt;"",IF(VLOOKUP($A109,[1]!Table1[#All],2,FALSE)="Direkte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input'!$A$3:$A$230,$A$1)),IF(VLOOKUP($A109,[1]!Table1[#All],2,FALSE)="Resultat",SUMIF($F$1:$F47,$D109,H$1:H47)+SUMIF($F110:$F$512,$D109,H110:H$512),0))*'[1]Processer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405">
        <f ca="1">IFERROR(VLOOKUP($F109,Landbrugsproduktivititet!$B$3:$E$9,MATCH($H16,Landbrugsproduktivititet!$B$2:$E$2,0),FALSE),1)*IF($A109&lt;&gt;"",IF(VLOOKUP($A109,[1]!Table1[#All],2,FALSE)="Direkte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input'!$A$3:$A$230,$A$1)),IF(VLOOKUP($A109,[1]!Table1[#All],2,FALSE)="Resultat",SUMIF($F$1:$F47,$D109,I$1:I47)+SUMIF($F110:$F$512,$D109,I110:I$512),0))*'[1]Processer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28492.704311595535</v>
      </c>
      <c r="J109" s="406">
        <f ca="1">IFERROR(VLOOKUP($F109,Landbrugsproduktivititet!$B$3:$E$9,MATCH($H16,Landbrugsproduktivititet!$B$2:$E$2,0),FALSE),1)*IF($A109&lt;&gt;"",IF(VLOOKUP($A109,[1]!Table1[#All],2,FALSE)="Direkte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input'!$A$3:$A$230,$A$1)),IF(VLOOKUP($A109,[1]!Table1[#All],2,FALSE)="Resultat",SUMIF($F$1:$F47,$D109,J$1:J47)+SUMIF($F110:$F$512,$D109,J110:J$512),0))*'[1]Processer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27116.148351611824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404">
        <f ca="1">IFERROR(VLOOKUP($F110,Landbrugsproduktivititet!$B$3:$E$9,MATCH($H17,Landbrugsproduktivititet!$B$2:$E$2,0),FALSE),1)*IF($A110&lt;&gt;"",IF(VLOOKUP($A110,[1]!Table1[#All],2,FALSE)="Direkte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input'!$A$3:$A$230,$A$1)),IF(VLOOKUP($A110,[1]!Table1[#All],2,FALSE)="Resultat",SUMIF($F$1:$F48,$D110,H$1:H48)+SUMIF($F111:$F$512,$D110,H111:H$512),0))*'[1]Processer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405">
        <f ca="1">IFERROR(VLOOKUP($F110,Landbrugsproduktivititet!$B$3:$E$9,MATCH($H17,Landbrugsproduktivititet!$B$2:$E$2,0),FALSE),1)*IF($A110&lt;&gt;"",IF(VLOOKUP($A110,[1]!Table1[#All],2,FALSE)="Direkte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input'!$A$3:$A$230,$A$1)),IF(VLOOKUP($A110,[1]!Table1[#All],2,FALSE)="Resultat",SUMIF($F$1:$F48,$D110,I$1:I48)+SUMIF($F111:$F$512,$D110,I111:I$512),0))*'[1]Processer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826812.23553314724</v>
      </c>
      <c r="J110" s="406">
        <f ca="1">IFERROR(VLOOKUP($F110,Landbrugsproduktivititet!$B$3:$E$9,MATCH($H17,Landbrugsproduktivititet!$B$2:$E$2,0),FALSE),1)*IF($A110&lt;&gt;"",IF(VLOOKUP($A110,[1]!Table1[#All],2,FALSE)="Direkte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input'!$A$3:$A$230,$A$1)),IF(VLOOKUP($A110,[1]!Table1[#All],2,FALSE)="Resultat",SUMIF($F$1:$F48,$D110,J$1:J48)+SUMIF($F111:$F$512,$D110,J111:J$512),0))*'[1]Processer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786866.80605885829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404">
        <f ca="1">IFERROR(VLOOKUP($F111,Landbrugsproduktivititet!$B$3:$E$9,MATCH($H18,Landbrugsproduktivititet!$B$2:$E$2,0),FALSE),1)*IF($A111&lt;&gt;"",IF(VLOOKUP($A111,[1]!Table1[#All],2,FALSE)="Direkte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input'!$A$3:$A$230,$A$1)),IF(VLOOKUP($A111,[1]!Table1[#All],2,FALSE)="Resultat",SUMIF($F$1:$F49,$D111,H$1:H49)+SUMIF($F112:$F$512,$D111,H112:H$512),0))*'[1]Processer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405">
        <f ca="1">IFERROR(VLOOKUP($F111,Landbrugsproduktivititet!$B$3:$E$9,MATCH($H18,Landbrugsproduktivititet!$B$2:$E$2,0),FALSE),1)*IF($A111&lt;&gt;"",IF(VLOOKUP($A111,[1]!Table1[#All],2,FALSE)="Direkte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input'!$A$3:$A$230,$A$1)),IF(VLOOKUP($A111,[1]!Table1[#All],2,FALSE)="Resultat",SUMIF($F$1:$F49,$D111,I$1:I49)+SUMIF($F112:$F$512,$D111,I112:I$512),0))*'[1]Processer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16203.204703389418</v>
      </c>
      <c r="J111" s="406">
        <f ca="1">IFERROR(VLOOKUP($F111,Landbrugsproduktivititet!$B$3:$E$9,MATCH($H18,Landbrugsproduktivititet!$B$2:$E$2,0),FALSE),1)*IF($A111&lt;&gt;"",IF(VLOOKUP($A111,[1]!Table1[#All],2,FALSE)="Direkte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input'!$A$3:$A$230,$A$1)),IF(VLOOKUP($A111,[1]!Table1[#All],2,FALSE)="Resultat",SUMIF($F$1:$F49,$D111,J$1:J49)+SUMIF($F112:$F$512,$D111,J112:J$512),0))*'[1]Processer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15420.386134770446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404">
        <f ca="1">IFERROR(VLOOKUP($F112,Landbrugsproduktivititet!$B$3:$E$9,MATCH($H19,Landbrugsproduktivititet!$B$2:$E$2,0),FALSE),1)*IF($A112&lt;&gt;"",IF(VLOOKUP($A112,[1]!Table1[#All],2,FALSE)="Direkte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input'!$A$3:$A$230,$A$1)),IF(VLOOKUP($A112,[1]!Table1[#All],2,FALSE)="Resultat",SUMIF($F$1:$F50,$D112,H$1:H50)+SUMIF($F113:$F$512,$D112,H113:H$512),0))*'[1]Processer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405">
        <f ca="1">IFERROR(VLOOKUP($F112,Landbrugsproduktivititet!$B$3:$E$9,MATCH($H19,Landbrugsproduktivititet!$B$2:$E$2,0),FALSE),1)*IF($A112&lt;&gt;"",IF(VLOOKUP($A112,[1]!Table1[#All],2,FALSE)="Direkte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input'!$A$3:$A$230,$A$1)),IF(VLOOKUP($A112,[1]!Table1[#All],2,FALSE)="Resultat",SUMIF($F$1:$F50,$D112,I$1:I50)+SUMIF($F113:$F$512,$D112,I113:I$512),0))*'[1]Processer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309500.86889536137</v>
      </c>
      <c r="J112" s="406">
        <f ca="1">IFERROR(VLOOKUP($F112,Landbrugsproduktivititet!$B$3:$E$9,MATCH($H19,Landbrugsproduktivititet!$B$2:$E$2,0),FALSE),1)*IF($A112&lt;&gt;"",IF(VLOOKUP($A112,[1]!Table1[#All],2,FALSE)="Direkte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input'!$A$3:$A$230,$A$1)),IF(VLOOKUP($A112,[1]!Table1[#All],2,FALSE)="Resultat",SUMIF($F$1:$F50,$D112,J$1:J50)+SUMIF($F113:$F$512,$D112,J113:J$512),0))*'[1]Processer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294548.08445486653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404">
        <f ca="1">IFERROR(VLOOKUP($F113,Landbrugsproduktivititet!$B$3:$E$9,MATCH($H20,Landbrugsproduktivititet!$B$2:$E$2,0),FALSE),1)*IF($A113&lt;&gt;"",IF(VLOOKUP($A113,[1]!Table1[#All],2,FALSE)="Direkte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input'!$A$3:$A$230,$A$1)),IF(VLOOKUP($A113,[1]!Table1[#All],2,FALSE)="Resultat",SUMIF($F$1:$F51,$D113,H$1:H51)+SUMIF($F114:$F$512,$D113,H114:H$512),0))*'[1]Processer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405">
        <f ca="1">IFERROR(VLOOKUP($F113,Landbrugsproduktivititet!$B$3:$E$9,MATCH($H20,Landbrugsproduktivititet!$B$2:$E$2,0),FALSE),1)*IF($A113&lt;&gt;"",IF(VLOOKUP($A113,[1]!Table1[#All],2,FALSE)="Direkte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input'!$A$3:$A$230,$A$1)),IF(VLOOKUP($A113,[1]!Table1[#All],2,FALSE)="Resultat",SUMIF($F$1:$F51,$D113,I$1:I51)+SUMIF($F114:$F$512,$D113,I114:I$512),0))*'[1]Processer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3525.8363326428594</v>
      </c>
      <c r="J113" s="406">
        <f ca="1">IFERROR(VLOOKUP($F113,Landbrugsproduktivititet!$B$3:$E$9,MATCH($H20,Landbrugsproduktivititet!$B$2:$E$2,0),FALSE),1)*IF($A113&lt;&gt;"",IF(VLOOKUP($A113,[1]!Table1[#All],2,FALSE)="Direkte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input'!$A$3:$A$230,$A$1)),IF(VLOOKUP($A113,[1]!Table1[#All],2,FALSE)="Resultat",SUMIF($F$1:$F51,$D113,J$1:J51)+SUMIF($F114:$F$512,$D113,J114:J$512),0))*'[1]Processer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3355.4940946949005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404">
        <f ca="1">IFERROR(VLOOKUP($F114,Landbrugsproduktivititet!$B$3:$E$9,MATCH($H21,Landbrugsproduktivititet!$B$2:$E$2,0),FALSE),1)*IF($A114&lt;&gt;"",IF(VLOOKUP($A114,[1]!Table1[#All],2,FALSE)="Direkte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input'!$A$3:$A$230,$A$1)),IF(VLOOKUP($A114,[1]!Table1[#All],2,FALSE)="Resultat",SUMIF($F$1:$F52,$D114,H$1:H52)+SUMIF($F115:$F$512,$D114,H115:H$512),0))*'[1]Processer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405">
        <f ca="1">IFERROR(VLOOKUP($F114,Landbrugsproduktivititet!$B$3:$E$9,MATCH($H21,Landbrugsproduktivititet!$B$2:$E$2,0),FALSE),1)*IF($A114&lt;&gt;"",IF(VLOOKUP($A114,[1]!Table1[#All],2,FALSE)="Direkte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input'!$A$3:$A$230,$A$1)),IF(VLOOKUP($A114,[1]!Table1[#All],2,FALSE)="Resultat",SUMIF($F$1:$F52,$D114,I$1:I52)+SUMIF($F115:$F$512,$D114,I115:I$512),0))*'[1]Processer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-214518241.13794559</v>
      </c>
      <c r="J114" s="406">
        <f ca="1">IFERROR(VLOOKUP($F114,Landbrugsproduktivititet!$B$3:$E$9,MATCH($H21,Landbrugsproduktivititet!$B$2:$E$2,0),FALSE),1)*IF($A114&lt;&gt;"",IF(VLOOKUP($A114,[1]!Table1[#All],2,FALSE)="Direkte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input'!$A$3:$A$230,$A$1)),IF(VLOOKUP($A114,[1]!Table1[#All],2,FALSE)="Resultat",SUMIF($F$1:$F52,$D114,J$1:J52)+SUMIF($F115:$F$512,$D114,J115:J$512),0))*'[1]Processer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-204154312.17794558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404">
        <f ca="1">IFERROR(VLOOKUP($F115,Landbrugsproduktivititet!$B$3:$E$9,MATCH($H22,Landbrugsproduktivititet!$B$2:$E$2,0),FALSE),1)*IF($A115&lt;&gt;"",IF(VLOOKUP($A115,[1]!Table1[#All],2,FALSE)="Direkte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input'!$A$3:$A$230,$A$1)),IF(VLOOKUP($A115,[1]!Table1[#All],2,FALSE)="Resultat",SUMIF($F$1:$F53,$D115,H$1:H53)+SUMIF($F116:$F$512,$D115,H116:H$512),0))*'[1]Processer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405">
        <f ca="1">IFERROR(VLOOKUP($F115,Landbrugsproduktivititet!$B$3:$E$9,MATCH($H22,Landbrugsproduktivititet!$B$2:$E$2,0),FALSE),1)*IF($A115&lt;&gt;"",IF(VLOOKUP($A115,[1]!Table1[#All],2,FALSE)="Direkte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input'!$A$3:$A$230,$A$1)),IF(VLOOKUP($A115,[1]!Table1[#All],2,FALSE)="Resultat",SUMIF($F$1:$F53,$D115,I$1:I53)+SUMIF($F116:$F$512,$D115,I116:I$512),0))*'[1]Processer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-897.24016060370673</v>
      </c>
      <c r="J115" s="406">
        <f ca="1">IFERROR(VLOOKUP($F115,Landbrugsproduktivititet!$B$3:$E$9,MATCH($H22,Landbrugsproduktivititet!$B$2:$E$2,0),FALSE),1)*IF($A115&lt;&gt;"",IF(VLOOKUP($A115,[1]!Table1[#All],2,FALSE)="Direkte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input'!$A$3:$A$230,$A$1)),IF(VLOOKUP($A115,[1]!Table1[#All],2,FALSE)="Resultat",SUMIF($F$1:$F53,$D115,J$1:J53)+SUMIF($F116:$F$512,$D115,J116:J$512),0))*'[1]Processer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-853.89217660370673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404">
        <f ca="1">IFERROR(VLOOKUP($F116,Landbrugsproduktivititet!$B$3:$E$9,MATCH($H23,Landbrugsproduktivititet!$B$2:$E$2,0),FALSE),1)*IF($A116&lt;&gt;"",IF(VLOOKUP($A116,[1]!Table1[#All],2,FALSE)="Direkte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input'!$A$3:$A$230,$A$1)),IF(VLOOKUP($A116,[1]!Table1[#All],2,FALSE)="Resultat",SUMIF($F$1:$F54,$D116,H$1:H54)+SUMIF($F117:$F$512,$D116,H117:H$512),0))*'[1]Processer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405">
        <f ca="1">IFERROR(VLOOKUP($F116,Landbrugsproduktivititet!$B$3:$E$9,MATCH($H23,Landbrugsproduktivititet!$B$2:$E$2,0),FALSE),1)*IF($A116&lt;&gt;"",IF(VLOOKUP($A116,[1]!Table1[#All],2,FALSE)="Direkte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input'!$A$3:$A$230,$A$1)),IF(VLOOKUP($A116,[1]!Table1[#All],2,FALSE)="Resultat",SUMIF($F$1:$F54,$D116,I$1:I54)+SUMIF($F117:$F$512,$D116,I117:I$512),0))*'[1]Processer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232030.23327460969</v>
      </c>
      <c r="J116" s="406">
        <f ca="1">IFERROR(VLOOKUP($F116,Landbrugsproduktivititet!$B$3:$E$9,MATCH($H23,Landbrugsproduktivititet!$B$2:$E$2,0),FALSE),1)*IF($A116&lt;&gt;"",IF(VLOOKUP($A116,[1]!Table1[#All],2,FALSE)="Direkte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input'!$A$3:$A$230,$A$1)),IF(VLOOKUP($A116,[1]!Table1[#All],2,FALSE)="Resultat",SUMIF($F$1:$F54,$D116,J$1:J54)+SUMIF($F117:$F$512,$D116,J117:J$512),0))*'[1]Processer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220820.25485284967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404">
        <f ca="1">IFERROR(VLOOKUP($F117,Landbrugsproduktivititet!$B$3:$E$9,MATCH($H24,Landbrugsproduktivititet!$B$2:$E$2,0),FALSE),1)*IF($A117&lt;&gt;"",IF(VLOOKUP($A117,[1]!Table1[#All],2,FALSE)="Direkte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input'!$A$3:$A$230,$A$1)),IF(VLOOKUP($A117,[1]!Table1[#All],2,FALSE)="Resultat",SUMIF($F$1:$F55,$D117,H$1:H55)+SUMIF($F118:$F$512,$D117,H118:H$512),0))*'[1]Processer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405">
        <f ca="1">IFERROR(VLOOKUP($F117,Landbrugsproduktivititet!$B$3:$E$9,MATCH($H24,Landbrugsproduktivititet!$B$2:$E$2,0),FALSE),1)*IF($A117&lt;&gt;"",IF(VLOOKUP($A117,[1]!Table1[#All],2,FALSE)="Direkte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input'!$A$3:$A$230,$A$1)),IF(VLOOKUP($A117,[1]!Table1[#All],2,FALSE)="Resultat",SUMIF($F$1:$F55,$D117,I$1:I55)+SUMIF($F118:$F$512,$D117,I118:I$512),0))*'[1]Processer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1776.0856693662658</v>
      </c>
      <c r="J117" s="406">
        <f ca="1">IFERROR(VLOOKUP($F117,Landbrugsproduktivititet!$B$3:$E$9,MATCH($H24,Landbrugsproduktivititet!$B$2:$E$2,0),FALSE),1)*IF($A117&lt;&gt;"",IF(VLOOKUP($A117,[1]!Table1[#All],2,FALSE)="Direkte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input'!$A$3:$A$230,$A$1)),IF(VLOOKUP($A117,[1]!Table1[#All],2,FALSE)="Resultat",SUMIF($F$1:$F55,$D117,J$1:J55)+SUMIF($F118:$F$512,$D117,J118:J$512),0))*'[1]Processer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2188.9890516117057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404">
        <f ca="1">IFERROR(VLOOKUP($F118,Landbrugsproduktivititet!$B$3:$E$9,MATCH($H25,Landbrugsproduktivititet!$B$2:$E$2,0),FALSE),1)*IF($A118&lt;&gt;"",IF(VLOOKUP($A118,[1]!Table1[#All],2,FALSE)="Direkte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input'!$A$3:$A$230,$A$1)),IF(VLOOKUP($A118,[1]!Table1[#All],2,FALSE)="Resultat",SUMIF($F$1:$F56,$D118,H$1:H56)+SUMIF($F119:$F$512,$D118,H119:H$512),0))*'[1]Processer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405">
        <f ca="1">IFERROR(VLOOKUP($F118,Landbrugsproduktivititet!$B$3:$E$9,MATCH($H25,Landbrugsproduktivititet!$B$2:$E$2,0),FALSE),1)*IF($A118&lt;&gt;"",IF(VLOOKUP($A118,[1]!Table1[#All],2,FALSE)="Direkte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input'!$A$3:$A$230,$A$1)),IF(VLOOKUP($A118,[1]!Table1[#All],2,FALSE)="Resultat",SUMIF($F$1:$F56,$D118,I$1:I56)+SUMIF($F119:$F$512,$D118,I119:I$512),0))*'[1]Processer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95976.93713306167</v>
      </c>
      <c r="J118" s="406">
        <f ca="1">IFERROR(VLOOKUP($F118,Landbrugsproduktivititet!$B$3:$E$9,MATCH($H25,Landbrugsproduktivititet!$B$2:$E$2,0),FALSE),1)*IF($A118&lt;&gt;"",IF(VLOOKUP($A118,[1]!Table1[#All],2,FALSE)="Direkte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input'!$A$3:$A$230,$A$1)),IF(VLOOKUP($A118,[1]!Table1[#All],2,FALSE)="Resultat",SUMIF($F$1:$F56,$D118,J$1:J56)+SUMIF($F119:$F$512,$D118,J119:J$512),0))*'[1]Processer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118289.60067363255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404">
        <f ca="1">IFERROR(VLOOKUP($F119,Landbrugsproduktivititet!$B$3:$E$9,MATCH($H26,Landbrugsproduktivititet!$B$2:$E$2,0),FALSE),1)*IF($A119&lt;&gt;"",IF(VLOOKUP($A119,[1]!Table1[#All],2,FALSE)="Direkte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input'!$A$3:$A$230,$A$1)),IF(VLOOKUP($A119,[1]!Table1[#All],2,FALSE)="Resultat",SUMIF($F$1:$F57,$D119,H$1:H57)+SUMIF($F120:$F$512,$D119,H120:H$512),0))*'[1]Processer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405">
        <f ca="1">IFERROR(VLOOKUP($F119,Landbrugsproduktivititet!$B$3:$E$9,MATCH($H26,Landbrugsproduktivititet!$B$2:$E$2,0),FALSE),1)*IF($A119&lt;&gt;"",IF(VLOOKUP($A119,[1]!Table1[#All],2,FALSE)="Direkte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input'!$A$3:$A$230,$A$1)),IF(VLOOKUP($A119,[1]!Table1[#All],2,FALSE)="Resultat",SUMIF($F$1:$F57,$D119,I$1:I57)+SUMIF($F120:$F$512,$D119,I120:I$512),0))*'[1]Processer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792.40745248648784</v>
      </c>
      <c r="J119" s="406">
        <f ca="1">IFERROR(VLOOKUP($F119,Landbrugsproduktivititet!$B$3:$E$9,MATCH($H26,Landbrugsproduktivititet!$B$2:$E$2,0),FALSE),1)*IF($A119&lt;&gt;"",IF(VLOOKUP($A119,[1]!Table1[#All],2,FALSE)="Direkte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input'!$A$3:$A$230,$A$1)),IF(VLOOKUP($A119,[1]!Table1[#All],2,FALSE)="Resultat",SUMIF($F$1:$F57,$D119,J$1:J57)+SUMIF($F120:$F$512,$D119,J120:J$512),0))*'[1]Processer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976.62588456522246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404">
        <f ca="1">IFERROR(VLOOKUP($F120,Landbrugsproduktivititet!$B$3:$E$9,MATCH($H27,Landbrugsproduktivititet!$B$2:$E$2,0),FALSE),1)*IF($A120&lt;&gt;"",IF(VLOOKUP($A120,[1]!Table1[#All],2,FALSE)="Direkte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input'!$A$3:$A$230,$A$1)),IF(VLOOKUP($A120,[1]!Table1[#All],2,FALSE)="Resultat",SUMIF($F$1:$F58,$D120,H$1:H58)+SUMIF($F121:$F$512,$D120,H121:H$512),0))*'[1]Processer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405">
        <f ca="1">IFERROR(VLOOKUP($F120,Landbrugsproduktivititet!$B$3:$E$9,MATCH($H27,Landbrugsproduktivititet!$B$2:$E$2,0),FALSE),1)*IF($A120&lt;&gt;"",IF(VLOOKUP($A120,[1]!Table1[#All],2,FALSE)="Direkte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input'!$A$3:$A$230,$A$1)),IF(VLOOKUP($A120,[1]!Table1[#All],2,FALSE)="Resultat",SUMIF($F$1:$F58,$D120,I$1:I58)+SUMIF($F121:$F$512,$D120,I121:I$512),0))*'[1]Processer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36660.22984204728</v>
      </c>
      <c r="J120" s="406">
        <f ca="1">IFERROR(VLOOKUP($F120,Landbrugsproduktivititet!$B$3:$E$9,MATCH($H27,Landbrugsproduktivititet!$B$2:$E$2,0),FALSE),1)*IF($A120&lt;&gt;"",IF(VLOOKUP($A120,[1]!Table1[#All],2,FALSE)="Direkte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input'!$A$3:$A$230,$A$1)),IF(VLOOKUP($A120,[1]!Table1[#All],2,FALSE)="Resultat",SUMIF($F$1:$F58,$D120,J$1:J58)+SUMIF($F121:$F$512,$D120,J121:J$512),0))*'[1]Processer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45182.979142241609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404">
        <f ca="1">IFERROR(VLOOKUP($F121,Landbrugsproduktivititet!$B$3:$E$9,MATCH($H28,Landbrugsproduktivititet!$B$2:$E$2,0),FALSE),1)*IF($A121&lt;&gt;"",IF(VLOOKUP($A121,[1]!Table1[#All],2,FALSE)="Direkte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input'!$A$3:$A$230,$A$1)),IF(VLOOKUP($A121,[1]!Table1[#All],2,FALSE)="Resultat",SUMIF($F$1:$F59,$D121,H$1:H59)+SUMIF($F122:$F$512,$D121,H122:H$512),0))*'[1]Processer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405">
        <f ca="1">IFERROR(VLOOKUP($F121,Landbrugsproduktivititet!$B$3:$E$9,MATCH($H28,Landbrugsproduktivititet!$B$2:$E$2,0),FALSE),1)*IF($A121&lt;&gt;"",IF(VLOOKUP($A121,[1]!Table1[#All],2,FALSE)="Direkte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input'!$A$3:$A$230,$A$1)),IF(VLOOKUP($A121,[1]!Table1[#All],2,FALSE)="Resultat",SUMIF($F$1:$F59,$D121,I$1:I59)+SUMIF($F122:$F$512,$D121,I122:I$512),0))*'[1]Processer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732.71961605610988</v>
      </c>
      <c r="J121" s="406">
        <f ca="1">IFERROR(VLOOKUP($F121,Landbrugsproduktivititet!$B$3:$E$9,MATCH($H28,Landbrugsproduktivititet!$B$2:$E$2,0),FALSE),1)*IF($A121&lt;&gt;"",IF(VLOOKUP($A121,[1]!Table1[#All],2,FALSE)="Direkte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input'!$A$3:$A$230,$A$1)),IF(VLOOKUP($A121,[1]!Table1[#All],2,FALSE)="Resultat",SUMIF($F$1:$F59,$D121,J$1:J59)+SUMIF($F122:$F$512,$D121,J122:J$512),0))*'[1]Processer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903.06185400406844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404">
        <f ca="1">IFERROR(VLOOKUP($F122,Landbrugsproduktivititet!$B$3:$E$9,MATCH($H29,Landbrugsproduktivititet!$B$2:$E$2,0),FALSE),1)*IF($A122&lt;&gt;"",IF(VLOOKUP($A122,[1]!Table1[#All],2,FALSE)="Direkte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input'!$A$3:$A$230,$A$1)),IF(VLOOKUP($A122,[1]!Table1[#All],2,FALSE)="Resultat",SUMIF($F$1:$F60,$D122,H$1:H60)+SUMIF($F123:$F$512,$D122,H123:H$512),0))*'[1]Processer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405">
        <f ca="1">IFERROR(VLOOKUP($F122,Landbrugsproduktivititet!$B$3:$E$9,MATCH($H29,Landbrugsproduktivititet!$B$2:$E$2,0),FALSE),1)*IF($A122&lt;&gt;"",IF(VLOOKUP($A122,[1]!Table1[#All],2,FALSE)="Direkte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input'!$A$3:$A$230,$A$1)),IF(VLOOKUP($A122,[1]!Table1[#All],2,FALSE)="Resultat",SUMIF($F$1:$F60,$D122,I$1:I60)+SUMIF($F123:$F$512,$D122,I123:I$512),0))*'[1]Processer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-44579982.862054422</v>
      </c>
      <c r="J122" s="406">
        <f ca="1">IFERROR(VLOOKUP($F122,Landbrugsproduktivititet!$B$3:$E$9,MATCH($H29,Landbrugsproduktivititet!$B$2:$E$2,0),FALSE),1)*IF($A122&lt;&gt;"",IF(VLOOKUP($A122,[1]!Table1[#All],2,FALSE)="Direkte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input'!$A$3:$A$230,$A$1)),IF(VLOOKUP($A122,[1]!Table1[#All],2,FALSE)="Resultat",SUMIF($F$1:$F60,$D122,J$1:J60)+SUMIF($F123:$F$512,$D122,J123:J$512),0))*'[1]Processer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-54943911.822054416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404">
        <f ca="1">IFERROR(VLOOKUP($F123,Landbrugsproduktivititet!$B$3:$E$9,MATCH($H30,Landbrugsproduktivititet!$B$2:$E$2,0),FALSE),1)*IF($A123&lt;&gt;"",IF(VLOOKUP($A123,[1]!Table1[#All],2,FALSE)="Direkte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input'!$A$3:$A$230,$A$1)),IF(VLOOKUP($A123,[1]!Table1[#All],2,FALSE)="Resultat",SUMIF($F$1:$F61,$D123,H$1:H61)+SUMIF($F124:$F$512,$D123,H124:H$512),0))*'[1]Processer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405">
        <f ca="1">IFERROR(VLOOKUP($F123,Landbrugsproduktivititet!$B$3:$E$9,MATCH($H30,Landbrugsproduktivititet!$B$2:$E$2,0),FALSE),1)*IF($A123&lt;&gt;"",IF(VLOOKUP($A123,[1]!Table1[#All],2,FALSE)="Direkte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input'!$A$3:$A$230,$A$1)),IF(VLOOKUP($A123,[1]!Table1[#All],2,FALSE)="Resultat",SUMIF($F$1:$F61,$D123,I$1:I61)+SUMIF($F124:$F$512,$D123,I124:I$512),0))*'[1]Processer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-224.77302283388784</v>
      </c>
      <c r="J123" s="406">
        <f ca="1">IFERROR(VLOOKUP($F123,Landbrugsproduktivititet!$B$3:$E$9,MATCH($H30,Landbrugsproduktivititet!$B$2:$E$2,0),FALSE),1)*IF($A123&lt;&gt;"",IF(VLOOKUP($A123,[1]!Table1[#All],2,FALSE)="Direkte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input'!$A$3:$A$230,$A$1)),IF(VLOOKUP($A123,[1]!Table1[#All],2,FALSE)="Resultat",SUMIF($F$1:$F61,$D123,J$1:J61)+SUMIF($F124:$F$512,$D123,J124:J$512),0))*'[1]Processer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-277.02812683388782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404">
        <f ca="1">IFERROR(VLOOKUP($F124,Landbrugsproduktivititet!$B$3:$E$9,MATCH($H31,Landbrugsproduktivititet!$B$2:$E$2,0),FALSE),1)*IF($A124&lt;&gt;"",IF(VLOOKUP($A124,[1]!Table1[#All],2,FALSE)="Direkte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input'!$A$3:$A$230,$A$1)),IF(VLOOKUP($A124,[1]!Table1[#All],2,FALSE)="Resultat",SUMIF($F$1:$F62,$D124,H$1:H62)+SUMIF($F125:$F$512,$D124,H125:H$512),0))*'[1]Processer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405">
        <f ca="1">IFERROR(VLOOKUP($F124,Landbrugsproduktivititet!$B$3:$E$9,MATCH($H31,Landbrugsproduktivititet!$B$2:$E$2,0),FALSE),1)*IF($A124&lt;&gt;"",IF(VLOOKUP($A124,[1]!Table1[#All],2,FALSE)="Direkte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input'!$A$3:$A$230,$A$1)),IF(VLOOKUP($A124,[1]!Table1[#All],2,FALSE)="Resultat",SUMIF($F$1:$F62,$D124,I$1:I62)+SUMIF($F125:$F$512,$D124,I125:I$512),0))*'[1]Processer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40323.261987545491</v>
      </c>
      <c r="J124" s="406">
        <f ca="1">IFERROR(VLOOKUP($F124,Landbrugsproduktivititet!$B$3:$E$9,MATCH($H31,Landbrugsproduktivititet!$B$2:$E$2,0),FALSE),1)*IF($A124&lt;&gt;"",IF(VLOOKUP($A124,[1]!Table1[#All],2,FALSE)="Direkte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input'!$A$3:$A$230,$A$1)),IF(VLOOKUP($A124,[1]!Table1[#All],2,FALSE)="Resultat",SUMIF($F$1:$F62,$D124,J$1:J62)+SUMIF($F125:$F$512,$D124,J125:J$512),0))*'[1]Processer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49697.590909284576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404">
        <f ca="1">IFERROR(VLOOKUP($F125,Landbrugsproduktivititet!$B$3:$E$9,MATCH($H32,Landbrugsproduktivititet!$B$2:$E$2,0),FALSE),1)*IF($A125&lt;&gt;"",IF(VLOOKUP($A125,[1]!Table1[#All],2,FALSE)="Direkte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input'!$A$3:$A$230,$A$1)),IF(VLOOKUP($A125,[1]!Table1[#All],2,FALSE)="Resultat",SUMIF($F$1:$F63,$D125,H$1:H63)+SUMIF($F126:$F$512,$D125,H126:H$512),0))*'[1]Processer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405">
        <f ca="1">IFERROR(VLOOKUP($F125,Landbrugsproduktivititet!$B$3:$E$9,MATCH($H32,Landbrugsproduktivititet!$B$2:$E$2,0),FALSE),1)*IF($A125&lt;&gt;"",IF(VLOOKUP($A125,[1]!Table1[#All],2,FALSE)="Direkte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input'!$A$3:$A$230,$A$1)),IF(VLOOKUP($A125,[1]!Table1[#All],2,FALSE)="Resultat",SUMIF($F$1:$F63,$D125,I$1:I63)+SUMIF($F126:$F$512,$D125,I126:I$512),0))*'[1]Processer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406">
        <f ca="1">IFERROR(VLOOKUP($F125,Landbrugsproduktivititet!$B$3:$E$9,MATCH($H32,Landbrugsproduktivititet!$B$2:$E$2,0),FALSE),1)*IF($A125&lt;&gt;"",IF(VLOOKUP($A125,[1]!Table1[#All],2,FALSE)="Direkte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input'!$A$3:$A$230,$A$1)),IF(VLOOKUP($A125,[1]!Table1[#All],2,FALSE)="Resultat",SUMIF($F$1:$F63,$D125,J$1:J63)+SUMIF($F126:$F$512,$D125,J126:J$512),0))*'[1]Processer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404">
        <f ca="1">IFERROR(VLOOKUP($F126,Landbrugsproduktivititet!$B$3:$E$9,MATCH($H33,Landbrugsproduktivititet!$B$2:$E$2,0),FALSE),1)*IF($A126&lt;&gt;"",IF(VLOOKUP($A126,[1]!Table1[#All],2,FALSE)="Direkte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input'!$A$3:$A$230,$A$1)),IF(VLOOKUP($A126,[1]!Table1[#All],2,FALSE)="Resultat",SUMIF($F$1:$F64,$D126,H$1:H64)+SUMIF($F127:$F$512,$D126,H127:H$512),0))*'[1]Processer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405">
        <f ca="1">IFERROR(VLOOKUP($F126,Landbrugsproduktivititet!$B$3:$E$9,MATCH($H33,Landbrugsproduktivititet!$B$2:$E$2,0),FALSE),1)*IF($A126&lt;&gt;"",IF(VLOOKUP($A126,[1]!Table1[#All],2,FALSE)="Direkte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input'!$A$3:$A$230,$A$1)),IF(VLOOKUP($A126,[1]!Table1[#All],2,FALSE)="Resultat",SUMIF($F$1:$F64,$D126,I$1:I64)+SUMIF($F127:$F$512,$D126,I127:I$512),0))*'[1]Processer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406">
        <f ca="1">IFERROR(VLOOKUP($F126,Landbrugsproduktivititet!$B$3:$E$9,MATCH($H33,Landbrugsproduktivititet!$B$2:$E$2,0),FALSE),1)*IF($A126&lt;&gt;"",IF(VLOOKUP($A126,[1]!Table1[#All],2,FALSE)="Direkte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input'!$A$3:$A$230,$A$1)),IF(VLOOKUP($A126,[1]!Table1[#All],2,FALSE)="Resultat",SUMIF($F$1:$F64,$D126,J$1:J64)+SUMIF($F127:$F$512,$D126,J127:J$512),0))*'[1]Processer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404">
        <f ca="1">IFERROR(VLOOKUP($F127,Landbrugsproduktivititet!$B$3:$E$9,MATCH($H34,Landbrugsproduktivititet!$B$2:$E$2,0),FALSE),1)*IF($A127&lt;&gt;"",IF(VLOOKUP($A127,[1]!Table1[#All],2,FALSE)="Direkte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input'!$A$3:$A$230,$A$1)),IF(VLOOKUP($A127,[1]!Table1[#All],2,FALSE)="Resultat",SUMIF($F$1:$F65,$D127,H$1:H65)+SUMIF($F128:$F$512,$D127,H128:H$512),0))*'[1]Processer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405">
        <f ca="1">IFERROR(VLOOKUP($F127,Landbrugsproduktivititet!$B$3:$E$9,MATCH($H34,Landbrugsproduktivititet!$B$2:$E$2,0),FALSE),1)*IF($A127&lt;&gt;"",IF(VLOOKUP($A127,[1]!Table1[#All],2,FALSE)="Direkte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input'!$A$3:$A$230,$A$1)),IF(VLOOKUP($A127,[1]!Table1[#All],2,FALSE)="Resultat",SUMIF($F$1:$F65,$D127,I$1:I65)+SUMIF($F128:$F$512,$D127,I128:I$512),0))*'[1]Processer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406">
        <f ca="1">IFERROR(VLOOKUP($F127,Landbrugsproduktivititet!$B$3:$E$9,MATCH($H34,Landbrugsproduktivititet!$B$2:$E$2,0),FALSE),1)*IF($A127&lt;&gt;"",IF(VLOOKUP($A127,[1]!Table1[#All],2,FALSE)="Direkte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input'!$A$3:$A$230,$A$1)),IF(VLOOKUP($A127,[1]!Table1[#All],2,FALSE)="Resultat",SUMIF($F$1:$F65,$D127,J$1:J65)+SUMIF($F128:$F$512,$D127,J128:J$512),0))*'[1]Processer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404">
        <f ca="1">IFERROR(VLOOKUP($F128,Landbrugsproduktivititet!$B$3:$E$9,MATCH($H35,Landbrugsproduktivititet!$B$2:$E$2,0),FALSE),1)*IF($A128&lt;&gt;"",IF(VLOOKUP($A128,[1]!Table1[#All],2,FALSE)="Direkte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input'!$A$3:$A$230,$A$1)),IF(VLOOKUP($A128,[1]!Table1[#All],2,FALSE)="Resultat",SUMIF($F$1:$F66,$D128,H$1:H66)+SUMIF($F129:$F$512,$D128,H129:H$512),0))*'[1]Processer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405">
        <f ca="1">IFERROR(VLOOKUP($F128,Landbrugsproduktivititet!$B$3:$E$9,MATCH($H35,Landbrugsproduktivititet!$B$2:$E$2,0),FALSE),1)*IF($A128&lt;&gt;"",IF(VLOOKUP($A128,[1]!Table1[#All],2,FALSE)="Direkte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input'!$A$3:$A$230,$A$1)),IF(VLOOKUP($A128,[1]!Table1[#All],2,FALSE)="Resultat",SUMIF($F$1:$F66,$D128,I$1:I66)+SUMIF($F129:$F$512,$D128,I129:I$512),0))*'[1]Processer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406">
        <f ca="1">IFERROR(VLOOKUP($F128,Landbrugsproduktivititet!$B$3:$E$9,MATCH($H35,Landbrugsproduktivititet!$B$2:$E$2,0),FALSE),1)*IF($A128&lt;&gt;"",IF(VLOOKUP($A128,[1]!Table1[#All],2,FALSE)="Direkte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input'!$A$3:$A$230,$A$1)),IF(VLOOKUP($A128,[1]!Table1[#All],2,FALSE)="Resultat",SUMIF($F$1:$F66,$D128,J$1:J66)+SUMIF($F129:$F$512,$D128,J129:J$512),0))*'[1]Processer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404">
        <f ca="1">IFERROR(VLOOKUP($F129,Landbrugsproduktivititet!$B$3:$E$9,MATCH($H36,Landbrugsproduktivititet!$B$2:$E$2,0),FALSE),1)*IF($A129&lt;&gt;"",IF(VLOOKUP($A129,[1]!Table1[#All],2,FALSE)="Direkte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input'!$A$3:$A$230,$A$1)),IF(VLOOKUP($A129,[1]!Table1[#All],2,FALSE)="Resultat",SUMIF($F$1:$F67,$D129,H$1:H67)+SUMIF($F130:$F$512,$D129,H130:H$512),0))*'[1]Processer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405">
        <f ca="1">IFERROR(VLOOKUP($F129,Landbrugsproduktivititet!$B$3:$E$9,MATCH($H36,Landbrugsproduktivititet!$B$2:$E$2,0),FALSE),1)*IF($A129&lt;&gt;"",IF(VLOOKUP($A129,[1]!Table1[#All],2,FALSE)="Direkte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input'!$A$3:$A$230,$A$1)),IF(VLOOKUP($A129,[1]!Table1[#All],2,FALSE)="Resultat",SUMIF($F$1:$F67,$D129,I$1:I67)+SUMIF($F130:$F$512,$D129,I130:I$512),0))*'[1]Processer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406">
        <f ca="1">IFERROR(VLOOKUP($F129,Landbrugsproduktivititet!$B$3:$E$9,MATCH($H36,Landbrugsproduktivititet!$B$2:$E$2,0),FALSE),1)*IF($A129&lt;&gt;"",IF(VLOOKUP($A129,[1]!Table1[#All],2,FALSE)="Direkte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input'!$A$3:$A$230,$A$1)),IF(VLOOKUP($A129,[1]!Table1[#All],2,FALSE)="Resultat",SUMIF($F$1:$F67,$D129,J$1:J67)+SUMIF($F130:$F$512,$D129,J130:J$512),0))*'[1]Processer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404">
        <f ca="1">IFERROR(VLOOKUP($F130,Landbrugsproduktivititet!$B$3:$E$9,MATCH($H37,Landbrugsproduktivititet!$B$2:$E$2,0),FALSE),1)*IF($A130&lt;&gt;"",IF(VLOOKUP($A130,[1]!Table1[#All],2,FALSE)="Direkte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input'!$A$3:$A$230,$A$1)),IF(VLOOKUP($A130,[1]!Table1[#All],2,FALSE)="Resultat",SUMIF($F$1:$F68,$D130,H$1:H68)+SUMIF($F131:$F$512,$D130,H131:H$512),0))*'[1]Processer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405">
        <f ca="1">IFERROR(VLOOKUP($F130,Landbrugsproduktivititet!$B$3:$E$9,MATCH($H37,Landbrugsproduktivititet!$B$2:$E$2,0),FALSE),1)*IF($A130&lt;&gt;"",IF(VLOOKUP($A130,[1]!Table1[#All],2,FALSE)="Direkte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input'!$A$3:$A$230,$A$1)),IF(VLOOKUP($A130,[1]!Table1[#All],2,FALSE)="Resultat",SUMIF($F$1:$F68,$D130,I$1:I68)+SUMIF($F131:$F$512,$D130,I131:I$512),0))*'[1]Processer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406">
        <f ca="1">IFERROR(VLOOKUP($F130,Landbrugsproduktivititet!$B$3:$E$9,MATCH($H37,Landbrugsproduktivititet!$B$2:$E$2,0),FALSE),1)*IF($A130&lt;&gt;"",IF(VLOOKUP($A130,[1]!Table1[#All],2,FALSE)="Direkte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input'!$A$3:$A$230,$A$1)),IF(VLOOKUP($A130,[1]!Table1[#All],2,FALSE)="Resultat",SUMIF($F$1:$F68,$D130,J$1:J68)+SUMIF($F131:$F$512,$D130,J131:J$512),0))*'[1]Processer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404">
        <f ca="1">IFERROR(VLOOKUP($F131,Landbrugsproduktivititet!$B$3:$E$9,MATCH($H38,Landbrugsproduktivititet!$B$2:$E$2,0),FALSE),1)*IF($A131&lt;&gt;"",IF(VLOOKUP($A131,[1]!Table1[#All],2,FALSE)="Direkte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input'!$A$3:$A$230,$A$1)),IF(VLOOKUP($A131,[1]!Table1[#All],2,FALSE)="Resultat",SUMIF($F$1:$F69,$D131,H$1:H69)+SUMIF($F132:$F$512,$D131,H132:H$512),0))*'[1]Processer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405">
        <f ca="1">IFERROR(VLOOKUP($F131,Landbrugsproduktivititet!$B$3:$E$9,MATCH($H38,Landbrugsproduktivititet!$B$2:$E$2,0),FALSE),1)*IF($A131&lt;&gt;"",IF(VLOOKUP($A131,[1]!Table1[#All],2,FALSE)="Direkte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input'!$A$3:$A$230,$A$1)),IF(VLOOKUP($A131,[1]!Table1[#All],2,FALSE)="Resultat",SUMIF($F$1:$F69,$D131,I$1:I69)+SUMIF($F132:$F$512,$D131,I132:I$512),0))*'[1]Processer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406">
        <f ca="1">IFERROR(VLOOKUP($F131,Landbrugsproduktivititet!$B$3:$E$9,MATCH($H38,Landbrugsproduktivititet!$B$2:$E$2,0),FALSE),1)*IF($A131&lt;&gt;"",IF(VLOOKUP($A131,[1]!Table1[#All],2,FALSE)="Direkte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input'!$A$3:$A$230,$A$1)),IF(VLOOKUP($A131,[1]!Table1[#All],2,FALSE)="Resultat",SUMIF($F$1:$F69,$D131,J$1:J69)+SUMIF($F132:$F$512,$D131,J132:J$512),0))*'[1]Processer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404">
        <f ca="1">IFERROR(VLOOKUP($F132,Landbrugsproduktivititet!$B$3:$E$9,MATCH($H39,Landbrugsproduktivititet!$B$2:$E$2,0),FALSE),1)*IF($A132&lt;&gt;"",IF(VLOOKUP($A132,[1]!Table1[#All],2,FALSE)="Direkte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input'!$A$3:$A$230,$A$1)),IF(VLOOKUP($A132,[1]!Table1[#All],2,FALSE)="Resultat",SUMIF($F$1:$F70,$D132,H$1:H70)+SUMIF($F133:$F$512,$D132,H133:H$512),0))*'[1]Processer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405">
        <f ca="1">IFERROR(VLOOKUP($F132,Landbrugsproduktivititet!$B$3:$E$9,MATCH($H39,Landbrugsproduktivititet!$B$2:$E$2,0),FALSE),1)*IF($A132&lt;&gt;"",IF(VLOOKUP($A132,[1]!Table1[#All],2,FALSE)="Direkte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input'!$A$3:$A$230,$A$1)),IF(VLOOKUP($A132,[1]!Table1[#All],2,FALSE)="Resultat",SUMIF($F$1:$F70,$D132,I$1:I70)+SUMIF($F133:$F$512,$D132,I133:I$512),0))*'[1]Processer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406">
        <f ca="1">IFERROR(VLOOKUP($F132,Landbrugsproduktivititet!$B$3:$E$9,MATCH($H39,Landbrugsproduktivititet!$B$2:$E$2,0),FALSE),1)*IF($A132&lt;&gt;"",IF(VLOOKUP($A132,[1]!Table1[#All],2,FALSE)="Direkte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input'!$A$3:$A$230,$A$1)),IF(VLOOKUP($A132,[1]!Table1[#All],2,FALSE)="Resultat",SUMIF($F$1:$F70,$D132,J$1:J70)+SUMIF($F133:$F$512,$D132,J133:J$512),0))*'[1]Processer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404">
        <f ca="1">IFERROR(VLOOKUP($F133,Landbrugsproduktivititet!$B$3:$E$9,MATCH($H40,Landbrugsproduktivititet!$B$2:$E$2,0),FALSE),1)*IF($A133&lt;&gt;"",IF(VLOOKUP($A133,[1]!Table1[#All],2,FALSE)="Direkte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input'!$A$3:$A$230,$A$1)),IF(VLOOKUP($A133,[1]!Table1[#All],2,FALSE)="Resultat",SUMIF($F$1:$F71,$D133,H$1:H71)+SUMIF($F134:$F$512,$D133,H134:H$512),0))*'[1]Processer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405">
        <f ca="1">IFERROR(VLOOKUP($F133,Landbrugsproduktivititet!$B$3:$E$9,MATCH($H40,Landbrugsproduktivititet!$B$2:$E$2,0),FALSE),1)*IF($A133&lt;&gt;"",IF(VLOOKUP($A133,[1]!Table1[#All],2,FALSE)="Direkte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input'!$A$3:$A$230,$A$1)),IF(VLOOKUP($A133,[1]!Table1[#All],2,FALSE)="Resultat",SUMIF($F$1:$F71,$D133,I$1:I71)+SUMIF($F134:$F$512,$D133,I134:I$512),0))*'[1]Processer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406">
        <f ca="1">IFERROR(VLOOKUP($F133,Landbrugsproduktivititet!$B$3:$E$9,MATCH($H40,Landbrugsproduktivititet!$B$2:$E$2,0),FALSE),1)*IF($A133&lt;&gt;"",IF(VLOOKUP($A133,[1]!Table1[#All],2,FALSE)="Direkte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input'!$A$3:$A$230,$A$1)),IF(VLOOKUP($A133,[1]!Table1[#All],2,FALSE)="Resultat",SUMIF($F$1:$F71,$D133,J$1:J71)+SUMIF($F134:$F$512,$D133,J134:J$512),0))*'[1]Processer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404">
        <f ca="1">IFERROR(VLOOKUP($F134,Landbrugsproduktivititet!$B$3:$E$9,MATCH($H41,Landbrugsproduktivititet!$B$2:$E$2,0),FALSE),1)*IF($A134&lt;&gt;"",IF(VLOOKUP($A134,[1]!Table1[#All],2,FALSE)="Direkte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input'!$A$3:$A$230,$A$1)),IF(VLOOKUP($A134,[1]!Table1[#All],2,FALSE)="Resultat",SUMIF($F$1:$F72,$D134,H$1:H72)+SUMIF($F135:$F$512,$D134,H135:H$512),0))*'[1]Processer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405">
        <f ca="1">IFERROR(VLOOKUP($F134,Landbrugsproduktivititet!$B$3:$E$9,MATCH($H41,Landbrugsproduktivititet!$B$2:$E$2,0),FALSE),1)*IF($A134&lt;&gt;"",IF(VLOOKUP($A134,[1]!Table1[#All],2,FALSE)="Direkte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input'!$A$3:$A$230,$A$1)),IF(VLOOKUP($A134,[1]!Table1[#All],2,FALSE)="Resultat",SUMIF($F$1:$F72,$D134,I$1:I72)+SUMIF($F135:$F$512,$D134,I135:I$512),0))*'[1]Processer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406">
        <f ca="1">IFERROR(VLOOKUP($F134,Landbrugsproduktivititet!$B$3:$E$9,MATCH($H41,Landbrugsproduktivititet!$B$2:$E$2,0),FALSE),1)*IF($A134&lt;&gt;"",IF(VLOOKUP($A134,[1]!Table1[#All],2,FALSE)="Direkte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input'!$A$3:$A$230,$A$1)),IF(VLOOKUP($A134,[1]!Table1[#All],2,FALSE)="Resultat",SUMIF($F$1:$F72,$D134,J$1:J72)+SUMIF($F135:$F$512,$D134,J135:J$512),0))*'[1]Processer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404">
        <f ca="1">IFERROR(VLOOKUP($F135,Landbrugsproduktivititet!$B$3:$E$9,MATCH($H42,Landbrugsproduktivititet!$B$2:$E$2,0),FALSE),1)*IF($A135&lt;&gt;"",IF(VLOOKUP($A135,[1]!Table1[#All],2,FALSE)="Direkte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input'!$A$3:$A$230,$A$1)),IF(VLOOKUP($A135,[1]!Table1[#All],2,FALSE)="Resultat",SUMIF($F$1:$F73,$D135,H$1:H73)+SUMIF($F136:$F$512,$D135,H136:H$512),0))*'[1]Processer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405">
        <f ca="1">IFERROR(VLOOKUP($F135,Landbrugsproduktivititet!$B$3:$E$9,MATCH($H42,Landbrugsproduktivititet!$B$2:$E$2,0),FALSE),1)*IF($A135&lt;&gt;"",IF(VLOOKUP($A135,[1]!Table1[#All],2,FALSE)="Direkte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input'!$A$3:$A$230,$A$1)),IF(VLOOKUP($A135,[1]!Table1[#All],2,FALSE)="Resultat",SUMIF($F$1:$F73,$D135,I$1:I73)+SUMIF($F136:$F$512,$D135,I136:I$512),0))*'[1]Processer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406">
        <f ca="1">IFERROR(VLOOKUP($F135,Landbrugsproduktivititet!$B$3:$E$9,MATCH($H42,Landbrugsproduktivititet!$B$2:$E$2,0),FALSE),1)*IF($A135&lt;&gt;"",IF(VLOOKUP($A135,[1]!Table1[#All],2,FALSE)="Direkte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input'!$A$3:$A$230,$A$1)),IF(VLOOKUP($A135,[1]!Table1[#All],2,FALSE)="Resultat",SUMIF($F$1:$F73,$D135,J$1:J73)+SUMIF($F136:$F$512,$D135,J136:J$512),0))*'[1]Processer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404">
        <f ca="1">IFERROR(VLOOKUP($F136,Landbrugsproduktivititet!$B$3:$E$9,MATCH($H43,Landbrugsproduktivititet!$B$2:$E$2,0),FALSE),1)*IF($A136&lt;&gt;"",IF(VLOOKUP($A136,[1]!Table1[#All],2,FALSE)="Direkte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input'!$A$3:$A$230,$A$1)),IF(VLOOKUP($A136,[1]!Table1[#All],2,FALSE)="Resultat",SUMIF($F$1:$F74,$D136,H$1:H74)+SUMIF($F137:$F$512,$D136,H137:H$512),0))*'[1]Processer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405">
        <f ca="1">IFERROR(VLOOKUP($F136,Landbrugsproduktivititet!$B$3:$E$9,MATCH($H43,Landbrugsproduktivititet!$B$2:$E$2,0),FALSE),1)*IF($A136&lt;&gt;"",IF(VLOOKUP($A136,[1]!Table1[#All],2,FALSE)="Direkte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input'!$A$3:$A$230,$A$1)),IF(VLOOKUP($A136,[1]!Table1[#All],2,FALSE)="Resultat",SUMIF($F$1:$F74,$D136,I$1:I74)+SUMIF($F137:$F$512,$D136,I137:I$512),0))*'[1]Processer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406">
        <f ca="1">IFERROR(VLOOKUP($F136,Landbrugsproduktivititet!$B$3:$E$9,MATCH($H43,Landbrugsproduktivititet!$B$2:$E$2,0),FALSE),1)*IF($A136&lt;&gt;"",IF(VLOOKUP($A136,[1]!Table1[#All],2,FALSE)="Direkte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input'!$A$3:$A$230,$A$1)),IF(VLOOKUP($A136,[1]!Table1[#All],2,FALSE)="Resultat",SUMIF($F$1:$F74,$D136,J$1:J74)+SUMIF($F137:$F$512,$D136,J137:J$512),0))*'[1]Processer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404">
        <f ca="1">IFERROR(VLOOKUP($F137,Landbrugsproduktivititet!$B$3:$E$9,MATCH($H44,Landbrugsproduktivititet!$B$2:$E$2,0),FALSE),1)*IF($A137&lt;&gt;"",IF(VLOOKUP($A137,[1]!Table1[#All],2,FALSE)="Direkte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input'!$A$3:$A$230,$A$1)),IF(VLOOKUP($A137,[1]!Table1[#All],2,FALSE)="Resultat",SUMIF($F$1:$F75,$D137,H$1:H75)+SUMIF($F138:$F$512,$D137,H138:H$512),0))*'[1]Processer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405">
        <f ca="1">IFERROR(VLOOKUP($F137,Landbrugsproduktivititet!$B$3:$E$9,MATCH($H44,Landbrugsproduktivititet!$B$2:$E$2,0),FALSE),1)*IF($A137&lt;&gt;"",IF(VLOOKUP($A137,[1]!Table1[#All],2,FALSE)="Direkte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input'!$A$3:$A$230,$A$1)),IF(VLOOKUP($A137,[1]!Table1[#All],2,FALSE)="Resultat",SUMIF($F$1:$F75,$D137,I$1:I75)+SUMIF($F138:$F$512,$D137,I138:I$512),0))*'[1]Processer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406">
        <f ca="1">IFERROR(VLOOKUP($F137,Landbrugsproduktivititet!$B$3:$E$9,MATCH($H44,Landbrugsproduktivititet!$B$2:$E$2,0),FALSE),1)*IF($A137&lt;&gt;"",IF(VLOOKUP($A137,[1]!Table1[#All],2,FALSE)="Direkte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input'!$A$3:$A$230,$A$1)),IF(VLOOKUP($A137,[1]!Table1[#All],2,FALSE)="Resultat",SUMIF($F$1:$F75,$D137,J$1:J75)+SUMIF($F138:$F$512,$D137,J138:J$512),0))*'[1]Processer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404">
        <f ca="1">IFERROR(VLOOKUP($F138,Landbrugsproduktivititet!$B$3:$E$9,MATCH($H45,Landbrugsproduktivititet!$B$2:$E$2,0),FALSE),1)*IF($A138&lt;&gt;"",IF(VLOOKUP($A138,[1]!Table1[#All],2,FALSE)="Direkte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input'!$A$3:$A$230,$A$1)),IF(VLOOKUP($A138,[1]!Table1[#All],2,FALSE)="Resultat",SUMIF($F$1:$F76,$D138,H$1:H76)+SUMIF($F139:$F$512,$D138,H139:H$512),0))*'[1]Processer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405">
        <f ca="1">IFERROR(VLOOKUP($F138,Landbrugsproduktivititet!$B$3:$E$9,MATCH($H45,Landbrugsproduktivititet!$B$2:$E$2,0),FALSE),1)*IF($A138&lt;&gt;"",IF(VLOOKUP($A138,[1]!Table1[#All],2,FALSE)="Direkte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input'!$A$3:$A$230,$A$1)),IF(VLOOKUP($A138,[1]!Table1[#All],2,FALSE)="Resultat",SUMIF($F$1:$F76,$D138,I$1:I76)+SUMIF($F139:$F$512,$D138,I139:I$512),0))*'[1]Processer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406">
        <f ca="1">IFERROR(VLOOKUP($F138,Landbrugsproduktivititet!$B$3:$E$9,MATCH($H45,Landbrugsproduktivititet!$B$2:$E$2,0),FALSE),1)*IF($A138&lt;&gt;"",IF(VLOOKUP($A138,[1]!Table1[#All],2,FALSE)="Direkte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input'!$A$3:$A$230,$A$1)),IF(VLOOKUP($A138,[1]!Table1[#All],2,FALSE)="Resultat",SUMIF($F$1:$F76,$D138,J$1:J76)+SUMIF($F139:$F$512,$D138,J139:J$512),0))*'[1]Processer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404">
        <f ca="1">IFERROR(VLOOKUP($F139,Landbrugsproduktivititet!$B$3:$E$9,MATCH($H46,Landbrugsproduktivititet!$B$2:$E$2,0),FALSE),1)*IF($A139&lt;&gt;"",IF(VLOOKUP($A139,[1]!Table1[#All],2,FALSE)="Direkte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input'!$A$3:$A$230,$A$1)),IF(VLOOKUP($A139,[1]!Table1[#All],2,FALSE)="Resultat",SUMIF($F$1:$F77,$D139,H$1:H77)+SUMIF($F140:$F$512,$D139,H140:H$512),0))*'[1]Processer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405">
        <f ca="1">IFERROR(VLOOKUP($F139,Landbrugsproduktivititet!$B$3:$E$9,MATCH($H46,Landbrugsproduktivititet!$B$2:$E$2,0),FALSE),1)*IF($A139&lt;&gt;"",IF(VLOOKUP($A139,[1]!Table1[#All],2,FALSE)="Direkte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input'!$A$3:$A$230,$A$1)),IF(VLOOKUP($A139,[1]!Table1[#All],2,FALSE)="Resultat",SUMIF($F$1:$F77,$D139,I$1:I77)+SUMIF($F140:$F$512,$D139,I140:I$512),0))*'[1]Processer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406">
        <f ca="1">IFERROR(VLOOKUP($F139,Landbrugsproduktivititet!$B$3:$E$9,MATCH($H46,Landbrugsproduktivititet!$B$2:$E$2,0),FALSE),1)*IF($A139&lt;&gt;"",IF(VLOOKUP($A139,[1]!Table1[#All],2,FALSE)="Direkte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input'!$A$3:$A$230,$A$1)),IF(VLOOKUP($A139,[1]!Table1[#All],2,FALSE)="Resultat",SUMIF($F$1:$F77,$D139,J$1:J77)+SUMIF($F140:$F$512,$D139,J140:J$512),0))*'[1]Processer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404">
        <f ca="1">IFERROR(VLOOKUP($F140,Landbrugsproduktivititet!$B$3:$E$9,MATCH($H47,Landbrugsproduktivititet!$B$2:$E$2,0),FALSE),1)*IF($A140&lt;&gt;"",IF(VLOOKUP($A140,[1]!Table1[#All],2,FALSE)="Direkte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input'!$A$3:$A$230,$A$1)),IF(VLOOKUP($A140,[1]!Table1[#All],2,FALSE)="Resultat",SUMIF($F$1:$F78,$D140,H$1:H78)+SUMIF($F141:$F$512,$D140,H141:H$512),0))*'[1]Processer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405">
        <f ca="1">IFERROR(VLOOKUP($F140,Landbrugsproduktivititet!$B$3:$E$9,MATCH($H47,Landbrugsproduktivititet!$B$2:$E$2,0),FALSE),1)*IF($A140&lt;&gt;"",IF(VLOOKUP($A140,[1]!Table1[#All],2,FALSE)="Direkte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input'!$A$3:$A$230,$A$1)),IF(VLOOKUP($A140,[1]!Table1[#All],2,FALSE)="Resultat",SUMIF($F$1:$F78,$D140,I$1:I78)+SUMIF($F141:$F$512,$D140,I141:I$512),0))*'[1]Processer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406">
        <f ca="1">IFERROR(VLOOKUP($F140,Landbrugsproduktivititet!$B$3:$E$9,MATCH($H47,Landbrugsproduktivititet!$B$2:$E$2,0),FALSE),1)*IF($A140&lt;&gt;"",IF(VLOOKUP($A140,[1]!Table1[#All],2,FALSE)="Direkte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input'!$A$3:$A$230,$A$1)),IF(VLOOKUP($A140,[1]!Table1[#All],2,FALSE)="Resultat",SUMIF($F$1:$F78,$D140,J$1:J78)+SUMIF($F141:$F$512,$D140,J141:J$512),0))*'[1]Processer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74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75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2053282.6839476905</v>
      </c>
      <c r="J141" s="276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2039246.8076430438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74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75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903444.38093698397</v>
      </c>
      <c r="J142" s="276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1009427.1697833068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74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75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-43799275.991791494</v>
      </c>
      <c r="J143" s="276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-40473793.862542585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74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75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622413.54451548425</v>
      </c>
      <c r="J144" s="276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575156.48210019176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74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75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37380.741624504</v>
      </c>
      <c r="J145" s="276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31804.321470647974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74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75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16447.52631478176</v>
      </c>
      <c r="J146" s="276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15743.13912797075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74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75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-539893.65561275615</v>
      </c>
      <c r="J147" s="276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-427397.89856976963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74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75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66413.956396181908</v>
      </c>
      <c r="J148" s="276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52575.512055640822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74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75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18866.541727284082</v>
      </c>
      <c r="J149" s="276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74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75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8301.278360004997</v>
      </c>
      <c r="J150" s="276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74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75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-179664.58108942292</v>
      </c>
      <c r="J151" s="276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74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75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73575.69013436354</v>
      </c>
      <c r="J152" s="276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74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75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214704.53036192904</v>
      </c>
      <c r="J153" s="276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289820.22811654169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74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75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94469.99335924878</v>
      </c>
      <c r="J154" s="276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143461.01291768815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74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75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-4579935.8537081396</v>
      </c>
      <c r="J155" s="276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-5752184.6428886279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74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75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97139.68613825478</v>
      </c>
      <c r="J156" s="276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122002.89014246491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74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75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3908.7723467472688</v>
      </c>
      <c r="J157" s="276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4520.0687181011817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74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75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1719.8598325687983</v>
      </c>
      <c r="J158" s="276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2237.4340154600854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74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75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-56454.775896154686</v>
      </c>
      <c r="J159" s="276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-60742.307402794533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74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75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10365.183946224923</v>
      </c>
      <c r="J160" s="276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11152.381345135931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74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75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1972.8077447778558</v>
      </c>
      <c r="J161" s="276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74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75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868.03540770225663</v>
      </c>
      <c r="J162" s="276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74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75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-18786.891745130986</v>
      </c>
      <c r="J163" s="276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74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75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11482.911177039396</v>
      </c>
      <c r="J164" s="276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74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75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79434.288677317294</v>
      </c>
      <c r="J165" s="276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78811.842544630956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74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75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-720587.75738075352</v>
      </c>
      <c r="J166" s="276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-665876.76831841504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74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75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8191.9816261779952</v>
      </c>
      <c r="J167" s="276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7570.0012878250072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74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75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668.32024489630624</v>
      </c>
      <c r="J168" s="276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568.04829658669155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74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75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-4925.9143379016141</v>
      </c>
      <c r="J169" s="276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-3899.5187564565722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74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75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403.96777729301078</v>
      </c>
      <c r="J170" s="276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319.79442119759216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74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75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170.17315830973379</v>
      </c>
      <c r="J171" s="276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74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75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-1047.5276548608908</v>
      </c>
      <c r="J172" s="276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74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75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225.77911770185256</v>
      </c>
      <c r="J173" s="276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74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75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7066.4375881151054</v>
      </c>
      <c r="J174" s="276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9529.068234941742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74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75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-64103.153676819638</v>
      </c>
      <c r="J175" s="276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-80510.554714862898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74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75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1278.5173636231555</v>
      </c>
      <c r="J176" s="276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1605.7578489325772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74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75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59.453459936151162</v>
      </c>
      <c r="J177" s="276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68.682203132754523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74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75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-438.20706162026494</v>
      </c>
      <c r="J178" s="276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-471.48726782611277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74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75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63.046994143995903</v>
      </c>
      <c r="J179" s="276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67.835180254034697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74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75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15.138525470443948</v>
      </c>
      <c r="J180" s="276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74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75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-93.187575770572892</v>
      </c>
      <c r="J181" s="276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74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75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35.237203340751556</v>
      </c>
      <c r="J182" s="276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74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75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9640.7265114951515</v>
      </c>
      <c r="J183" s="276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10155.835680921973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74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75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-7630797.6979901735</v>
      </c>
      <c r="J184" s="276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-7033700.8847205834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74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75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1652.3906424134548</v>
      </c>
      <c r="J185" s="276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1523.0939127777801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74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75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857.6345723231816</v>
      </c>
      <c r="J186" s="276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1227.9328596023838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74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75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-678832.23452062893</v>
      </c>
      <c r="J187" s="276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-850438.37969803414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74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75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257.88755690845835</v>
      </c>
      <c r="J188" s="276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323.08052695286244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74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75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105034.1300987057</v>
      </c>
      <c r="J189" s="276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104316.13541177972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74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75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-346694.11161375995</v>
      </c>
      <c r="J190" s="276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-320371.18625984638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74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75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5255.1763254438774</v>
      </c>
      <c r="J191" s="276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4856.1744113576542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74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75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2341.9683848098084</v>
      </c>
      <c r="J192" s="276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1992.5959771691309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74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75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-5153.5416652099848</v>
      </c>
      <c r="J193" s="276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-4079.7161718869015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74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75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686.78219350116785</v>
      </c>
      <c r="J194" s="276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543.67978439085914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74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75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1999.3136675764706</v>
      </c>
      <c r="J195" s="276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74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75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-2828.265475638193</v>
      </c>
      <c r="J196" s="276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74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75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1286.9140372049574</v>
      </c>
      <c r="J197" s="276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74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75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9343.7876428848576</v>
      </c>
      <c r="J198" s="276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12612.769099787905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74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75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-30841.747848183611</v>
      </c>
      <c r="J199" s="276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-38735.788884145048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74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75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820.1720276704317</v>
      </c>
      <c r="J200" s="276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1030.0976024091992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74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75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208.34042452151999</v>
      </c>
      <c r="J201" s="276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240.9229681486313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74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75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-458.45668339642583</v>
      </c>
      <c r="J202" s="276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-493.27477350996162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74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75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107.18566025740772</v>
      </c>
      <c r="J203" s="276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115.32601487078831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74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75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177.85801932949062</v>
      </c>
      <c r="J204" s="276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74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75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-251.60118884434561</v>
      </c>
      <c r="J205" s="276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74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75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200.84785551753669</v>
      </c>
      <c r="J206" s="276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74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75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1220752.7177779262</v>
      </c>
      <c r="J207" s="276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1212407.8686837186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74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75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-3563845.435695935</v>
      </c>
      <c r="J208" s="276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-3293258.6727998252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74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75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52278.034153100743</v>
      </c>
      <c r="J209" s="276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48308.798032371655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74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75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84980.422510922348</v>
      </c>
      <c r="J210" s="276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72303.131473377405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74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75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-173396.55095893756</v>
      </c>
      <c r="J211" s="276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-137266.5167087118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74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75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21330.035748549595</v>
      </c>
      <c r="J212" s="276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16885.570631500424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74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75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87070.949319648353</v>
      </c>
      <c r="J213" s="276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74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75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-122996.85458029863</v>
      </c>
      <c r="J214" s="276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74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75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47970.758066042312</v>
      </c>
      <c r="J215" s="276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74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75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148607.23836071175</v>
      </c>
      <c r="J216" s="276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200598.39281857893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74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75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-433841.53107373649</v>
      </c>
      <c r="J217" s="276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-544884.61677233479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74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75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8158.9995499058978</v>
      </c>
      <c r="J218" s="276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10247.320794745501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74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75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10345.015595838293</v>
      </c>
      <c r="J219" s="276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11962.881752867897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74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75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-21108.273775694943</v>
      </c>
      <c r="J220" s="276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-22711.369128168677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74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75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3328.9651168256592</v>
      </c>
      <c r="J221" s="276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3581.7877097122109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74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75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10599.504003883205</v>
      </c>
      <c r="J222" s="276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74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75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-14972.911892838667</v>
      </c>
      <c r="J223" s="276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74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75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7486.7657097291467</v>
      </c>
      <c r="J224" s="276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74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75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24641.75599970702</v>
      </c>
      <c r="J225" s="276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24473.309325586044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74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75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9861.8094995718657</v>
      </c>
      <c r="J226" s="276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11018.695408532636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74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75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76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74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75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13565.401632241756</v>
      </c>
      <c r="J228" s="276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12535.44166868988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74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75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556.60814878842689</v>
      </c>
      <c r="J229" s="276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473.5739241097595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74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75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222.75861871719212</v>
      </c>
      <c r="J230" s="276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213.21868463998723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74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75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76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74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75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1795.9395424508079</v>
      </c>
      <c r="J232" s="276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1421.7258869816826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74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75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188.69321574877262</v>
      </c>
      <c r="J233" s="276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74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75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75.516393701736774</v>
      </c>
      <c r="J234" s="276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74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75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76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74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75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1336.3771558211863</v>
      </c>
      <c r="J236" s="276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74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75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2192.1192187022602</v>
      </c>
      <c r="J237" s="276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2959.0455820935849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74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75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877.302012707578</v>
      </c>
      <c r="J238" s="276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1332.260444849855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74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75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76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74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75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2117.1436073440891</v>
      </c>
      <c r="J240" s="276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2659.0330812372476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74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75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49.515603525166988</v>
      </c>
      <c r="J241" s="276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57.25939264236181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74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75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19.816503711315526</v>
      </c>
      <c r="J242" s="276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25.780077324653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74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75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76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74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75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280.2911424634209</v>
      </c>
      <c r="J244" s="276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301.5782184506599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74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75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16.786061216032433</v>
      </c>
      <c r="J245" s="276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74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75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6.7179034628308028</v>
      </c>
      <c r="J246" s="276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74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75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76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74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75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208.56753298943369</v>
      </c>
      <c r="J248" s="276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74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75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2088969.9561195008</v>
      </c>
      <c r="J249" s="276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2074690.127950958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74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75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-3243686.4820913854</v>
      </c>
      <c r="J250" s="276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-2997407.9492886332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74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75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54630.753216443787</v>
      </c>
      <c r="J251" s="276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50482.885713731193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74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75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12517.758857842748</v>
      </c>
      <c r="J252" s="276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10650.372611813169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74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75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-12598.17226614967</v>
      </c>
      <c r="J253" s="276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-9973.1350727972913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74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75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1918.7249568494972</v>
      </c>
      <c r="J254" s="276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1518.926933045944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74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75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4404.8286088494915</v>
      </c>
      <c r="J255" s="276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74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75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-2714.1581574193824</v>
      </c>
      <c r="J256" s="276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74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75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1481.9916710354134</v>
      </c>
      <c r="J257" s="276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74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75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185833.80129872321</v>
      </c>
      <c r="J258" s="276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250848.89728861582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74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75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-288556.84947622201</v>
      </c>
      <c r="J259" s="276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-362413.87023217109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74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75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8526.1869181733073</v>
      </c>
      <c r="J260" s="276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10708.490908973283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74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75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1113.5740394346815</v>
      </c>
      <c r="J261" s="276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1287.7268703374107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74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75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-1120.727579052274</v>
      </c>
      <c r="J262" s="276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-1205.8426951654908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74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75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299.45418401697356</v>
      </c>
      <c r="J263" s="276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322.1966221612609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74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75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391.85151612828713</v>
      </c>
      <c r="J264" s="276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74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75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-241.45025458199012</v>
      </c>
      <c r="J265" s="276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74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75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231.29349779165415</v>
      </c>
      <c r="J266" s="276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74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75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14364.631013283271</v>
      </c>
      <c r="J267" s="276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14266.436943055836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74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75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-221376.25814423323</v>
      </c>
      <c r="J268" s="276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-204568.1540459689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74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75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3108.2718837794755</v>
      </c>
      <c r="J269" s="276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2872.2747726789935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74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75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300.81712710490376</v>
      </c>
      <c r="J270" s="276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255.94154097920685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74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75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-3863.2950800361177</v>
      </c>
      <c r="J271" s="276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-3058.3137653069221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74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75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294.20908139110975</v>
      </c>
      <c r="J272" s="276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232.90576175411474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74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75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171.54393463577347</v>
      </c>
      <c r="J273" s="276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74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75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-1888.3561158897603</v>
      </c>
      <c r="J274" s="276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74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75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384.4382062290137</v>
      </c>
      <c r="J275" s="276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74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75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1277.8709323377432</v>
      </c>
      <c r="J276" s="276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1724.9419212967514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74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75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-19693.529553986991</v>
      </c>
      <c r="J277" s="276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-24734.149534648968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74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75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485.10601654361761</v>
      </c>
      <c r="J278" s="276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609.27040632584715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74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75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26.760552521066295</v>
      </c>
      <c r="J279" s="276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30.945659045667725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74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75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-343.67694382517834</v>
      </c>
      <c r="J280" s="276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-369.77793707801862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74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75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45.917024263352396</v>
      </c>
      <c r="J281" s="276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49.404252493297051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74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75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15.260469098523433</v>
      </c>
      <c r="J282" s="276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74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75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-167.98728684129142</v>
      </c>
      <c r="J283" s="276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74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75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59.999026405684226</v>
      </c>
      <c r="J284" s="276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74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75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359974.41824017424</v>
      </c>
      <c r="J285" s="276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357513.6969538377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74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75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-1604256.678421888</v>
      </c>
      <c r="J286" s="276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-1482452.6806612848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74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75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25672.183275510477</v>
      </c>
      <c r="J287" s="276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23723.009807037786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74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75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7538.409460440268</v>
      </c>
      <c r="J288" s="276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6413.8373782303861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74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75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-24630.179120331726</v>
      </c>
      <c r="J289" s="276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-19498.074644865439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74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75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3151.0263736701345</v>
      </c>
      <c r="J290" s="276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2494.4580038008457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74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75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4298.8523698269883</v>
      </c>
      <c r="J291" s="276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74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75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-10393.745959660684</v>
      </c>
      <c r="J292" s="276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74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75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3944.1684127256626</v>
      </c>
      <c r="J293" s="276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74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75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32023.157784487175</v>
      </c>
      <c r="J294" s="276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43226.656086236741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74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75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-142713.93225961187</v>
      </c>
      <c r="J295" s="276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-179242.00593450078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74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75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4006.6413204553928</v>
      </c>
      <c r="J296" s="276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5032.1535954322571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74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75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670.6134196310735</v>
      </c>
      <c r="J297" s="276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775.49124664058297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74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75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-2191.0893448665042</v>
      </c>
      <c r="J298" s="276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-2357.4944797882763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74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75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491.77868259591696</v>
      </c>
      <c r="J299" s="276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529.12745535169461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74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75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382.42391891119854</v>
      </c>
      <c r="J300" s="276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74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75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-924.62283421490145</v>
      </c>
      <c r="J301" s="276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74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75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615.56385632134629</v>
      </c>
      <c r="J302" s="276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74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75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323655.52422277723</v>
      </c>
      <c r="J303" s="276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321443.07245526294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74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75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-1087330.6612951483</v>
      </c>
      <c r="J304" s="276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-1004774.5322075558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74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75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15451.610001131374</v>
      </c>
      <c r="J305" s="276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14278.43871545724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74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75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7310.7331386987926</v>
      </c>
      <c r="J306" s="276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6220.1255733481139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74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75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-16629.594736155108</v>
      </c>
      <c r="J307" s="276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-13164.544110511803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74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75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2045.6568959672113</v>
      </c>
      <c r="J308" s="276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1619.4105069429652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74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75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2478.3786375117384</v>
      </c>
      <c r="J309" s="276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74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75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-3717.0486845663731</v>
      </c>
      <c r="J310" s="276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74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75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1522.1944167942595</v>
      </c>
      <c r="J311" s="276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74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75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41925.550854522757</v>
      </c>
      <c r="J312" s="276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56593.462150456879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74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75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-140850.17410187441</v>
      </c>
      <c r="J313" s="276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-176901.21309472423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74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75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2411.5229481534516</v>
      </c>
      <c r="J314" s="276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3028.7597275212329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74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75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947.01462218635811</v>
      </c>
      <c r="J315" s="276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1095.1190782167434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74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75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-2154.157329695006</v>
      </c>
      <c r="J316" s="276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-2317.7576146082893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74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75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319.26437104690592</v>
      </c>
      <c r="J317" s="276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343.5113196545683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74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75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321.04315183027779</v>
      </c>
      <c r="J318" s="276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74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75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-481.49746254989844</v>
      </c>
      <c r="J319" s="276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74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75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237.56791475979776</v>
      </c>
      <c r="J320" s="276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74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75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178180.2372160177</v>
      </c>
      <c r="J321" s="276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176962.22871234283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74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75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128289.77079553272</v>
      </c>
      <c r="J322" s="276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143339.40525699768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74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75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-6623097.1777406735</v>
      </c>
      <c r="J323" s="276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-6120235.1827391293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74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75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86050.849990501825</v>
      </c>
      <c r="J324" s="276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79517.395786744615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74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75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2562.7461024155755</v>
      </c>
      <c r="J325" s="276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2180.4383045050563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74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75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1845.1771937392143</v>
      </c>
      <c r="J326" s="276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1766.1550266490954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74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75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-65774.246822829649</v>
      </c>
      <c r="J327" s="276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-52069.09653379993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74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75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7254.0803616706435</v>
      </c>
      <c r="J328" s="276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5742.5729500663792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74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75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1050.6677999978285</v>
      </c>
      <c r="J329" s="276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74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75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756.48081599843658</v>
      </c>
      <c r="J330" s="276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74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75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-18331.53249783807</v>
      </c>
      <c r="J331" s="276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74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75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6527.8897055573198</v>
      </c>
      <c r="J332" s="276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74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75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15294.661980681291</v>
      </c>
      <c r="J333" s="276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20645.593349773331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74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75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11012.156626090529</v>
      </c>
      <c r="J334" s="276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16722.930613316392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74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75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-568514.41092167073</v>
      </c>
      <c r="J335" s="276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-714027.43798623187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74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75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13429.901443604334</v>
      </c>
      <c r="J336" s="276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16867.32637900643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74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75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219.98138509174163</v>
      </c>
      <c r="J337" s="276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254.38446885892324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74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75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158.38659726605397</v>
      </c>
      <c r="J338" s="276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206.05141977572777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74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75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-5645.9396839249739</v>
      </c>
      <c r="J339" s="276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-6074.7279289433245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74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75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1132.1397096248984</v>
      </c>
      <c r="J340" s="276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1218.1215348625653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74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75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90.187380520044826</v>
      </c>
      <c r="J341" s="276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74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75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64.934913974432277</v>
      </c>
      <c r="J342" s="276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74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75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-1573.5448415774297</v>
      </c>
      <c r="J343" s="276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74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75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1018.8035956650152</v>
      </c>
      <c r="J344" s="276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74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75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534106.99989129184</v>
      </c>
      <c r="J345" s="276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530455.93915692333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74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75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119613.62269672631</v>
      </c>
      <c r="J346" s="276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133645.46083186779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74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75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-5240082.7700084532</v>
      </c>
      <c r="J347" s="276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-4842226.8417343404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74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75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79428.977862172207</v>
      </c>
      <c r="J348" s="276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73398.292640921878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74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75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26245.446708182742</v>
      </c>
      <c r="J349" s="276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22330.178267534018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74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75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5877.6854838048566</v>
      </c>
      <c r="J350" s="276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5625.9657866503749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74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75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-193119.04700001352</v>
      </c>
      <c r="J351" s="276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-152879.50507202107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74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75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22876.302045661305</v>
      </c>
      <c r="J352" s="276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18109.646816031141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74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75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19292.311795072797</v>
      </c>
      <c r="J353" s="276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74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75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4320.5262325210433</v>
      </c>
      <c r="J354" s="276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74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75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-108157.36563387123</v>
      </c>
      <c r="J355" s="276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74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75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36910.228175255579</v>
      </c>
      <c r="J356" s="276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74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75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47513.911724433419</v>
      </c>
      <c r="J357" s="276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64136.945370791625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74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75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10640.772562442877</v>
      </c>
      <c r="J358" s="276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16158.951173307649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74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75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-466155.34006028954</v>
      </c>
      <c r="J359" s="276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-585469.24540969741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74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75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12396.430070974853</v>
      </c>
      <c r="J360" s="276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15569.334802619791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74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75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2334.7828025371814</v>
      </c>
      <c r="J361" s="276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2699.9215541654767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74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75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522.8761826344321</v>
      </c>
      <c r="J362" s="276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680.23040874954529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74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75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-17179.781117515653</v>
      </c>
      <c r="J363" s="276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-18484.521976889817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74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75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3570.2899146407817</v>
      </c>
      <c r="J364" s="276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3841.4402337035754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74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75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1716.235135989424</v>
      </c>
      <c r="J365" s="276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74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75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384.35201571386619</v>
      </c>
      <c r="J366" s="276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74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75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-9621.6292318224168</v>
      </c>
      <c r="J367" s="276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74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75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5760.555842380928</v>
      </c>
      <c r="J368" s="276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74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75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132563.57511144856</v>
      </c>
      <c r="J369" s="276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131657.39402040234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74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75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-272560.62172447366</v>
      </c>
      <c r="J370" s="276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-251866.31899555231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74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75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4870.6443538375743</v>
      </c>
      <c r="J371" s="276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4500.8382237168489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74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75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2776.0820160925568</v>
      </c>
      <c r="J372" s="276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2361.948988481679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74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75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-4324.1152898637947</v>
      </c>
      <c r="J373" s="276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-3423.1144760604047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74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75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461.02395630298588</v>
      </c>
      <c r="J374" s="276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364.96200328671159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74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75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1583.0881588934792</v>
      </c>
      <c r="J375" s="276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74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75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-1902.2421134901617</v>
      </c>
      <c r="J376" s="276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74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75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602.41248146284659</v>
      </c>
      <c r="J377" s="276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74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75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11792.794340839268</v>
      </c>
      <c r="J378" s="276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15918.575822466826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74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75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-24246.866869015317</v>
      </c>
      <c r="J379" s="276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-30452.927660371322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74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75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760.15836736193364</v>
      </c>
      <c r="J380" s="276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954.72325957630142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74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75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246.95897241424532</v>
      </c>
      <c r="J381" s="276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285.58110497096658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74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75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-384.67129659539768</v>
      </c>
      <c r="J382" s="276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-413.88565937821244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74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75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71.951715723587398</v>
      </c>
      <c r="J383" s="276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77.416182515363062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74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75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140.83079055127538</v>
      </c>
      <c r="J384" s="276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74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75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-169.22257876655252</v>
      </c>
      <c r="J385" s="276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74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75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94.01813294506853</v>
      </c>
      <c r="J386" s="276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74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75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30737.680873279423</v>
      </c>
      <c r="J387" s="276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30527.563537755221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74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75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-141335.87840797639</v>
      </c>
      <c r="J388" s="276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-130604.88052674409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74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75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2315.1928342514093</v>
      </c>
      <c r="J389" s="276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2139.4106501461033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74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75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2874.0892081690904</v>
      </c>
      <c r="J390" s="276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2445.3355695867021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74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75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-11012.865190180628</v>
      </c>
      <c r="J391" s="276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-8718.1529002656353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74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75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978.46502306687921</v>
      </c>
      <c r="J392" s="276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774.58568059699303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74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75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2355.6500489957248</v>
      </c>
      <c r="J393" s="276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74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75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-7736.8479579832883</v>
      </c>
      <c r="J394" s="276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74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75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1837.6106322178643</v>
      </c>
      <c r="J395" s="276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74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75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2734.4098765304643</v>
      </c>
      <c r="J396" s="276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3691.0599550194943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74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75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-12573.174385541946</v>
      </c>
      <c r="J397" s="276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-15791.317372779056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74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75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361.3306735536882</v>
      </c>
      <c r="J398" s="276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453.81438033402185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74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75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255.67764690012893</v>
      </c>
      <c r="J399" s="276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295.66330068639212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74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75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-979.69939466404549</v>
      </c>
      <c r="J400" s="276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-1054.1039415775722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74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75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152.70841400465747</v>
      </c>
      <c r="J401" s="276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164.30605345996821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74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75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209.55753904071793</v>
      </c>
      <c r="J402" s="276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74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75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-688.26641660903363</v>
      </c>
      <c r="J403" s="276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74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75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286.7947229472968</v>
      </c>
      <c r="J404" s="276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74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75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432856.82829728071</v>
      </c>
      <c r="J405" s="276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429897.89578053559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74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75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-1466784.2344692438</v>
      </c>
      <c r="J406" s="276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-1355417.9013794987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74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75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57664.990160253306</v>
      </c>
      <c r="J407" s="276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53286.746686612882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74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75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47094.327700414084</v>
      </c>
      <c r="J408" s="276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40068.844879368684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74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75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-132987.03883919134</v>
      </c>
      <c r="J409" s="276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-105276.99361900738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74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75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28357.34325880753</v>
      </c>
      <c r="J410" s="276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22448.622597871479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74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75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46317.254630880241</v>
      </c>
      <c r="J411" s="276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0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74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75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-112108.03341094927</v>
      </c>
      <c r="J412" s="276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0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74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75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63905.378088374506</v>
      </c>
      <c r="J413" s="276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0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74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75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67555.689965471567</v>
      </c>
      <c r="J414" s="276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91190.462741325726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74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75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-228920.08283624036</v>
      </c>
      <c r="J415" s="276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-287512.88817140879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74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75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8999.7383487100542</v>
      </c>
      <c r="J416" s="276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11303.249297160308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74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75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7349.9817798334125</v>
      </c>
      <c r="J417" s="276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8499.4519441085085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74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75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-20755.202593399805</v>
      </c>
      <c r="J418" s="276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-22331.48349494096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74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75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4425.7125317214068</v>
      </c>
      <c r="J419" s="276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4761.829035912132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74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75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7228.7044799639698</v>
      </c>
      <c r="J420" s="276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0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74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75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-17496.62949188226</v>
      </c>
      <c r="J421" s="276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0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74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75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9973.6717247752149</v>
      </c>
      <c r="J422" s="276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0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4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75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178680.65524972283</v>
      </c>
      <c r="J423" s="276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183690.80267816613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4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75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193570.70985386643</v>
      </c>
      <c r="J424" s="276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198998.3695680133</v>
      </c>
    </row>
    <row r="425" spans="1:10" ht="15.75" thickBot="1" x14ac:dyDescent="0.3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313">
        <f ca="1">SUMIFS(H3:H424,$F$3:$F$424,$D$425)*H423/SUM(H423:H424)</f>
        <v>-137317.43481230648</v>
      </c>
      <c r="I425" s="314">
        <f t="shared" ref="I425:J425" ca="1" si="0">SUMIFS(I3:I424,$F$3:$F$424,$D$425)*I423/SUM(I423:I424)</f>
        <v>-138422.3223713756</v>
      </c>
      <c r="J425" s="315">
        <f t="shared" ca="1" si="0"/>
        <v>-266578.82140024804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4">
        <f ca="1"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75">
        <f ca="1"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222296.53737538058</v>
      </c>
      <c r="J426" s="276">
        <f ca="1"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218167.31964379738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4">
        <f ca="1"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75">
        <f ca="1"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8654.0274684352171</v>
      </c>
      <c r="J427" s="276">
        <f ca="1"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8493.2765899277038</v>
      </c>
    </row>
    <row r="428" spans="1:10" x14ac:dyDescent="0.25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4">
        <f ca="1"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75">
        <f ca="1"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1137.1392093523875</v>
      </c>
      <c r="J428" s="276">
        <f ca="1"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1116.0165439165003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4">
        <f ca="1"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75">
        <f ca="1"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115210.53389359287</v>
      </c>
      <c r="J429" s="276">
        <f ca="1"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113070.46736338305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4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75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192585.04353697354</v>
      </c>
      <c r="J430" s="276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174765.59603194657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4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75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3689.6270413861289</v>
      </c>
      <c r="J431" s="276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3348.2344068927573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4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75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17175.47493616951</v>
      </c>
      <c r="J432" s="276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15586.268067463632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4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75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16947.048733725202</v>
      </c>
      <c r="J433" s="276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15378.977611848217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4">
        <f ca="1"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75">
        <f ca="1"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7545.7953205064359</v>
      </c>
      <c r="J434" s="276">
        <f ca="1"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7305.5635465813803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4">
        <f ca="1"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75">
        <f ca="1"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3659.7718795162909</v>
      </c>
      <c r="J435" s="276">
        <f ca="1"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3543.2575223897543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4">
        <f ca="1"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75">
        <f ca="1"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483.07765828201667</v>
      </c>
      <c r="J436" s="276">
        <f ca="1"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467.69815249589072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74">
        <f ca="1"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75">
        <f ca="1"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4965.3045382911068</v>
      </c>
      <c r="J437" s="276">
        <f ca="1"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4807.2265800843434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74">
        <f ca="1"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75">
        <f ca="1"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276">
        <f ca="1"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280">
        <f ca="1"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281">
        <f ca="1"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282">
        <f ca="1"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49">
        <f ca="1"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50">
        <f ca="1">SUMIFS('Forbrug af biomasse'!$E$1:$E$425,'Forbrug af biomasse'!$A$1:$A$425,$F440,'Forbrug af biomasse'!$C$1:$C$425,$D440,'Forbrug af biomasse'!$B$1:$B$425,$A$1,'Forbrug af biomasse'!$D$1:$D$425,I$2)*'[1]Processer - data'!I440</f>
        <v>630485180.59811664</v>
      </c>
      <c r="J440" s="251">
        <f ca="1">SUMIFS('Forbrug af biomasse'!$E$1:$E$425,'Forbrug af biomasse'!$A$1:$A$425,$F440,'Forbrug af biomasse'!$C$1:$C$425,$D440,'Forbrug af biomasse'!$B$1:$B$425,$A$1,'Forbrug af biomasse'!$D$1:$D$425,J$2)*'[1]Processer - data'!J440</f>
        <v>596126454.72628307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52">
        <f ca="1"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53">
        <f ca="1">SUMIFS('Forbrug af biomasse'!$E$1:$E$425,'Forbrug af biomasse'!$A$1:$A$425,$F441,'Forbrug af biomasse'!$C$1:$C$425,$D441,'Forbrug af biomasse'!$B$1:$B$425,$A$1,'Forbrug af biomasse'!$D$1:$D$425,I$2)*'[1]Processer - data'!I441</f>
        <v>17507546.498152919</v>
      </c>
      <c r="J441" s="254">
        <f ca="1">SUMIFS('Forbrug af biomasse'!$E$1:$E$425,'Forbrug af biomasse'!$A$1:$A$425,$F441,'Forbrug af biomasse'!$C$1:$C$425,$D441,'Forbrug af biomasse'!$B$1:$B$425,$A$1,'Forbrug af biomasse'!$D$1:$D$425,J$2)*'[1]Processer - data'!J441</f>
        <v>16553460.645971967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52">
        <f ca="1"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53">
        <f ca="1"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54">
        <f ca="1"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52">
        <f ca="1"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53">
        <f ca="1">SUMIFS('Forbrug af biomasse'!$E$1:$E$425,'Forbrug af biomasse'!$A$1:$A$425,$F443,'Forbrug af biomasse'!$C$1:$C$425,$D443,'Forbrug af biomasse'!$B$1:$B$425,$A$1,'Forbrug af biomasse'!$D$1:$D$425,I$2)*'[1]Processer - data'!I443</f>
        <v>8326759.919853217</v>
      </c>
      <c r="J443" s="254">
        <f ca="1">SUMIFS('Forbrug af biomasse'!$E$1:$E$425,'Forbrug af biomasse'!$A$1:$A$425,$F443,'Forbrug af biomasse'!$C$1:$C$425,$D443,'Forbrug af biomasse'!$B$1:$B$425,$A$1,'Forbrug af biomasse'!$D$1:$D$425,J$2)*'[1]Processer - data'!J443</f>
        <v>7872987.3804013012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52">
        <f ca="1"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53">
        <f ca="1">SUMIFS('Forbrug af biomasse'!$E$1:$E$425,'Forbrug af biomasse'!$A$1:$A$425,$F444,'Forbrug af biomasse'!$C$1:$C$425,$D444,'Forbrug af biomasse'!$B$1:$B$425,$A$1,'Forbrug af biomasse'!$D$1:$D$425,I$2)*'[1]Processer - data'!I444</f>
        <v>15265726.519730898</v>
      </c>
      <c r="J444" s="254">
        <f ca="1">SUMIFS('Forbrug af biomasse'!$E$1:$E$425,'Forbrug af biomasse'!$A$1:$A$425,$F444,'Forbrug af biomasse'!$C$1:$C$425,$D444,'Forbrug af biomasse'!$B$1:$B$425,$A$1,'Forbrug af biomasse'!$D$1:$D$425,J$2)*'[1]Processer - data'!J444</f>
        <v>14433810.197402386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52">
        <f ca="1"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53">
        <f ca="1">SUMIFS('Forbrug af biomasse'!$E$1:$E$425,'Forbrug af biomasse'!$A$1:$A$425,$F445,'Forbrug af biomasse'!$C$1:$C$425,$D445,'Forbrug af biomasse'!$B$1:$B$425,$A$1,'Forbrug af biomasse'!$D$1:$D$425,I$2)*'[1]Processer - data'!I445</f>
        <v>178598324.94762093</v>
      </c>
      <c r="J445" s="254">
        <f ca="1">SUMIFS('Forbrug af biomasse'!$E$1:$E$425,'Forbrug af biomasse'!$A$1:$A$425,$F445,'Forbrug af biomasse'!$C$1:$C$425,$D445,'Forbrug af biomasse'!$B$1:$B$425,$A$1,'Forbrug af biomasse'!$D$1:$D$425,J$2)*'[1]Processer - data'!J445</f>
        <v>168865485.73604327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52">
        <f ca="1"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53">
        <f ca="1">SUMIFS('Forbrug af biomasse'!$E$1:$E$425,'Forbrug af biomasse'!$A$1:$A$425,$F446,'Forbrug af biomasse'!$C$1:$C$425,$D446,'Forbrug af biomasse'!$B$1:$B$425,$A$1,'Forbrug af biomasse'!$D$1:$D$425,I$2)*'[1]Processer - data'!I446</f>
        <v>25727553.085700322</v>
      </c>
      <c r="J446" s="254">
        <f ca="1">SUMIFS('Forbrug af biomasse'!$E$1:$E$425,'Forbrug af biomasse'!$A$1:$A$425,$F446,'Forbrug af biomasse'!$C$1:$C$425,$D446,'Forbrug af biomasse'!$B$1:$B$425,$A$1,'Forbrug af biomasse'!$D$1:$D$425,J$2)*'[1]Processer - data'!J446</f>
        <v>24325512.290727098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52">
        <f ca="1"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53">
        <f ca="1"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54">
        <f ca="1"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52">
        <f ca="1"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53">
        <f ca="1"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54">
        <f ca="1"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52">
        <f ca="1"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53">
        <f ca="1">SUMIFS('Forbrug af biomasse'!$E$1:$E$425,'Forbrug af biomasse'!$A$1:$A$425,$F449,'Forbrug af biomasse'!$C$1:$C$425,$D449,'Forbrug af biomasse'!$B$1:$B$425,$A$1,'Forbrug af biomasse'!$D$1:$D$425,I$2)*'[1]Processer - data'!I449</f>
        <v>242543570.99880138</v>
      </c>
      <c r="J449" s="254">
        <f ca="1">SUMIFS('Forbrug af biomasse'!$E$1:$E$425,'Forbrug af biomasse'!$A$1:$A$425,$F449,'Forbrug af biomasse'!$C$1:$C$425,$D449,'Forbrug af biomasse'!$B$1:$B$425,$A$1,'Forbrug af biomasse'!$D$1:$D$425,J$2)*'[1]Processer - data'!J449</f>
        <v>229325991.38809943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52">
        <f ca="1"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53">
        <f ca="1">SUMIFS('Forbrug af biomasse'!$E$1:$E$425,'Forbrug af biomasse'!$A$1:$A$425,$F450,'Forbrug af biomasse'!$C$1:$C$425,$D450,'Forbrug af biomasse'!$B$1:$B$425,$A$1,'Forbrug af biomasse'!$D$1:$D$425,I$2)*'[1]Processer - data'!I450</f>
        <v>17400793.165847108</v>
      </c>
      <c r="J450" s="254">
        <f ca="1">SUMIFS('Forbrug af biomasse'!$E$1:$E$425,'Forbrug af biomasse'!$A$1:$A$425,$F450,'Forbrug af biomasse'!$C$1:$C$425,$D450,'Forbrug af biomasse'!$B$1:$B$425,$A$1,'Forbrug af biomasse'!$D$1:$D$425,J$2)*'[1]Processer - data'!J450</f>
        <v>16452524.910325797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52">
        <f ca="1"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53">
        <f ca="1"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4">
        <f ca="1"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52">
        <f ca="1"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53">
        <f ca="1"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54">
        <f ca="1"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52">
        <f ca="1"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53">
        <f ca="1">SUMIFS('Forbrug af biomasse'!$E$1:$E$425,'Forbrug af biomasse'!$A$1:$A$425,$F453,'Forbrug af biomasse'!$C$1:$C$425,$D453,'Forbrug af biomasse'!$B$1:$B$425,$A$1,'Forbrug af biomasse'!$D$1:$D$425,I$2)*'[1]Processer - data'!I453</f>
        <v>12917153.209003069</v>
      </c>
      <c r="J453" s="254">
        <f ca="1">SUMIFS('Forbrug af biomasse'!$E$1:$E$425,'Forbrug af biomasse'!$A$1:$A$425,$F453,'Forbrug af biomasse'!$C$1:$C$425,$D453,'Forbrug af biomasse'!$B$1:$B$425,$A$1,'Forbrug af biomasse'!$D$1:$D$425,J$2)*'[1]Processer - data'!J453</f>
        <v>12213224.013186635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52">
        <f ca="1"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53">
        <f ca="1">SUMIFS('Forbrug af biomasse'!$E$1:$E$425,'Forbrug af biomasse'!$A$1:$A$425,$F454,'Forbrug af biomasse'!$C$1:$C$425,$D454,'Forbrug af biomasse'!$B$1:$B$425,$A$1,'Forbrug af biomasse'!$D$1:$D$425,I$2)*'[1]Processer - data'!I454</f>
        <v>427653849.21707672</v>
      </c>
      <c r="J454" s="254">
        <f ca="1">SUMIFS('Forbrug af biomasse'!$E$1:$E$425,'Forbrug af biomasse'!$A$1:$A$425,$F454,'Forbrug af biomasse'!$C$1:$C$425,$D454,'Forbrug af biomasse'!$B$1:$B$425,$A$1,'Forbrug af biomasse'!$D$1:$D$425,J$2)*'[1]Processer - data'!J454</f>
        <v>404348556.99855918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52">
        <f ca="1"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53">
        <f ca="1"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54">
        <f ca="1"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52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53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54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52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53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54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52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53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18961131.819913868</v>
      </c>
      <c r="J458" s="254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20326439.132714264</v>
      </c>
    </row>
    <row r="459" spans="1:10" x14ac:dyDescent="0.25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58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59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-20110.808517250414</v>
      </c>
      <c r="J459" s="260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-21558.898968585887</v>
      </c>
    </row>
    <row r="460" spans="1:10" x14ac:dyDescent="0.25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52">
        <f ca="1"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53">
        <f ca="1"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9758495.5009451602</v>
      </c>
      <c r="J460" s="254">
        <f ca="1"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11486434.80143531</v>
      </c>
    </row>
    <row r="461" spans="1:10" x14ac:dyDescent="0.25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58">
        <f ca="1"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59">
        <f ca="1"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-20365.741162200829</v>
      </c>
      <c r="J461" s="260">
        <f ca="1"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-23971.908171692034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52">
        <f ca="1"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53">
        <f ca="1"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6879.4839146267968</v>
      </c>
      <c r="J462" s="254">
        <f ca="1"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8525.3301049752408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52">
        <f ca="1"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53">
        <f ca="1"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15586994.020227365</v>
      </c>
      <c r="J463" s="254">
        <f ca="1"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18476246.787545867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52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53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54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52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53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54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52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53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54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52">
        <f ca="1"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53">
        <f ca="1"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54">
        <f ca="1"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52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53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54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52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53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54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52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53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16462259.429267358</v>
      </c>
      <c r="J470" s="254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21598041.24201522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52">
        <f ca="1"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53">
        <f ca="1"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54">
        <f ca="1"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52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53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54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52">
        <f ca="1"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53">
        <f ca="1"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34861763.89621713</v>
      </c>
      <c r="J473" s="254">
        <f ca="1"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43788521.46289213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58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59">
        <f ca="1">SUMIFS('Forbrug af biomasse'!$E$1:$E$425,'Forbrug af biomasse'!$A$1:$A$425,"Biogas",'Forbrug af biomasse'!$B$1:$B$425,$A$1,'Forbrug af biomasse'!$D$1:$D$425,I$2)*'[1]Processer - data'!I474</f>
        <v>4979961.0474174749</v>
      </c>
      <c r="J474" s="260">
        <f ca="1">SUMIFS('Forbrug af biomasse'!$E$1:$E$425,'Forbrug af biomasse'!$A$1:$A$425,"Biogas",'Forbrug af biomasse'!$B$1:$B$425,$A$1,'Forbrug af biomasse'!$D$1:$D$425,J$2)*'[1]Processer - data'!J474</f>
        <v>5931800.6059544124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58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59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2791499.962376208</v>
      </c>
      <c r="J475" s="260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997501.17966097756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58">
        <f ca="1"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59">
        <f ca="1"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1845578.3453324179</v>
      </c>
      <c r="J476" s="260">
        <f ca="1"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724125.12538599258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58">
        <f ca="1"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59">
        <f ca="1"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1225.3533690174957</v>
      </c>
      <c r="J477" s="260">
        <f ca="1"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506.16887815798708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58">
        <f ca="1"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59">
        <f ca="1"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458950.37948447245</v>
      </c>
      <c r="J478" s="260">
        <f ca="1"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181340.94069257975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58">
        <f ca="1">H474*'[1]Processer - data'!H$479*Biogasanlæg!AA$3</f>
        <v>12613034.84027173</v>
      </c>
      <c r="I479" s="259">
        <f ca="1">I474*'[1]Processer - data'!I$479*Biogasanlæg!AB$3</f>
        <v>28125244.049070694</v>
      </c>
      <c r="J479" s="260">
        <f ca="1">J474*'[1]Processer - data'!J$479*Biogasanlæg!AC$3</f>
        <v>32766035.5692522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58">
        <f ca="1">-SUMIFS('Resultater - Østdanmark'!H$3:H$504,'Resultater - Østdanmark'!$F$3:$F$504,"Gødning",'Resultater - Østdanmark'!$A$3:$A$504,"&lt;&gt;Gødning")-SUM(H475:H479)</f>
        <v>59971256.963903613</v>
      </c>
      <c r="I480" s="259">
        <f ca="1">-SUMIFS('Resultater - Østdanmark'!I$3:I$504,'Resultater - Østdanmark'!$F$3:$F$504,"Gødning",'Resultater - Østdanmark'!$A$3:$A$504,"&lt;&gt;Gødning")-SUM(I475:I479)</f>
        <v>52375471.426188067</v>
      </c>
      <c r="J480" s="260">
        <f ca="1">-SUMIFS('Resultater - Østdanmark'!J$3:J$504,'Resultater - Østdanmark'!$F$3:$F$504,"Gødning",'Resultater - Østdanmark'!$A$3:$A$504,"&lt;&gt;Gødning")-SUM(J475:J479)</f>
        <v>46230078.485406727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61">
        <f ca="1"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63">
        <f ca="1">SUMIFS('Forbrug af biomasse'!$E$1:$E$425,'Forbrug af biomasse'!$A$1:$A$425,$F481,'Forbrug af biomasse'!$C$1:$C$425,$D481,'Forbrug af biomasse'!$B$1:$B$425,$A$1,'Forbrug af biomasse'!$D$1:$D$425,I$2)*'[1]Processer - data'!I481</f>
        <v>11.656252040671873</v>
      </c>
      <c r="J481" s="264">
        <f ca="1">SUMIFS('Forbrug af biomasse'!$E$1:$E$425,'Forbrug af biomasse'!$A$1:$A$425,$F481,'Forbrug af biomasse'!$C$1:$C$425,$D481,'Forbrug af biomasse'!$B$1:$B$425,$A$1,'Forbrug af biomasse'!$D$1:$D$425,J$2)*'[1]Processer - data'!J481</f>
        <v>13.659127355928229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61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63">
        <f>SUMIFS('Forbrug af biomasse'!$E$1:$E$425,'Forbrug af biomasse'!$A$1:$A$425,$F482,'Forbrug af biomasse'!$C$1:$C$425,$D482,'Forbrug af biomasse'!$B$1:$B$425,$A$1,'Forbrug af biomasse'!$D$1:$D$425,I$2)*'[1]Processer - data'!I482</f>
        <v>2.2108629968849107</v>
      </c>
      <c r="J482" s="264">
        <f>SUMIFS('Forbrug af biomasse'!$E$1:$E$425,'Forbrug af biomasse'!$A$1:$A$425,$F482,'Forbrug af biomasse'!$C$1:$C$425,$D482,'Forbrug af biomasse'!$B$1:$B$425,$A$1,'Forbrug af biomasse'!$D$1:$D$425,J$2)*'[1]Processer - data'!J482</f>
        <v>2.240477622157377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61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63">
        <f>SUMIFS('Forbrug af biomasse'!$E$1:$E$425,'Forbrug af biomasse'!$A$1:$A$425,$F483,'Forbrug af biomasse'!$C$1:$C$425,$D483,'Forbrug af biomasse'!$B$1:$B$425,$A$1,'Forbrug af biomasse'!$D$1:$D$425,I$2)*'[1]Processer - data'!I483</f>
        <v>0.72067399954964595</v>
      </c>
      <c r="J483" s="264">
        <f>SUMIFS('Forbrug af biomasse'!$E$1:$E$425,'Forbrug af biomasse'!$A$1:$A$425,$F483,'Forbrug af biomasse'!$C$1:$C$425,$D483,'Forbrug af biomasse'!$B$1:$B$425,$A$1,'Forbrug af biomasse'!$D$1:$D$425,J$2)*'[1]Processer - data'!J483</f>
        <v>0.68005705148007967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61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63">
        <f ca="1">SUMIFS('Forbrug af biomasse'!$E$1:$E$425,'Forbrug af biomasse'!$A$1:$A$425,$F484,'Forbrug af biomasse'!$C$1:$C$425,$D484,'Forbrug af biomasse'!$B$1:$B$425,$A$1,'Forbrug af biomasse'!$D$1:$D$425,I$2)*'[1]Processer - data'!I484</f>
        <v>9.4059039757787311</v>
      </c>
      <c r="J484" s="264">
        <f ca="1">SUMIFS('Forbrug af biomasse'!$E$1:$E$425,'Forbrug af biomasse'!$A$1:$A$425,$F484,'Forbrug af biomasse'!$C$1:$C$425,$D484,'Forbrug af biomasse'!$B$1:$B$425,$A$1,'Forbrug af biomasse'!$D$1:$D$425,J$2)*'[1]Processer - data'!J484</f>
        <v>9.3014085239225324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61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63">
        <f>SUMIFS('Forbrug af biomasse'!$E$1:$E$425,'Forbrug af biomasse'!$A$1:$A$425,$F485,'Forbrug af biomasse'!$C$1:$C$425,$D485,'Forbrug af biomasse'!$B$1:$B$425,$A$1,'Forbrug af biomasse'!$D$1:$D$425,I$2)*'[1]Processer - data'!I485</f>
        <v>1.9286749755774253</v>
      </c>
      <c r="J485" s="264">
        <f>SUMIFS('Forbrug af biomasse'!$E$1:$E$425,'Forbrug af biomasse'!$A$1:$A$425,$F485,'Forbrug af biomasse'!$C$1:$C$425,$D485,'Forbrug af biomasse'!$B$1:$B$425,$A$1,'Forbrug af biomasse'!$D$1:$D$425,J$2)*'[1]Processer - data'!J485</f>
        <v>2.3365287637384994E-2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61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63">
        <f ca="1">SUMIFS('Forbrug af biomasse'!$E$1:$E$425,'Forbrug af biomasse'!$A$1:$A$425,$F486,'Forbrug af biomasse'!$C$1:$C$425,$D486,'Forbrug af biomasse'!$B$1:$B$425,$A$1,'Forbrug af biomasse'!$D$1:$D$425,I$2)*'[1]Processer - data'!I486</f>
        <v>3.0154675860307889</v>
      </c>
      <c r="J486" s="264">
        <f ca="1">SUMIFS('Forbrug af biomasse'!$E$1:$E$425,'Forbrug af biomasse'!$A$1:$A$425,$F486,'Forbrug af biomasse'!$C$1:$C$425,$D486,'Forbrug af biomasse'!$B$1:$B$425,$A$1,'Forbrug af biomasse'!$D$1:$D$425,J$2)*'[1]Processer - data'!J486</f>
        <v>3.0758069229876184</v>
      </c>
    </row>
    <row r="487" spans="1:10" x14ac:dyDescent="0.25">
      <c r="A487" t="str">
        <f>IF('[1]Processer - data'!A487&lt;&gt;"",'[1]Processer - data'!A487,"")</f>
        <v>Til energi</v>
      </c>
      <c r="B487" t="str">
        <f>IF('[1]Processer - data'!B487&lt;&gt;"",'[1]Processer - data'!B487,"")</f>
        <v/>
      </c>
      <c r="C487" t="str">
        <f>IF('[1]Processer - data'!C487&lt;&gt;"",'[1]Processer - data'!C487,"")</f>
        <v/>
      </c>
      <c r="D487" t="str">
        <f>IF('[1]Processer - data'!D487&lt;&gt;"",'[1]Processer - data'!D487,"")</f>
        <v>Pyrolyseolie</v>
      </c>
      <c r="E487" t="str">
        <f>IF('[1]Processer - data'!E487&lt;&gt;"",'[1]Processer - data'!E487,"")</f>
        <v>Ton</v>
      </c>
      <c r="F487" t="str">
        <f>IF('[1]Processer - data'!F487&lt;&gt;"",'[1]Processer - data'!F487,"")</f>
        <v>Energi</v>
      </c>
      <c r="G487" t="str">
        <f>IF('[1]Processer - data'!G487&lt;&gt;"",'[1]Processer - data'!G487,"")</f>
        <v>PJ</v>
      </c>
      <c r="H487" s="261">
        <f ca="1"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63">
        <f ca="1"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64">
        <f ca="1"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x14ac:dyDescent="0.25">
      <c r="A488" t="str">
        <f>IF('[1]Processer - data'!A488&lt;&gt;"",'[1]Processer - data'!A488,"")</f>
        <v>Til energi</v>
      </c>
      <c r="B488" t="str">
        <f>IF('[1]Processer - data'!B488&lt;&gt;"",'[1]Processer - data'!B488,"")</f>
        <v/>
      </c>
      <c r="C488" t="str">
        <f>IF('[1]Processer - data'!C488&lt;&gt;"",'[1]Processer - data'!C488,"")</f>
        <v/>
      </c>
      <c r="D488" t="str">
        <f>IF('[1]Processer - data'!D488&lt;&gt;"",'[1]Processer - data'!D488,"")</f>
        <v>Pyrolysegas</v>
      </c>
      <c r="E488" t="str">
        <f>IF('[1]Processer - data'!E488&lt;&gt;"",'[1]Processer - data'!E488,"")</f>
        <v>Ton</v>
      </c>
      <c r="F488" t="str">
        <f>IF('[1]Processer - data'!F488&lt;&gt;"",'[1]Processer - data'!F488,"")</f>
        <v>Energi</v>
      </c>
      <c r="G488" t="str">
        <f>IF('[1]Processer - data'!G488&lt;&gt;"",'[1]Processer - data'!G488,"")</f>
        <v>PJ</v>
      </c>
      <c r="H488" s="261">
        <f ca="1"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63">
        <f ca="1"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64">
        <f ca="1"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58">
        <f ca="1">SUM(H455:H473)*'[1]Processer - data'!$H$489</f>
        <v>3.9778561239632375</v>
      </c>
      <c r="I489" s="259">
        <f ca="1">SUM(I455:I473)*'[1]Processer - data'!$H$489</f>
        <v>3.8658304062705384</v>
      </c>
      <c r="J489" s="260">
        <f ca="1">SUM(J455:J473)*'[1]Processer - data'!$H$489</f>
        <v>4.585324935791073</v>
      </c>
    </row>
    <row r="490" spans="1:10" x14ac:dyDescent="0.25">
      <c r="A490" t="str">
        <f>IF('[1]Processer - data'!A490&lt;&gt;"",'[1]Processer - data'!A490,"")</f>
        <v>Proteinproces</v>
      </c>
      <c r="B490" t="str">
        <f>IF('[1]Processer - data'!B490&lt;&gt;"",'[1]Processer - data'!B490,"")</f>
        <v/>
      </c>
      <c r="C490" t="str">
        <f>IF('[1]Processer - data'!C490&lt;&gt;"",'[1]Processer - data'!C490,"")</f>
        <v/>
      </c>
      <c r="D490" t="str">
        <f>IF('[1]Processer - data'!D490&lt;&gt;"",'[1]Processer - data'!D490,"")</f>
        <v>Græs</v>
      </c>
      <c r="E490" t="str">
        <f>IF('[1]Processer - data'!E490&lt;&gt;"",'[1]Processer - data'!E490,"")</f>
        <v>Ton</v>
      </c>
      <c r="F490" t="str">
        <f>IF('[1]Processer - data'!F490&lt;&gt;"",'[1]Processer - data'!F490,"")</f>
        <v>Græsprotein</v>
      </c>
      <c r="G490" t="str">
        <f>IF('[1]Processer - data'!G490&lt;&gt;"",'[1]Processer - data'!G490,"")</f>
        <v>Ton</v>
      </c>
      <c r="H490" s="252">
        <f ca="1"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53">
        <f ca="1"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54">
        <f ca="1"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t="str">
        <f>IF('[1]Processer - data'!A491&lt;&gt;"",'[1]Processer - data'!A491,"")</f>
        <v>Proteinproces</v>
      </c>
      <c r="B491" t="str">
        <f>IF('[1]Processer - data'!B491&lt;&gt;"",'[1]Processer - data'!B491,"")</f>
        <v/>
      </c>
      <c r="C491" t="str">
        <f>IF('[1]Processer - data'!C491&lt;&gt;"",'[1]Processer - data'!C491,"")</f>
        <v/>
      </c>
      <c r="D491" t="str">
        <f>IF('[1]Processer - data'!D491&lt;&gt;"",'[1]Processer - data'!D491,"")</f>
        <v>Græs</v>
      </c>
      <c r="E491" t="str">
        <f>IF('[1]Processer - data'!E491&lt;&gt;"",'[1]Processer - data'!E491,"")</f>
        <v>Ton</v>
      </c>
      <c r="F491" t="str">
        <f>IF('[1]Processer - data'!F491&lt;&gt;"",'[1]Processer - data'!F491,"")</f>
        <v>Fiberfraktion</v>
      </c>
      <c r="G491" t="str">
        <f>IF('[1]Processer - data'!G491&lt;&gt;"",'[1]Processer - data'!G491,"")</f>
        <v>Ton</v>
      </c>
      <c r="H491" s="252">
        <f ca="1"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53">
        <f ca="1"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54">
        <f ca="1"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t="str">
        <f>IF('[1]Processer - data'!A492&lt;&gt;"",'[1]Processer - data'!A492,"")</f>
        <v>Proteinproces</v>
      </c>
      <c r="B492" t="str">
        <f>IF('[1]Processer - data'!B492&lt;&gt;"",'[1]Processer - data'!B492,"")</f>
        <v/>
      </c>
      <c r="C492" t="str">
        <f>IF('[1]Processer - data'!C492&lt;&gt;"",'[1]Processer - data'!C492,"")</f>
        <v/>
      </c>
      <c r="D492" t="str">
        <f>IF('[1]Processer - data'!D492&lt;&gt;"",'[1]Processer - data'!D492,"")</f>
        <v>Græs</v>
      </c>
      <c r="E492" t="str">
        <f>IF('[1]Processer - data'!E492&lt;&gt;"",'[1]Processer - data'!E492,"")</f>
        <v>Ton</v>
      </c>
      <c r="F492" t="str">
        <f>IF('[1]Processer - data'!F492&lt;&gt;"",'[1]Processer - data'!F492,"")</f>
        <v>Brun saft</v>
      </c>
      <c r="G492" t="str">
        <f>IF('[1]Processer - data'!G492&lt;&gt;"",'[1]Processer - data'!G492,"")</f>
        <v>PJ</v>
      </c>
      <c r="H492" s="252">
        <f ca="1"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53">
        <f ca="1"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54">
        <f ca="1"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t="str">
        <f>IF('[1]Processer - data'!A493&lt;&gt;"",'[1]Processer - data'!A493,"")</f>
        <v>Rapskageproduktion</v>
      </c>
      <c r="B493" t="str">
        <f>IF('[1]Processer - data'!B493&lt;&gt;"",'[1]Processer - data'!B493,"")</f>
        <v/>
      </c>
      <c r="C493" t="str">
        <f>IF('[1]Processer - data'!C493&lt;&gt;"",'[1]Processer - data'!C493,"")</f>
        <v/>
      </c>
      <c r="D493" t="str">
        <f>IF('[1]Processer - data'!D493&lt;&gt;"",'[1]Processer - data'!D493,"")</f>
        <v>Raps</v>
      </c>
      <c r="E493" t="str">
        <f>IF('[1]Processer - data'!E493&lt;&gt;"",'[1]Processer - data'!E493,"")</f>
        <v>Ton</v>
      </c>
      <c r="F493" t="str">
        <f>IF('[1]Processer - data'!F493&lt;&gt;"",'[1]Processer - data'!F493,"")</f>
        <v>Rapskage</v>
      </c>
      <c r="G493" t="str">
        <f>IF('[1]Processer - data'!G493&lt;&gt;"",'[1]Processer - data'!G493,"")</f>
        <v>Ton</v>
      </c>
      <c r="H493" s="27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27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98699.240932362096</v>
      </c>
      <c r="J493" s="27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100021.32241774006</v>
      </c>
    </row>
    <row r="494" spans="1:10" ht="15.75" thickBot="1" x14ac:dyDescent="0.3">
      <c r="A494" t="str">
        <f>IF('[1]Processer - data'!A494&lt;&gt;"",'[1]Processer - data'!A494,"")</f>
        <v>Rapskageproduktion</v>
      </c>
      <c r="B494" t="str">
        <f>IF('[1]Processer - data'!B494&lt;&gt;"",'[1]Processer - data'!B494,"")</f>
        <v/>
      </c>
      <c r="C494" t="str">
        <f>IF('[1]Processer - data'!C494&lt;&gt;"",'[1]Processer - data'!C494,"")</f>
        <v/>
      </c>
      <c r="D494" t="str">
        <f>IF('[1]Processer - data'!D494&lt;&gt;"",'[1]Processer - data'!D494,"")</f>
        <v>Raps</v>
      </c>
      <c r="E494" t="str">
        <f>IF('[1]Processer - data'!E494&lt;&gt;"",'[1]Processer - data'!E494,"")</f>
        <v>Ton</v>
      </c>
      <c r="F494" t="str">
        <f>IF('[1]Processer - data'!F494&lt;&gt;"",'[1]Processer - data'!F494,"")</f>
        <v>Rapsolie</v>
      </c>
      <c r="G494" t="str">
        <f>IF('[1]Processer - data'!G494&lt;&gt;"",'[1]Processer - data'!G494,"")</f>
        <v>Ton</v>
      </c>
      <c r="H494" s="274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75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63167.514196711745</v>
      </c>
      <c r="J494" s="276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64013.646347353635</v>
      </c>
    </row>
    <row r="495" spans="1:10" x14ac:dyDescent="0.25">
      <c r="A495" t="str">
        <f>IF('[1]Processer - data'!A495&lt;&gt;"",'[1]Processer - data'!A495,"")</f>
        <v>Pyrolyseproces</v>
      </c>
      <c r="B495" t="str">
        <f>IF('[1]Processer - data'!B495&lt;&gt;"",'[1]Processer - data'!B495,"")</f>
        <v/>
      </c>
      <c r="C495" t="str">
        <f>IF('[1]Processer - data'!C495&lt;&gt;"",'[1]Processer - data'!C495,"")</f>
        <v/>
      </c>
      <c r="D495" t="str">
        <f>IF('[1]Processer - data'!D495&lt;&gt;"",'[1]Processer - data'!D495,"")</f>
        <v>Halm</v>
      </c>
      <c r="E495" t="str">
        <f>IF('[1]Processer - data'!E495&lt;&gt;"",'[1]Processer - data'!E495,"")</f>
        <v>Ton</v>
      </c>
      <c r="F495" t="str">
        <f>IF('[1]Processer - data'!F495&lt;&gt;"",'[1]Processer - data'!F495,"")</f>
        <v>CO2 - atmosfære</v>
      </c>
      <c r="G495" t="str">
        <f>IF('[1]Processer - data'!G495&lt;&gt;"",'[1]Processer - data'!G495,"")</f>
        <v>t CO2-ækvivalenter</v>
      </c>
      <c r="H495" s="249">
        <f ca="1"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50">
        <f ca="1"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51">
        <f ca="1"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t="str">
        <f>IF('[1]Processer - data'!A496&lt;&gt;"",'[1]Processer - data'!A496,"")</f>
        <v>Pyrolyseproces</v>
      </c>
      <c r="B496" t="str">
        <f>IF('[1]Processer - data'!B496&lt;&gt;"",'[1]Processer - data'!B496,"")</f>
        <v/>
      </c>
      <c r="C496" t="str">
        <f>IF('[1]Processer - data'!C496&lt;&gt;"",'[1]Processer - data'!C496,"")</f>
        <v/>
      </c>
      <c r="D496" t="str">
        <f>IF('[1]Processer - data'!D496&lt;&gt;"",'[1]Processer - data'!D496,"")</f>
        <v>Halm</v>
      </c>
      <c r="E496" t="str">
        <f>IF('[1]Processer - data'!E496&lt;&gt;"",'[1]Processer - data'!E496,"")</f>
        <v>Ton</v>
      </c>
      <c r="F496" t="str">
        <f>IF('[1]Processer - data'!F496&lt;&gt;"",'[1]Processer - data'!F496,"")</f>
        <v>Pyrolyseolie</v>
      </c>
      <c r="G496" t="str">
        <f>IF('[1]Processer - data'!G496&lt;&gt;"",'[1]Processer - data'!G496,"")</f>
        <v>Ton</v>
      </c>
      <c r="H496" s="252">
        <f ca="1"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53">
        <f ca="1"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54">
        <f ca="1"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t="str">
        <f>IF('[1]Processer - data'!A497&lt;&gt;"",'[1]Processer - data'!A497,"")</f>
        <v>Pyrolyseproces</v>
      </c>
      <c r="B497" t="str">
        <f>IF('[1]Processer - data'!B497&lt;&gt;"",'[1]Processer - data'!B497,"")</f>
        <v/>
      </c>
      <c r="C497" t="str">
        <f>IF('[1]Processer - data'!C497&lt;&gt;"",'[1]Processer - data'!C497,"")</f>
        <v/>
      </c>
      <c r="D497" t="str">
        <f>IF('[1]Processer - data'!D497&lt;&gt;"",'[1]Processer - data'!D497,"")</f>
        <v>Halm</v>
      </c>
      <c r="E497" t="str">
        <f>IF('[1]Processer - data'!E497&lt;&gt;"",'[1]Processer - data'!E497,"")</f>
        <v>Ton</v>
      </c>
      <c r="F497" t="str">
        <f>IF('[1]Processer - data'!F497&lt;&gt;"",'[1]Processer - data'!F497,"")</f>
        <v>Pyrolysegas</v>
      </c>
      <c r="G497" t="str">
        <f>IF('[1]Processer - data'!G497&lt;&gt;"",'[1]Processer - data'!G497,"")</f>
        <v>Ton</v>
      </c>
      <c r="H497" s="255">
        <f ca="1"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56">
        <f ca="1"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57">
        <f ca="1"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3"/>
      <c r="I498" s="93"/>
      <c r="J498" s="93"/>
    </row>
    <row r="499" spans="1:10" x14ac:dyDescent="0.25">
      <c r="H499" s="93"/>
      <c r="I499" s="93"/>
      <c r="J499" s="93"/>
    </row>
    <row r="500" spans="1:10" x14ac:dyDescent="0.25">
      <c r="H500" s="93"/>
      <c r="I500" s="93"/>
      <c r="J500" s="93"/>
    </row>
    <row r="501" spans="1:10" x14ac:dyDescent="0.25">
      <c r="H501" s="93"/>
      <c r="I501" s="93"/>
      <c r="J501" s="93"/>
    </row>
    <row r="502" spans="1:10" x14ac:dyDescent="0.25">
      <c r="H502" s="93"/>
      <c r="I502" s="93"/>
      <c r="J502" s="93"/>
    </row>
  </sheetData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zoomScale="70" zoomScaleNormal="70" workbookViewId="0">
      <selection activeCell="I144" sqref="I14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4" t="str">
        <f>'Resultater - Vestdanmark'!A2</f>
        <v>Processer</v>
      </c>
      <c r="B2" s="94" t="str">
        <f>'Resultater - Vestdanmark'!B2</f>
        <v>Konventionel/økologisk</v>
      </c>
      <c r="C2" s="94" t="str">
        <f>'Resultater - Vestdanmark'!C2</f>
        <v>Jordbundstype</v>
      </c>
      <c r="D2" s="94" t="str">
        <f>'Resultater - Vestdanmark'!D2</f>
        <v>Input</v>
      </c>
      <c r="E2" s="94" t="str">
        <f>'Resultater - Vestdanmark'!E2</f>
        <v>Enhed</v>
      </c>
      <c r="F2" s="94" t="str">
        <f>'Resultater - Vestdanmark'!F2</f>
        <v>Output</v>
      </c>
      <c r="G2" s="94" t="str">
        <f>'Resultater - Vestdanmark'!G2</f>
        <v>Enhed</v>
      </c>
      <c r="H2" s="94">
        <f>'Resultater - Vestdanmark'!H2</f>
        <v>2019</v>
      </c>
      <c r="I2" s="94">
        <f>'Resultater - Vestdanmark'!I2</f>
        <v>2030</v>
      </c>
      <c r="J2" s="94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4" t="str">
        <f>'Resultater - Vestdanmark'!A3</f>
        <v>Spildevandsproduktion</v>
      </c>
      <c r="B3" s="94" t="str">
        <f>'Resultater - Vestdanmark'!B3</f>
        <v/>
      </c>
      <c r="C3" s="94" t="str">
        <f>'Resultater - Vestdanmark'!C3</f>
        <v/>
      </c>
      <c r="D3" s="94" t="str">
        <f>'Resultater - Vestdanmark'!D3</f>
        <v>Befolkning</v>
      </c>
      <c r="E3" s="94" t="str">
        <f>'Resultater - Vestdanmark'!E3</f>
        <v>Antal</v>
      </c>
      <c r="F3" s="94" t="str">
        <f>'Resultater - Vestdanmark'!F3</f>
        <v>Spildevandsslam</v>
      </c>
      <c r="G3" s="94" t="str">
        <f>'Resultater - Vestdanmark'!G3</f>
        <v>Ton</v>
      </c>
      <c r="H3" s="249">
        <f>'Resultater - Vestdanmark'!H3+'Resultater - Østdanmark'!H3</f>
        <v>6905432.901678659</v>
      </c>
      <c r="I3" s="250">
        <f>'Resultater - Vestdanmark'!I3+'Resultater - Østdanmark'!I3</f>
        <v>7187550.2724163011</v>
      </c>
      <c r="J3" s="251">
        <f>'Resultater - Vestdanmark'!J3+'Resultater - Østdanmark'!J3</f>
        <v>7494121.763909651</v>
      </c>
      <c r="L3" s="94" t="s">
        <v>111</v>
      </c>
      <c r="M3" s="94">
        <f ca="1">SUMIF($F$3:$F$509,$L$3,H$3:H$509)</f>
        <v>13910380.018766832</v>
      </c>
      <c r="N3" s="94">
        <f ca="1">SUMIF($F$3:$F$509,$L$3,I$3:I$509)</f>
        <v>10861735.630517308</v>
      </c>
      <c r="O3" s="94">
        <f ca="1">SUMIF($F$3:$F$509,$L$3,J$3:J$509)</f>
        <v>6224590.3888386637</v>
      </c>
      <c r="Q3" s="94"/>
      <c r="U3" s="94"/>
    </row>
    <row r="4" spans="1:21" x14ac:dyDescent="0.25">
      <c r="A4" s="94" t="str">
        <f>'Resultater - Vestdanmark'!A4</f>
        <v>Bioaffaldsproduktion</v>
      </c>
      <c r="B4" s="94" t="str">
        <f>'Resultater - Vestdanmark'!B4</f>
        <v/>
      </c>
      <c r="C4" s="94" t="str">
        <f>'Resultater - Vestdanmark'!C4</f>
        <v/>
      </c>
      <c r="D4" s="94" t="str">
        <f>'Resultater - Vestdanmark'!D4</f>
        <v>Befolkning</v>
      </c>
      <c r="E4" s="94" t="str">
        <f>'Resultater - Vestdanmark'!E4</f>
        <v>Antal</v>
      </c>
      <c r="F4" s="94" t="str">
        <f>'Resultater - Vestdanmark'!F4</f>
        <v>Bioaffald</v>
      </c>
      <c r="G4" s="94" t="str">
        <f>'Resultater - Vestdanmark'!G4</f>
        <v>Ton</v>
      </c>
      <c r="H4" s="252">
        <f ca="1">'Resultater - Vestdanmark'!H4+'Resultater - Østdanmark'!H4</f>
        <v>358674.32551850227</v>
      </c>
      <c r="I4" s="253">
        <f ca="1">'Resultater - Vestdanmark'!I4+'Resultater - Østdanmark'!I4</f>
        <v>363994.97174274386</v>
      </c>
      <c r="J4" s="254">
        <f ca="1">'Resultater - Vestdanmark'!J4+'Resultater - Østdanmark'!J4</f>
        <v>369776.8151095995</v>
      </c>
      <c r="L4" s="94" t="s">
        <v>167</v>
      </c>
      <c r="M4" s="94">
        <f t="shared" ref="M4:O6" ca="1" si="0">SUMIFS(H$3:H$509,$F$3:$F$509,$L$3,$A$3:$A$509,$L4)</f>
        <v>1383287.873779177</v>
      </c>
      <c r="N4" s="94">
        <f t="shared" ca="1" si="0"/>
        <v>1337078.362473448</v>
      </c>
      <c r="O4" s="94">
        <f t="shared" ca="1" si="0"/>
        <v>1252601.7206708463</v>
      </c>
    </row>
    <row r="5" spans="1:21" x14ac:dyDescent="0.25">
      <c r="A5" s="94" t="str">
        <f>'Resultater - Vestdanmark'!A5</f>
        <v>Bioaffaldsproduktion</v>
      </c>
      <c r="B5" s="94" t="str">
        <f>'Resultater - Vestdanmark'!B5</f>
        <v/>
      </c>
      <c r="C5" s="94" t="str">
        <f>'Resultater - Vestdanmark'!C5</f>
        <v/>
      </c>
      <c r="D5" s="94" t="str">
        <f>'Resultater - Vestdanmark'!D5</f>
        <v>Befolkning</v>
      </c>
      <c r="E5" s="94" t="str">
        <f>'Resultater - Vestdanmark'!E5</f>
        <v>Antal</v>
      </c>
      <c r="F5" s="94" t="str">
        <f>'Resultater - Vestdanmark'!F5</f>
        <v>Have/parkaffald</v>
      </c>
      <c r="G5" s="94" t="str">
        <f>'Resultater - Vestdanmark'!G5</f>
        <v>Ton</v>
      </c>
      <c r="H5" s="252">
        <f>'Resultater - Vestdanmark'!H5+'Resultater - Østdanmark'!H5</f>
        <v>982809</v>
      </c>
      <c r="I5" s="253">
        <f>'Resultater - Vestdanmark'!I5+'Resultater - Østdanmark'!I5</f>
        <v>982809</v>
      </c>
      <c r="J5" s="254">
        <f>'Resultater - Vestdanmark'!J5+'Resultater - Østdanmark'!J5</f>
        <v>982809</v>
      </c>
      <c r="L5" s="94" t="s">
        <v>168</v>
      </c>
      <c r="M5" s="94">
        <f t="shared" ca="1" si="0"/>
        <v>4119285.0829287488</v>
      </c>
      <c r="N5" s="94">
        <f t="shared" ca="1" si="0"/>
        <v>4104323.8031063229</v>
      </c>
      <c r="O5" s="94">
        <f t="shared" ca="1" si="0"/>
        <v>4076660.8574560597</v>
      </c>
    </row>
    <row r="6" spans="1:21" x14ac:dyDescent="0.25">
      <c r="A6" s="94" t="str">
        <f>'Resultater - Vestdanmark'!A6</f>
        <v>Bioaffaldsproduktion</v>
      </c>
      <c r="B6" s="94" t="str">
        <f>'Resultater - Vestdanmark'!B6</f>
        <v/>
      </c>
      <c r="C6" s="94" t="str">
        <f>'Resultater - Vestdanmark'!C6</f>
        <v/>
      </c>
      <c r="D6" s="94" t="str">
        <f>'Resultater - Vestdanmark'!D6</f>
        <v>Befolkning</v>
      </c>
      <c r="E6" s="94" t="str">
        <f>'Resultater - Vestdanmark'!E6</f>
        <v>Antal</v>
      </c>
      <c r="F6" s="94" t="str">
        <f>'Resultater - Vestdanmark'!F6</f>
        <v>Industriaffald</v>
      </c>
      <c r="G6" s="94" t="str">
        <f>'Resultater - Vestdanmark'!G6</f>
        <v>Ton</v>
      </c>
      <c r="H6" s="252">
        <f>'Resultater - Vestdanmark'!H6+'Resultater - Østdanmark'!H6</f>
        <v>355018</v>
      </c>
      <c r="I6" s="253">
        <f>'Resultater - Vestdanmark'!I6+'Resultater - Østdanmark'!I6</f>
        <v>355018</v>
      </c>
      <c r="J6" s="254">
        <f>'Resultater - Vestdanmark'!J6+'Resultater - Østdanmark'!J6</f>
        <v>355018</v>
      </c>
      <c r="L6" s="94" t="s">
        <v>169</v>
      </c>
      <c r="M6" s="94">
        <f t="shared" ca="1" si="0"/>
        <v>16688.944028790498</v>
      </c>
      <c r="N6" s="94">
        <f t="shared" ca="1" si="0"/>
        <v>16724.542422002487</v>
      </c>
      <c r="O6" s="94">
        <f t="shared" ca="1" si="0"/>
        <v>16790.36275477802</v>
      </c>
    </row>
    <row r="7" spans="1:21" x14ac:dyDescent="0.25">
      <c r="A7" s="94" t="str">
        <f>'Resultater - Vestdanmark'!A7</f>
        <v>Muslingefarm</v>
      </c>
      <c r="B7" s="94" t="str">
        <f>'Resultater - Vestdanmark'!B7</f>
        <v/>
      </c>
      <c r="C7" s="94" t="str">
        <f>'Resultater - Vestdanmark'!C7</f>
        <v/>
      </c>
      <c r="D7" s="94" t="str">
        <f>'Resultater - Vestdanmark'!D7</f>
        <v>Muslingeareal</v>
      </c>
      <c r="E7" s="94" t="str">
        <f>'Resultater - Vestdanmark'!E7</f>
        <v>Hektar</v>
      </c>
      <c r="F7" s="94" t="str">
        <f>'Resultater - Vestdanmark'!F7</f>
        <v>Muslinger</v>
      </c>
      <c r="G7" s="94" t="str">
        <f>'Resultater - Vestdanmark'!G7</f>
        <v>Ton</v>
      </c>
      <c r="H7" s="252">
        <f>'Resultater - Vestdanmark'!H7+'Resultater - Østdanmark'!H7</f>
        <v>880.09999999999991</v>
      </c>
      <c r="I7" s="253">
        <f>'Resultater - Vestdanmark'!I7+'Resultater - Østdanmark'!I7</f>
        <v>880.09999999999991</v>
      </c>
      <c r="J7" s="254">
        <f>'Resultater - Vestdanmark'!J7+'Resultater - Østdanmark'!J7</f>
        <v>880.09999999999991</v>
      </c>
      <c r="L7" s="94" t="s">
        <v>42</v>
      </c>
      <c r="M7" s="94">
        <f>SUMIFS(H$3:H$509,$F$3:$F$509,$L$3,$C$3:$C$509,$L7)+SUMIFS(H$3:H$509,$F$3:$F$509,$L$3,$C$3:$C$509,"",$A$3:$A$509,"Grøntsager I drivhus")</f>
        <v>5792.400747147125</v>
      </c>
      <c r="N7" s="94">
        <f>SUMIFS(I$3:I$509,$F$3:$F$509,$L$3,$C$3:$C$509,$L7)+SUMIFS(I$3:I$509,$F$3:$F$509,$L$3,$C$3:$C$509,"",$A$3:$A$509,"Grøntsager I drivhus")</f>
        <v>5505.8606154856679</v>
      </c>
      <c r="O7" s="94">
        <f>SUMIFS(J$3:J$509,$F$3:$F$509,$L$3,$C$3:$C$509,$L7)+SUMIFS(J$3:J$509,$F$3:$F$509,$L$3,$C$3:$C$509,"",$A$3:$A$509,"Grøntsager I drivhus")</f>
        <v>5205.3707655569469</v>
      </c>
    </row>
    <row r="8" spans="1:21" x14ac:dyDescent="0.25">
      <c r="A8" s="94" t="str">
        <f>'Resultater - Vestdanmark'!A8</f>
        <v>Muslingefarm</v>
      </c>
      <c r="B8" s="94" t="str">
        <f>'Resultater - Vestdanmark'!B8</f>
        <v/>
      </c>
      <c r="C8" s="94" t="str">
        <f>'Resultater - Vestdanmark'!C8</f>
        <v/>
      </c>
      <c r="D8" s="94" t="str">
        <f>'Resultater - Vestdanmark'!D8</f>
        <v>Muslingeareal</v>
      </c>
      <c r="E8" s="94" t="str">
        <f>'Resultater - Vestdanmark'!E8</f>
        <v>Hektar</v>
      </c>
      <c r="F8" s="94" t="str">
        <f>'Resultater - Vestdanmark'!F8</f>
        <v>CO2 - atmosfære</v>
      </c>
      <c r="G8" s="94" t="str">
        <f>'Resultater - Vestdanmark'!G8</f>
        <v>t CO2-ækvivalenter</v>
      </c>
      <c r="H8" s="252">
        <f>'Resultater - Vestdanmark'!H8+'Resultater - Østdanmark'!H8</f>
        <v>-142.57619999999997</v>
      </c>
      <c r="I8" s="253">
        <f>'Resultater - Vestdanmark'!I8+'Resultater - Østdanmark'!I8</f>
        <v>-142.57619999999997</v>
      </c>
      <c r="J8" s="254">
        <f>'Resultater - Vestdanmark'!J8+'Resultater - Østdanmark'!J8</f>
        <v>-142.57619999999997</v>
      </c>
      <c r="L8" s="94" t="s">
        <v>41</v>
      </c>
      <c r="M8" s="94">
        <f>SUMIFS(H$3:H$509,$F$3:$F$509,$L$3,$C$3:$C$509,$L8)+SUMIFS(H$3:H$509,$F$3:$F$509,$L$3,$C$3:$C$509,"",$A$3:$A$509,"Grøntsager I drivhus")</f>
        <v>1473136.3400311922</v>
      </c>
      <c r="N8" s="94">
        <f>SUMIFS(I$3:I$509,$F$3:$F$509,$L$3,$C$3:$C$509,$L8)+SUMIFS(I$3:I$509,$F$3:$F$509,$L$3,$C$3:$C$509,"",$A$3:$A$509,"Grøntsager I drivhus")</f>
        <v>1390547.3587989912</v>
      </c>
      <c r="O8" s="94">
        <f>SUMIFS(J$3:J$509,$F$3:$F$509,$L$3,$C$3:$C$509,$L8)</f>
        <v>1149606.2154155094</v>
      </c>
    </row>
    <row r="9" spans="1:21" x14ac:dyDescent="0.25">
      <c r="A9" s="94" t="str">
        <f>'Resultater - Vestdanmark'!A9</f>
        <v>Tangfarm</v>
      </c>
      <c r="B9" s="94" t="str">
        <f>'Resultater - Vestdanmark'!B9</f>
        <v/>
      </c>
      <c r="C9" s="94" t="str">
        <f>'Resultater - Vestdanmark'!C9</f>
        <v/>
      </c>
      <c r="D9" s="94" t="str">
        <f>'Resultater - Vestdanmark'!D9</f>
        <v>Tangfarmareal</v>
      </c>
      <c r="E9" s="94" t="str">
        <f>'Resultater - Vestdanmark'!E9</f>
        <v>Hektar</v>
      </c>
      <c r="F9" s="94" t="str">
        <f>'Resultater - Vestdanmark'!F9</f>
        <v>Tang</v>
      </c>
      <c r="G9" s="94" t="str">
        <f>'Resultater - Vestdanmark'!G9</f>
        <v>Ton</v>
      </c>
      <c r="H9" s="252">
        <f>'Resultater - Vestdanmark'!H9+'Resultater - Østdanmark'!H9</f>
        <v>76.5</v>
      </c>
      <c r="I9" s="253">
        <f>'Resultater - Vestdanmark'!I9+'Resultater - Østdanmark'!I9</f>
        <v>382.5</v>
      </c>
      <c r="J9" s="254">
        <f>'Resultater - Vestdanmark'!J9+'Resultater - Østdanmark'!J9</f>
        <v>382.5</v>
      </c>
      <c r="L9" s="94" t="s">
        <v>40</v>
      </c>
      <c r="M9" s="94">
        <f>SUMIFS(H$3:H$509,$F$3:$F$509,$L$3,$C$3:$C$509,$L9)+SUMIFS(H$3:H$509,$F$3:$F$509,$L$3,$C$3:$C$509,"",$A$3:$A$509,"Grøntsager I drivhus")</f>
        <v>2862788.0827837912</v>
      </c>
      <c r="N9" s="94">
        <f>SUMIFS(I$3:I$509,$F$3:$F$509,$L$3,$C$3:$C$509,$L9)+SUMIFS(I$3:I$509,$F$3:$F$509,$L$3,$C$3:$C$509,"",$A$3:$A$509,"Grøntsager I drivhus")</f>
        <v>2123794.6306514014</v>
      </c>
      <c r="O9" s="94">
        <f>SUMIFS(J$3:J$509,$F$3:$F$509,$L$3,$C$3:$C$509,$L9)</f>
        <v>0</v>
      </c>
    </row>
    <row r="10" spans="1:21" x14ac:dyDescent="0.25">
      <c r="A10" s="94" t="str">
        <f>'Resultater - Vestdanmark'!A10</f>
        <v>Tangfarm</v>
      </c>
      <c r="B10" s="94" t="str">
        <f>'Resultater - Vestdanmark'!B10</f>
        <v/>
      </c>
      <c r="C10" s="94" t="str">
        <f>'Resultater - Vestdanmark'!C10</f>
        <v/>
      </c>
      <c r="D10" s="94" t="str">
        <f>'Resultater - Vestdanmark'!D10</f>
        <v>Tangfarmareal</v>
      </c>
      <c r="E10" s="94" t="str">
        <f>'Resultater - Vestdanmark'!E10</f>
        <v>Hektar</v>
      </c>
      <c r="F10" s="94" t="str">
        <f>'Resultater - Vestdanmark'!F10</f>
        <v>CO2 - atmosfære</v>
      </c>
      <c r="G10" s="94" t="str">
        <f>'Resultater - Vestdanmark'!G10</f>
        <v>t CO2-ækvivalenter</v>
      </c>
      <c r="H10" s="252">
        <f>'Resultater - Vestdanmark'!H10+'Resultater - Østdanmark'!H10</f>
        <v>-15.861000000000001</v>
      </c>
      <c r="I10" s="253">
        <f>'Resultater - Vestdanmark'!I10+'Resultater - Østdanmark'!I10</f>
        <v>-15.861000000000001</v>
      </c>
      <c r="J10" s="254">
        <f>'Resultater - Vestdanmark'!J10+'Resultater - Østdanmark'!J10</f>
        <v>-15.861000000000001</v>
      </c>
    </row>
    <row r="11" spans="1:21" x14ac:dyDescent="0.25">
      <c r="A11" s="94" t="str">
        <f>'Resultater - Vestdanmark'!A11</f>
        <v>Skovproduktion</v>
      </c>
      <c r="B11" s="94" t="str">
        <f>'Resultater - Vestdanmark'!B11</f>
        <v/>
      </c>
      <c r="C11" s="94" t="str">
        <f>'Resultater - Vestdanmark'!C11</f>
        <v>Basisskov</v>
      </c>
      <c r="D11" s="94" t="str">
        <f>'Resultater - Vestdanmark'!D11</f>
        <v>Areal-basisskov</v>
      </c>
      <c r="E11" s="94" t="str">
        <f>'Resultater - Vestdanmark'!E11</f>
        <v>Hektar</v>
      </c>
      <c r="F11" s="94" t="str">
        <f>'Resultater - Vestdanmark'!F11</f>
        <v>Træer</v>
      </c>
      <c r="G11" s="94" t="str">
        <f>'Resultater - Vestdanmark'!G11</f>
        <v>m3</v>
      </c>
      <c r="H11" s="252">
        <f>'Resultater - Vestdanmark'!H11+'Resultater - Østdanmark'!H11</f>
        <v>1724391.5316257188</v>
      </c>
      <c r="I11" s="253">
        <f>'Resultater - Vestdanmark'!I11+'Resultater - Østdanmark'!I11</f>
        <v>1631885.8233455163</v>
      </c>
      <c r="J11" s="254">
        <f>'Resultater - Vestdanmark'!J11+'Resultater - Østdanmark'!J11</f>
        <v>1476221.0184099278</v>
      </c>
    </row>
    <row r="12" spans="1:21" x14ac:dyDescent="0.25">
      <c r="A12" s="94" t="str">
        <f>'Resultater - Vestdanmark'!A12</f>
        <v>Skovproduktion</v>
      </c>
      <c r="B12" s="94" t="str">
        <f>'Resultater - Vestdanmark'!B12</f>
        <v/>
      </c>
      <c r="C12" s="94" t="str">
        <f>'Resultater - Vestdanmark'!C12</f>
        <v>Basisskov</v>
      </c>
      <c r="D12" s="94" t="str">
        <f>'Resultater - Vestdanmark'!D12</f>
        <v>Areal-basisskov</v>
      </c>
      <c r="E12" s="94" t="str">
        <f>'Resultater - Vestdanmark'!E12</f>
        <v>Hektar</v>
      </c>
      <c r="F12" s="94" t="str">
        <f>'Resultater - Vestdanmark'!F12</f>
        <v>Træ til energi</v>
      </c>
      <c r="G12" s="94" t="str">
        <f>'Resultater - Vestdanmark'!G12</f>
        <v>m3</v>
      </c>
      <c r="H12" s="252">
        <f>'Resultater - Vestdanmark'!H12+'Resultater - Østdanmark'!H12</f>
        <v>2113608.4683742807</v>
      </c>
      <c r="I12" s="253">
        <f>'Resultater - Vestdanmark'!I12+'Resultater - Østdanmark'!I12</f>
        <v>2000223.0539784776</v>
      </c>
      <c r="J12" s="254">
        <f>'Resultater - Vestdanmark'!J12+'Resultater - Østdanmark'!J12</f>
        <v>1809422.7375158332</v>
      </c>
    </row>
    <row r="13" spans="1:21" x14ac:dyDescent="0.25">
      <c r="A13" s="94" t="str">
        <f>'Resultater - Vestdanmark'!A13</f>
        <v>Skovproduktion</v>
      </c>
      <c r="B13" s="94" t="str">
        <f>'Resultater - Vestdanmark'!B13</f>
        <v/>
      </c>
      <c r="C13" s="94" t="str">
        <f>'Resultater - Vestdanmark'!C13</f>
        <v>Basisskov</v>
      </c>
      <c r="D13" s="94" t="str">
        <f>'Resultater - Vestdanmark'!D13</f>
        <v>Areal-basisskov</v>
      </c>
      <c r="E13" s="94" t="str">
        <f>'Resultater - Vestdanmark'!E13</f>
        <v>Hektar</v>
      </c>
      <c r="F13" s="94" t="str">
        <f>'Resultater - Vestdanmark'!F13</f>
        <v>CO2 - atmosfære</v>
      </c>
      <c r="G13" s="94" t="str">
        <f>'Resultater - Vestdanmark'!G13</f>
        <v>t CO2-ækvivalenter</v>
      </c>
      <c r="H13" s="252">
        <f>'Resultater - Vestdanmark'!H13+'Resultater - Østdanmark'!H13</f>
        <v>-562410</v>
      </c>
      <c r="I13" s="253">
        <f>'Resultater - Vestdanmark'!I13+'Resultater - Østdanmark'!I13</f>
        <v>-532239.27923287847</v>
      </c>
      <c r="J13" s="254">
        <f>'Resultater - Vestdanmark'!J13+'Resultater - Østdanmark'!J13</f>
        <v>-481469.23000787059</v>
      </c>
    </row>
    <row r="14" spans="1:21" x14ac:dyDescent="0.25">
      <c r="A14" s="94" t="str">
        <f>'Resultater - Vestdanmark'!A14</f>
        <v>Skovproduktion</v>
      </c>
      <c r="B14" s="94" t="str">
        <f>'Resultater - Vestdanmark'!B14</f>
        <v/>
      </c>
      <c r="C14" s="94" t="str">
        <f>'Resultater - Vestdanmark'!C14</f>
        <v>Basisskov</v>
      </c>
      <c r="D14" s="94" t="str">
        <f>'Resultater - Vestdanmark'!D14</f>
        <v>Areal-basisskov</v>
      </c>
      <c r="E14" s="94" t="str">
        <f>'Resultater - Vestdanmark'!E14</f>
        <v>Hektar</v>
      </c>
      <c r="F14" s="94" t="str">
        <f>'Resultater - Vestdanmark'!F14</f>
        <v>CO2 - HWP</v>
      </c>
      <c r="G14" s="94" t="str">
        <f>'Resultater - Vestdanmark'!G14</f>
        <v>t CO2-ækvivalenter</v>
      </c>
      <c r="H14" s="252">
        <f>'Resultater - Vestdanmark'!H14+'Resultater - Østdanmark'!H14</f>
        <v>-1263438.0423418714</v>
      </c>
      <c r="I14" s="253">
        <f>'Resultater - Vestdanmark'!I14+'Resultater - Østdanmark'!I14</f>
        <v>-1195660.3776807606</v>
      </c>
      <c r="J14" s="254">
        <f>'Resultater - Vestdanmark'!J14+'Resultater - Østdanmark'!J14</f>
        <v>-1081606.9084991238</v>
      </c>
    </row>
    <row r="15" spans="1:21" x14ac:dyDescent="0.25">
      <c r="A15" s="94" t="str">
        <f>'Resultater - Vestdanmark'!A15</f>
        <v>Skovproduktion</v>
      </c>
      <c r="B15" s="94" t="str">
        <f>'Resultater - Vestdanmark'!B15</f>
        <v/>
      </c>
      <c r="C15" s="94" t="str">
        <f>'Resultater - Vestdanmark'!C15</f>
        <v>Skovtype1</v>
      </c>
      <c r="D15" s="94" t="str">
        <f>'Resultater - Vestdanmark'!D15</f>
        <v>Areal-skovtype1-10</v>
      </c>
      <c r="E15" s="94" t="str">
        <f>'Resultater - Vestdanmark'!E15</f>
        <v>Hektar</v>
      </c>
      <c r="F15" s="94" t="str">
        <f>'Resultater - Vestdanmark'!F15</f>
        <v>Træer</v>
      </c>
      <c r="G15" s="94" t="str">
        <f>'Resultater - Vestdanmark'!G15</f>
        <v>m3</v>
      </c>
      <c r="H15" s="252">
        <f ca="1">'Resultater - Vestdanmark'!H15+'Resultater - Østdanmark'!H15</f>
        <v>0</v>
      </c>
      <c r="I15" s="253">
        <f ca="1">'Resultater - Vestdanmark'!I15+'Resultater - Østdanmark'!I15</f>
        <v>0</v>
      </c>
      <c r="J15" s="254">
        <f ca="1">'Resultater - Vestdanmark'!J15+'Resultater - Østdanmark'!J15</f>
        <v>0</v>
      </c>
    </row>
    <row r="16" spans="1:21" x14ac:dyDescent="0.25">
      <c r="A16" s="94" t="str">
        <f>'Resultater - Vestdanmark'!A16</f>
        <v>Skovproduktion</v>
      </c>
      <c r="B16" s="94" t="str">
        <f>'Resultater - Vestdanmark'!B16</f>
        <v/>
      </c>
      <c r="C16" s="94" t="str">
        <f>'Resultater - Vestdanmark'!C16</f>
        <v>Skovtype1</v>
      </c>
      <c r="D16" s="94" t="str">
        <f>'Resultater - Vestdanmark'!D16</f>
        <v>Areal-skovtype1-10</v>
      </c>
      <c r="E16" s="94" t="str">
        <f>'Resultater - Vestdanmark'!E16</f>
        <v>Hektar</v>
      </c>
      <c r="F16" s="94" t="str">
        <f>'Resultater - Vestdanmark'!F16</f>
        <v>Træ til energi</v>
      </c>
      <c r="G16" s="94" t="str">
        <f>'Resultater - Vestdanmark'!G16</f>
        <v>m3</v>
      </c>
      <c r="H16" s="252">
        <f ca="1">'Resultater - Vestdanmark'!H16+'Resultater - Østdanmark'!H16</f>
        <v>0</v>
      </c>
      <c r="I16" s="253">
        <f ca="1">'Resultater - Vestdanmark'!I16+'Resultater - Østdanmark'!I16</f>
        <v>0</v>
      </c>
      <c r="J16" s="254">
        <f ca="1">'Resultater - Vestdanmark'!J16+'Resultater - Østdanmark'!J16</f>
        <v>0</v>
      </c>
    </row>
    <row r="17" spans="1:10" x14ac:dyDescent="0.25">
      <c r="A17" s="94" t="str">
        <f>'Resultater - Vestdanmark'!A17</f>
        <v>Skovproduktion</v>
      </c>
      <c r="B17" s="94" t="str">
        <f>'Resultater - Vestdanmark'!B17</f>
        <v/>
      </c>
      <c r="C17" s="94" t="str">
        <f>'Resultater - Vestdanmark'!C17</f>
        <v>Skovtype1</v>
      </c>
      <c r="D17" s="94" t="str">
        <f>'Resultater - Vestdanmark'!D17</f>
        <v>Areal-skovtype1-10</v>
      </c>
      <c r="E17" s="94" t="str">
        <f>'Resultater - Vestdanmark'!E17</f>
        <v>Hektar</v>
      </c>
      <c r="F17" s="94" t="str">
        <f>'Resultater - Vestdanmark'!F17</f>
        <v>CO2 - atmosfære</v>
      </c>
      <c r="G17" s="94" t="str">
        <f>'Resultater - Vestdanmark'!G17</f>
        <v>t CO2-ækvivalenter</v>
      </c>
      <c r="H17" s="252">
        <f ca="1">'Resultater - Vestdanmark'!H17+'Resultater - Østdanmark'!H17</f>
        <v>0</v>
      </c>
      <c r="I17" s="253">
        <f ca="1">'Resultater - Vestdanmark'!I17+'Resultater - Østdanmark'!I17</f>
        <v>-17624.379300435641</v>
      </c>
      <c r="J17" s="254">
        <f ca="1">'Resultater - Vestdanmark'!J17+'Resultater - Østdanmark'!J17</f>
        <v>-10911.961238285759</v>
      </c>
    </row>
    <row r="18" spans="1:10" x14ac:dyDescent="0.25">
      <c r="A18" s="94" t="str">
        <f>'Resultater - Vestdanmark'!A18</f>
        <v>Skovproduktion</v>
      </c>
      <c r="B18" s="94" t="str">
        <f>'Resultater - Vestdanmark'!B18</f>
        <v/>
      </c>
      <c r="C18" s="94" t="str">
        <f>'Resultater - Vestdanmark'!C18</f>
        <v>Skovtype1</v>
      </c>
      <c r="D18" s="94" t="str">
        <f>'Resultater - Vestdanmark'!D18</f>
        <v>Areal-skovtype1-10</v>
      </c>
      <c r="E18" s="94" t="str">
        <f>'Resultater - Vestdanmark'!E18</f>
        <v>Hektar</v>
      </c>
      <c r="F18" s="94" t="str">
        <f>'Resultater - Vestdanmark'!F18</f>
        <v>CO2 - HWP</v>
      </c>
      <c r="G18" s="94" t="str">
        <f>'Resultater - Vestdanmark'!G18</f>
        <v>t CO2-ækvivalenter</v>
      </c>
      <c r="H18" s="252">
        <f ca="1">'Resultater - Vestdanmark'!H18+'Resultater - Østdanmark'!H18</f>
        <v>0</v>
      </c>
      <c r="I18" s="253">
        <f ca="1">'Resultater - Vestdanmark'!I18+'Resultater - Østdanmark'!I18</f>
        <v>0</v>
      </c>
      <c r="J18" s="254">
        <f ca="1">'Resultater - Vestdanmark'!J18+'Resultater - Østdanmark'!J18</f>
        <v>0</v>
      </c>
    </row>
    <row r="19" spans="1:10" x14ac:dyDescent="0.25">
      <c r="A19" s="94" t="str">
        <f>'Resultater - Vestdanmark'!A19</f>
        <v>Skovproduktion</v>
      </c>
      <c r="B19" s="94" t="str">
        <f>'Resultater - Vestdanmark'!B19</f>
        <v/>
      </c>
      <c r="C19" s="94" t="str">
        <f>'Resultater - Vestdanmark'!C19</f>
        <v>Skovtype1</v>
      </c>
      <c r="D19" s="94" t="str">
        <f>'Resultater - Vestdanmark'!D19</f>
        <v>Areal-skovtype1-20</v>
      </c>
      <c r="E19" s="94" t="str">
        <f>'Resultater - Vestdanmark'!E19</f>
        <v>Hektar</v>
      </c>
      <c r="F19" s="94" t="str">
        <f>'Resultater - Vestdanmark'!F19</f>
        <v>Træer</v>
      </c>
      <c r="G19" s="94" t="str">
        <f>'Resultater - Vestdanmark'!G19</f>
        <v>m3</v>
      </c>
      <c r="H19" s="252">
        <f ca="1">'Resultater - Vestdanmark'!H19+'Resultater - Østdanmark'!H19</f>
        <v>0</v>
      </c>
      <c r="I19" s="253">
        <f ca="1">'Resultater - Vestdanmark'!I19+'Resultater - Østdanmark'!I19</f>
        <v>0</v>
      </c>
      <c r="J19" s="254">
        <f ca="1">'Resultater - Vestdanmark'!J19+'Resultater - Østdanmark'!J19</f>
        <v>0</v>
      </c>
    </row>
    <row r="20" spans="1:10" x14ac:dyDescent="0.25">
      <c r="A20" s="94" t="str">
        <f>'Resultater - Vestdanmark'!A20</f>
        <v>Skovproduktion</v>
      </c>
      <c r="B20" s="94" t="str">
        <f>'Resultater - Vestdanmark'!B20</f>
        <v/>
      </c>
      <c r="C20" s="94" t="str">
        <f>'Resultater - Vestdanmark'!C20</f>
        <v>Skovtype1</v>
      </c>
      <c r="D20" s="94" t="str">
        <f>'Resultater - Vestdanmark'!D20</f>
        <v>Areal-skovtype1-20</v>
      </c>
      <c r="E20" s="94" t="str">
        <f>'Resultater - Vestdanmark'!E20</f>
        <v>Hektar</v>
      </c>
      <c r="F20" s="94" t="str">
        <f>'Resultater - Vestdanmark'!F20</f>
        <v>Træ til energi</v>
      </c>
      <c r="G20" s="94" t="str">
        <f>'Resultater - Vestdanmark'!G20</f>
        <v>m3</v>
      </c>
      <c r="H20" s="252">
        <f ca="1">'Resultater - Vestdanmark'!H20+'Resultater - Østdanmark'!H20</f>
        <v>0</v>
      </c>
      <c r="I20" s="253">
        <f ca="1">'Resultater - Vestdanmark'!I20+'Resultater - Østdanmark'!I20</f>
        <v>0</v>
      </c>
      <c r="J20" s="254">
        <f ca="1">'Resultater - Vestdanmark'!J20+'Resultater - Østdanmark'!J20</f>
        <v>0</v>
      </c>
    </row>
    <row r="21" spans="1:10" x14ac:dyDescent="0.25">
      <c r="A21" s="94" t="str">
        <f>'Resultater - Vestdanmark'!A21</f>
        <v>Skovproduktion</v>
      </c>
      <c r="B21" s="94" t="str">
        <f>'Resultater - Vestdanmark'!B21</f>
        <v/>
      </c>
      <c r="C21" s="94" t="str">
        <f>'Resultater - Vestdanmark'!C21</f>
        <v>Skovtype1</v>
      </c>
      <c r="D21" s="94" t="str">
        <f>'Resultater - Vestdanmark'!D21</f>
        <v>Areal-skovtype1-20</v>
      </c>
      <c r="E21" s="94" t="str">
        <f>'Resultater - Vestdanmark'!E21</f>
        <v>Hektar</v>
      </c>
      <c r="F21" s="94" t="str">
        <f>'Resultater - Vestdanmark'!F21</f>
        <v>CO2 - atmosfære</v>
      </c>
      <c r="G21" s="94" t="str">
        <f>'Resultater - Vestdanmark'!G21</f>
        <v>t CO2-ækvivalenter</v>
      </c>
      <c r="H21" s="252">
        <f ca="1">'Resultater - Vestdanmark'!H21+'Resultater - Østdanmark'!H21</f>
        <v>0</v>
      </c>
      <c r="I21" s="253">
        <f ca="1">'Resultater - Vestdanmark'!I21+'Resultater - Østdanmark'!I21</f>
        <v>-3898.3137499999993</v>
      </c>
      <c r="J21" s="254">
        <f ca="1">'Resultater - Vestdanmark'!J21+'Resultater - Østdanmark'!J21</f>
        <v>-24343.304953738909</v>
      </c>
    </row>
    <row r="22" spans="1:10" x14ac:dyDescent="0.25">
      <c r="A22" s="94" t="str">
        <f>'Resultater - Vestdanmark'!A22</f>
        <v>Skovproduktion</v>
      </c>
      <c r="B22" s="94" t="str">
        <f>'Resultater - Vestdanmark'!B22</f>
        <v/>
      </c>
      <c r="C22" s="94" t="str">
        <f>'Resultater - Vestdanmark'!C22</f>
        <v>Skovtype1</v>
      </c>
      <c r="D22" s="94" t="str">
        <f>'Resultater - Vestdanmark'!D22</f>
        <v>Areal-skovtype1-20</v>
      </c>
      <c r="E22" s="94" t="str">
        <f>'Resultater - Vestdanmark'!E22</f>
        <v>Hektar</v>
      </c>
      <c r="F22" s="94" t="str">
        <f>'Resultater - Vestdanmark'!F22</f>
        <v>CO2 - HWP</v>
      </c>
      <c r="G22" s="94" t="str">
        <f>'Resultater - Vestdanmark'!G22</f>
        <v>t CO2-ækvivalenter</v>
      </c>
      <c r="H22" s="252">
        <f ca="1">'Resultater - Vestdanmark'!H22+'Resultater - Østdanmark'!H22</f>
        <v>0</v>
      </c>
      <c r="I22" s="253">
        <f ca="1">'Resultater - Vestdanmark'!I22+'Resultater - Østdanmark'!I22</f>
        <v>0</v>
      </c>
      <c r="J22" s="254">
        <f ca="1">'Resultater - Vestdanmark'!J22+'Resultater - Østdanmark'!J22</f>
        <v>0</v>
      </c>
    </row>
    <row r="23" spans="1:10" x14ac:dyDescent="0.25">
      <c r="A23" s="94" t="str">
        <f>'Resultater - Vestdanmark'!A23</f>
        <v>Skovproduktion</v>
      </c>
      <c r="B23" s="94" t="str">
        <f>'Resultater - Vestdanmark'!B23</f>
        <v/>
      </c>
      <c r="C23" s="94" t="str">
        <f>'Resultater - Vestdanmark'!C23</f>
        <v>Skovtype1</v>
      </c>
      <c r="D23" s="94" t="str">
        <f>'Resultater - Vestdanmark'!D23</f>
        <v>Areal-skovtype1-30</v>
      </c>
      <c r="E23" s="94" t="str">
        <f>'Resultater - Vestdanmark'!E23</f>
        <v>Hektar</v>
      </c>
      <c r="F23" s="94" t="str">
        <f>'Resultater - Vestdanmark'!F23</f>
        <v>Træer</v>
      </c>
      <c r="G23" s="94" t="str">
        <f>'Resultater - Vestdanmark'!G23</f>
        <v>m3</v>
      </c>
      <c r="H23" s="252">
        <f ca="1">'Resultater - Vestdanmark'!H23+'Resultater - Østdanmark'!H23</f>
        <v>0</v>
      </c>
      <c r="I23" s="253">
        <f ca="1">'Resultater - Vestdanmark'!I23+'Resultater - Østdanmark'!I23</f>
        <v>0</v>
      </c>
      <c r="J23" s="254">
        <f ca="1">'Resultater - Vestdanmark'!J23+'Resultater - Østdanmark'!J23</f>
        <v>0</v>
      </c>
    </row>
    <row r="24" spans="1:10" x14ac:dyDescent="0.25">
      <c r="A24" s="94" t="str">
        <f>'Resultater - Vestdanmark'!A24</f>
        <v>Skovproduktion</v>
      </c>
      <c r="B24" s="94" t="str">
        <f>'Resultater - Vestdanmark'!B24</f>
        <v/>
      </c>
      <c r="C24" s="94" t="str">
        <f>'Resultater - Vestdanmark'!C24</f>
        <v>Skovtype1</v>
      </c>
      <c r="D24" s="94" t="str">
        <f>'Resultater - Vestdanmark'!D24</f>
        <v>Areal-skovtype1-30</v>
      </c>
      <c r="E24" s="94" t="str">
        <f>'Resultater - Vestdanmark'!E24</f>
        <v>Hektar</v>
      </c>
      <c r="F24" s="94" t="str">
        <f>'Resultater - Vestdanmark'!F24</f>
        <v>Træ til energi</v>
      </c>
      <c r="G24" s="94" t="str">
        <f>'Resultater - Vestdanmark'!G24</f>
        <v>m3</v>
      </c>
      <c r="H24" s="252">
        <f ca="1">'Resultater - Vestdanmark'!H24+'Resultater - Østdanmark'!H24</f>
        <v>0</v>
      </c>
      <c r="I24" s="253">
        <f ca="1">'Resultater - Vestdanmark'!I24+'Resultater - Østdanmark'!I24</f>
        <v>0</v>
      </c>
      <c r="J24" s="254">
        <f ca="1">'Resultater - Vestdanmark'!J24+'Resultater - Østdanmark'!J24</f>
        <v>0</v>
      </c>
    </row>
    <row r="25" spans="1:10" x14ac:dyDescent="0.25">
      <c r="A25" s="94" t="str">
        <f>'Resultater - Vestdanmark'!A25</f>
        <v>Skovproduktion</v>
      </c>
      <c r="B25" s="94" t="str">
        <f>'Resultater - Vestdanmark'!B25</f>
        <v/>
      </c>
      <c r="C25" s="94" t="str">
        <f>'Resultater - Vestdanmark'!C25</f>
        <v>Skovtype1</v>
      </c>
      <c r="D25" s="94" t="str">
        <f>'Resultater - Vestdanmark'!D25</f>
        <v>Areal-skovtype1-30</v>
      </c>
      <c r="E25" s="94" t="str">
        <f>'Resultater - Vestdanmark'!E25</f>
        <v>Hektar</v>
      </c>
      <c r="F25" s="94" t="str">
        <f>'Resultater - Vestdanmark'!F25</f>
        <v>CO2 - atmosfære</v>
      </c>
      <c r="G25" s="94" t="str">
        <f>'Resultater - Vestdanmark'!G25</f>
        <v>t CO2-ækvivalenter</v>
      </c>
      <c r="H25" s="252">
        <f ca="1">'Resultater - Vestdanmark'!H25+'Resultater - Østdanmark'!H25</f>
        <v>0</v>
      </c>
      <c r="I25" s="253">
        <f ca="1">'Resultater - Vestdanmark'!I25+'Resultater - Østdanmark'!I25</f>
        <v>0</v>
      </c>
      <c r="J25" s="254">
        <f ca="1">'Resultater - Vestdanmark'!J25+'Resultater - Østdanmark'!J25</f>
        <v>-98696.524082439588</v>
      </c>
    </row>
    <row r="26" spans="1:10" x14ac:dyDescent="0.25">
      <c r="A26" s="94" t="str">
        <f>'Resultater - Vestdanmark'!A26</f>
        <v>Skovproduktion</v>
      </c>
      <c r="B26" s="94" t="str">
        <f>'Resultater - Vestdanmark'!B26</f>
        <v/>
      </c>
      <c r="C26" s="94" t="str">
        <f>'Resultater - Vestdanmark'!C26</f>
        <v>Skovtype1</v>
      </c>
      <c r="D26" s="94" t="str">
        <f>'Resultater - Vestdanmark'!D26</f>
        <v>Areal-skovtype1-30</v>
      </c>
      <c r="E26" s="94" t="str">
        <f>'Resultater - Vestdanmark'!E26</f>
        <v>Hektar</v>
      </c>
      <c r="F26" s="94" t="str">
        <f>'Resultater - Vestdanmark'!F26</f>
        <v>CO2 - HWP</v>
      </c>
      <c r="G26" s="94" t="str">
        <f>'Resultater - Vestdanmark'!G26</f>
        <v>t CO2-ækvivalenter</v>
      </c>
      <c r="H26" s="252">
        <f ca="1">'Resultater - Vestdanmark'!H26+'Resultater - Østdanmark'!H26</f>
        <v>0</v>
      </c>
      <c r="I26" s="253">
        <f ca="1">'Resultater - Vestdanmark'!I26+'Resultater - Østdanmark'!I26</f>
        <v>0</v>
      </c>
      <c r="J26" s="254">
        <f ca="1">'Resultater - Vestdanmark'!J26+'Resultater - Østdanmark'!J26</f>
        <v>0</v>
      </c>
    </row>
    <row r="27" spans="1:10" x14ac:dyDescent="0.25">
      <c r="A27" s="94" t="str">
        <f>'Resultater - Vestdanmark'!A27</f>
        <v>Skovproduktion</v>
      </c>
      <c r="B27" s="94" t="str">
        <f>'Resultater - Vestdanmark'!B27</f>
        <v/>
      </c>
      <c r="C27" s="94" t="str">
        <f>'Resultater - Vestdanmark'!C27</f>
        <v>Skovtype1</v>
      </c>
      <c r="D27" s="94" t="str">
        <f>'Resultater - Vestdanmark'!D27</f>
        <v>Areal-skovtype1-40</v>
      </c>
      <c r="E27" s="94" t="str">
        <f>'Resultater - Vestdanmark'!E27</f>
        <v>Hektar</v>
      </c>
      <c r="F27" s="94" t="str">
        <f>'Resultater - Vestdanmark'!F27</f>
        <v>Træer</v>
      </c>
      <c r="G27" s="94" t="str">
        <f>'Resultater - Vestdanmark'!G27</f>
        <v>m3</v>
      </c>
      <c r="H27" s="252">
        <f ca="1">'Resultater - Vestdanmark'!H27+'Resultater - Østdanmark'!H27</f>
        <v>0</v>
      </c>
      <c r="I27" s="253">
        <f ca="1">'Resultater - Vestdanmark'!I27+'Resultater - Østdanmark'!I27</f>
        <v>0</v>
      </c>
      <c r="J27" s="254">
        <f ca="1">'Resultater - Vestdanmark'!J27+'Resultater - Østdanmark'!J27</f>
        <v>1347.5292178032605</v>
      </c>
    </row>
    <row r="28" spans="1:10" x14ac:dyDescent="0.25">
      <c r="A28" s="94" t="str">
        <f>'Resultater - Vestdanmark'!A28</f>
        <v>Skovproduktion</v>
      </c>
      <c r="B28" s="94" t="str">
        <f>'Resultater - Vestdanmark'!B28</f>
        <v/>
      </c>
      <c r="C28" s="94" t="str">
        <f>'Resultater - Vestdanmark'!C28</f>
        <v>Skovtype1</v>
      </c>
      <c r="D28" s="94" t="str">
        <f>'Resultater - Vestdanmark'!D28</f>
        <v>Areal-skovtype1-40</v>
      </c>
      <c r="E28" s="94" t="str">
        <f>'Resultater - Vestdanmark'!E28</f>
        <v>Hektar</v>
      </c>
      <c r="F28" s="94" t="str">
        <f>'Resultater - Vestdanmark'!F28</f>
        <v>Træ til energi</v>
      </c>
      <c r="G28" s="94" t="str">
        <f>'Resultater - Vestdanmark'!G28</f>
        <v>m3</v>
      </c>
      <c r="H28" s="252">
        <f ca="1">'Resultater - Vestdanmark'!H28+'Resultater - Østdanmark'!H28</f>
        <v>0</v>
      </c>
      <c r="I28" s="253">
        <f ca="1">'Resultater - Vestdanmark'!I28+'Resultater - Østdanmark'!I28</f>
        <v>0</v>
      </c>
      <c r="J28" s="254">
        <f ca="1">'Resultater - Vestdanmark'!J28+'Resultater - Østdanmark'!J28</f>
        <v>703.93317347931509</v>
      </c>
    </row>
    <row r="29" spans="1:10" x14ac:dyDescent="0.25">
      <c r="A29" s="94" t="str">
        <f>'Resultater - Vestdanmark'!A29</f>
        <v>Skovproduktion</v>
      </c>
      <c r="B29" s="94" t="str">
        <f>'Resultater - Vestdanmark'!B29</f>
        <v/>
      </c>
      <c r="C29" s="94" t="str">
        <f>'Resultater - Vestdanmark'!C29</f>
        <v>Skovtype1</v>
      </c>
      <c r="D29" s="94" t="str">
        <f>'Resultater - Vestdanmark'!D29</f>
        <v>Areal-skovtype1-40</v>
      </c>
      <c r="E29" s="94" t="str">
        <f>'Resultater - Vestdanmark'!E29</f>
        <v>Hektar</v>
      </c>
      <c r="F29" s="94" t="str">
        <f>'Resultater - Vestdanmark'!F29</f>
        <v>CO2 - atmosfære</v>
      </c>
      <c r="G29" s="94" t="str">
        <f>'Resultater - Vestdanmark'!G29</f>
        <v>t CO2-ækvivalenter</v>
      </c>
      <c r="H29" s="252">
        <f ca="1">'Resultater - Vestdanmark'!H29+'Resultater - Østdanmark'!H29</f>
        <v>0</v>
      </c>
      <c r="I29" s="253">
        <f ca="1">'Resultater - Vestdanmark'!I29+'Resultater - Østdanmark'!I29</f>
        <v>0</v>
      </c>
      <c r="J29" s="254">
        <f ca="1">'Resultater - Vestdanmark'!J29+'Resultater - Østdanmark'!J29</f>
        <v>-10243.479150761603</v>
      </c>
    </row>
    <row r="30" spans="1:10" x14ac:dyDescent="0.25">
      <c r="A30" s="94" t="str">
        <f>'Resultater - Vestdanmark'!A30</f>
        <v>Skovproduktion</v>
      </c>
      <c r="B30" s="94" t="str">
        <f>'Resultater - Vestdanmark'!B30</f>
        <v/>
      </c>
      <c r="C30" s="94" t="str">
        <f>'Resultater - Vestdanmark'!C30</f>
        <v>Skovtype1</v>
      </c>
      <c r="D30" s="94" t="str">
        <f>'Resultater - Vestdanmark'!D30</f>
        <v>Areal-skovtype1-40</v>
      </c>
      <c r="E30" s="94" t="str">
        <f>'Resultater - Vestdanmark'!E30</f>
        <v>Hektar</v>
      </c>
      <c r="F30" s="94" t="str">
        <f>'Resultater - Vestdanmark'!F30</f>
        <v>CO2 - HWP</v>
      </c>
      <c r="G30" s="94" t="str">
        <f>'Resultater - Vestdanmark'!G30</f>
        <v>t CO2-ækvivalenter</v>
      </c>
      <c r="H30" s="252">
        <f ca="1">'Resultater - Vestdanmark'!H30+'Resultater - Østdanmark'!H30</f>
        <v>0</v>
      </c>
      <c r="I30" s="253">
        <f ca="1">'Resultater - Vestdanmark'!I30+'Resultater - Østdanmark'!I30</f>
        <v>0</v>
      </c>
      <c r="J30" s="254">
        <f ca="1">'Resultater - Vestdanmark'!J30+'Resultater - Østdanmark'!J30</f>
        <v>-7192.5984435875089</v>
      </c>
    </row>
    <row r="31" spans="1:10" x14ac:dyDescent="0.25">
      <c r="A31" s="94" t="str">
        <f>'Resultater - Vestdanmark'!A31</f>
        <v>Skovproduktion</v>
      </c>
      <c r="B31" s="94" t="str">
        <f>'Resultater - Vestdanmark'!B31</f>
        <v/>
      </c>
      <c r="C31" s="94" t="str">
        <f>'Resultater - Vestdanmark'!C31</f>
        <v>Skovtype2</v>
      </c>
      <c r="D31" s="94" t="str">
        <f>'Resultater - Vestdanmark'!D31</f>
        <v>Areal-skovtype2-10</v>
      </c>
      <c r="E31" s="94" t="str">
        <f>'Resultater - Vestdanmark'!E31</f>
        <v>Hektar</v>
      </c>
      <c r="F31" s="94" t="str">
        <f>'Resultater - Vestdanmark'!F31</f>
        <v>Træer</v>
      </c>
      <c r="G31" s="94" t="str">
        <f>'Resultater - Vestdanmark'!G31</f>
        <v>m3</v>
      </c>
      <c r="H31" s="252">
        <f ca="1">'Resultater - Vestdanmark'!H31+'Resultater - Østdanmark'!H31</f>
        <v>0</v>
      </c>
      <c r="I31" s="253">
        <f ca="1">'Resultater - Vestdanmark'!I31+'Resultater - Østdanmark'!I31</f>
        <v>0</v>
      </c>
      <c r="J31" s="254">
        <f ca="1">'Resultater - Vestdanmark'!J31+'Resultater - Østdanmark'!J31</f>
        <v>0</v>
      </c>
    </row>
    <row r="32" spans="1:10" x14ac:dyDescent="0.25">
      <c r="A32" s="94" t="str">
        <f>'Resultater - Vestdanmark'!A32</f>
        <v>Skovproduktion</v>
      </c>
      <c r="B32" s="94" t="str">
        <f>'Resultater - Vestdanmark'!B32</f>
        <v/>
      </c>
      <c r="C32" s="94" t="str">
        <f>'Resultater - Vestdanmark'!C32</f>
        <v>Skovtype2</v>
      </c>
      <c r="D32" s="94" t="str">
        <f>'Resultater - Vestdanmark'!D32</f>
        <v>Areal-skovtype2-10</v>
      </c>
      <c r="E32" s="94" t="str">
        <f>'Resultater - Vestdanmark'!E32</f>
        <v>Hektar</v>
      </c>
      <c r="F32" s="94" t="str">
        <f>'Resultater - Vestdanmark'!F32</f>
        <v>Træ til energi</v>
      </c>
      <c r="G32" s="94" t="str">
        <f>'Resultater - Vestdanmark'!G32</f>
        <v>m3</v>
      </c>
      <c r="H32" s="252">
        <f ca="1">'Resultater - Vestdanmark'!H32+'Resultater - Østdanmark'!H32</f>
        <v>0</v>
      </c>
      <c r="I32" s="253">
        <f ca="1">'Resultater - Vestdanmark'!I32+'Resultater - Østdanmark'!I32</f>
        <v>0</v>
      </c>
      <c r="J32" s="254">
        <f ca="1">'Resultater - Vestdanmark'!J32+'Resultater - Østdanmark'!J32</f>
        <v>0</v>
      </c>
    </row>
    <row r="33" spans="1:10" x14ac:dyDescent="0.25">
      <c r="A33" s="94" t="str">
        <f>'Resultater - Vestdanmark'!A33</f>
        <v>Skovproduktion</v>
      </c>
      <c r="B33" s="94" t="str">
        <f>'Resultater - Vestdanmark'!B33</f>
        <v/>
      </c>
      <c r="C33" s="94" t="str">
        <f>'Resultater - Vestdanmark'!C33</f>
        <v>Skovtype2</v>
      </c>
      <c r="D33" s="94" t="str">
        <f>'Resultater - Vestdanmark'!D33</f>
        <v>Areal-skovtype2-10</v>
      </c>
      <c r="E33" s="94" t="str">
        <f>'Resultater - Vestdanmark'!E33</f>
        <v>Hektar</v>
      </c>
      <c r="F33" s="94" t="str">
        <f>'Resultater - Vestdanmark'!F33</f>
        <v>CO2 - atmosfære</v>
      </c>
      <c r="G33" s="94" t="str">
        <f>'Resultater - Vestdanmark'!G33</f>
        <v>t CO2-ækvivalenter</v>
      </c>
      <c r="H33" s="252">
        <f ca="1">'Resultater - Vestdanmark'!H33+'Resultater - Østdanmark'!H33</f>
        <v>0</v>
      </c>
      <c r="I33" s="253">
        <f ca="1">'Resultater - Vestdanmark'!I33+'Resultater - Østdanmark'!I33</f>
        <v>-793218.70311657991</v>
      </c>
      <c r="J33" s="254">
        <f ca="1">'Resultater - Vestdanmark'!J33+'Resultater - Østdanmark'!J33</f>
        <v>-509098.76151055703</v>
      </c>
    </row>
    <row r="34" spans="1:10" x14ac:dyDescent="0.25">
      <c r="A34" s="94" t="str">
        <f>'Resultater - Vestdanmark'!A34</f>
        <v>Skovproduktion</v>
      </c>
      <c r="B34" s="94" t="str">
        <f>'Resultater - Vestdanmark'!B34</f>
        <v/>
      </c>
      <c r="C34" s="94" t="str">
        <f>'Resultater - Vestdanmark'!C34</f>
        <v>Skovtype2</v>
      </c>
      <c r="D34" s="94" t="str">
        <f>'Resultater - Vestdanmark'!D34</f>
        <v>Areal-skovtype2-10</v>
      </c>
      <c r="E34" s="94" t="str">
        <f>'Resultater - Vestdanmark'!E34</f>
        <v>Hektar</v>
      </c>
      <c r="F34" s="94" t="str">
        <f>'Resultater - Vestdanmark'!F34</f>
        <v>CO2 - HWP</v>
      </c>
      <c r="G34" s="94" t="str">
        <f>'Resultater - Vestdanmark'!G34</f>
        <v>t CO2-ækvivalenter</v>
      </c>
      <c r="H34" s="252">
        <f ca="1">'Resultater - Vestdanmark'!H34+'Resultater - Østdanmark'!H34</f>
        <v>0</v>
      </c>
      <c r="I34" s="253">
        <f ca="1">'Resultater - Vestdanmark'!I34+'Resultater - Østdanmark'!I34</f>
        <v>0</v>
      </c>
      <c r="J34" s="254">
        <f ca="1">'Resultater - Vestdanmark'!J34+'Resultater - Østdanmark'!J34</f>
        <v>0</v>
      </c>
    </row>
    <row r="35" spans="1:10" x14ac:dyDescent="0.25">
      <c r="A35" s="94" t="str">
        <f>'Resultater - Vestdanmark'!A35</f>
        <v>Skovproduktion</v>
      </c>
      <c r="B35" s="94" t="str">
        <f>'Resultater - Vestdanmark'!B35</f>
        <v/>
      </c>
      <c r="C35" s="94" t="str">
        <f>'Resultater - Vestdanmark'!C35</f>
        <v>Skovtype2</v>
      </c>
      <c r="D35" s="94" t="str">
        <f>'Resultater - Vestdanmark'!D35</f>
        <v>Areal-skovtype2-20</v>
      </c>
      <c r="E35" s="94" t="str">
        <f>'Resultater - Vestdanmark'!E35</f>
        <v>Hektar</v>
      </c>
      <c r="F35" s="94" t="str">
        <f>'Resultater - Vestdanmark'!F35</f>
        <v>Træer</v>
      </c>
      <c r="G35" s="94" t="str">
        <f>'Resultater - Vestdanmark'!G35</f>
        <v>m3</v>
      </c>
      <c r="H35" s="252">
        <f ca="1">'Resultater - Vestdanmark'!H35+'Resultater - Østdanmark'!H35</f>
        <v>0</v>
      </c>
      <c r="I35" s="253">
        <f ca="1">'Resultater - Vestdanmark'!I35+'Resultater - Østdanmark'!I35</f>
        <v>14543.980169902705</v>
      </c>
      <c r="J35" s="254">
        <f ca="1">'Resultater - Vestdanmark'!J35+'Resultater - Østdanmark'!J35</f>
        <v>91624.278695010435</v>
      </c>
    </row>
    <row r="36" spans="1:10" x14ac:dyDescent="0.25">
      <c r="A36" s="94" t="str">
        <f>'Resultater - Vestdanmark'!A36</f>
        <v>Skovproduktion</v>
      </c>
      <c r="B36" s="94" t="str">
        <f>'Resultater - Vestdanmark'!B36</f>
        <v/>
      </c>
      <c r="C36" s="94" t="str">
        <f>'Resultater - Vestdanmark'!C36</f>
        <v>Skovtype2</v>
      </c>
      <c r="D36" s="94" t="str">
        <f>'Resultater - Vestdanmark'!D36</f>
        <v>Areal-skovtype2-20</v>
      </c>
      <c r="E36" s="94" t="str">
        <f>'Resultater - Vestdanmark'!E36</f>
        <v>Hektar</v>
      </c>
      <c r="F36" s="94" t="str">
        <f>'Resultater - Vestdanmark'!F36</f>
        <v>Træ til energi</v>
      </c>
      <c r="G36" s="94" t="str">
        <f>'Resultater - Vestdanmark'!G36</f>
        <v>m3</v>
      </c>
      <c r="H36" s="252">
        <f ca="1">'Resultater - Vestdanmark'!H36+'Resultater - Østdanmark'!H36</f>
        <v>0</v>
      </c>
      <c r="I36" s="253">
        <f ca="1">'Resultater - Vestdanmark'!I36+'Resultater - Østdanmark'!I36</f>
        <v>3635.9950424756757</v>
      </c>
      <c r="J36" s="254">
        <f ca="1">'Resultater - Vestdanmark'!J36+'Resultater - Østdanmark'!J36</f>
        <v>22906.069673752601</v>
      </c>
    </row>
    <row r="37" spans="1:10" x14ac:dyDescent="0.25">
      <c r="A37" s="94" t="str">
        <f>'Resultater - Vestdanmark'!A37</f>
        <v>Skovproduktion</v>
      </c>
      <c r="B37" s="94" t="str">
        <f>'Resultater - Vestdanmark'!B37</f>
        <v/>
      </c>
      <c r="C37" s="94" t="str">
        <f>'Resultater - Vestdanmark'!C37</f>
        <v>Skovtype2</v>
      </c>
      <c r="D37" s="94" t="str">
        <f>'Resultater - Vestdanmark'!D37</f>
        <v>Areal-skovtype2-20</v>
      </c>
      <c r="E37" s="94" t="str">
        <f>'Resultater - Vestdanmark'!E37</f>
        <v>Hektar</v>
      </c>
      <c r="F37" s="94" t="str">
        <f>'Resultater - Vestdanmark'!F37</f>
        <v>CO2 - atmosfære</v>
      </c>
      <c r="G37" s="94" t="str">
        <f>'Resultater - Vestdanmark'!G37</f>
        <v>t CO2-ækvivalenter</v>
      </c>
      <c r="H37" s="252">
        <f ca="1">'Resultater - Vestdanmark'!H37+'Resultater - Østdanmark'!H37</f>
        <v>0</v>
      </c>
      <c r="I37" s="253">
        <f ca="1">'Resultater - Vestdanmark'!I37+'Resultater - Østdanmark'!I37</f>
        <v>-101909.24953405237</v>
      </c>
      <c r="J37" s="254">
        <f ca="1">'Resultater - Vestdanmark'!J37+'Resultater - Østdanmark'!J37</f>
        <v>-642008.67794292653</v>
      </c>
    </row>
    <row r="38" spans="1:10" x14ac:dyDescent="0.25">
      <c r="A38" s="94" t="str">
        <f>'Resultater - Vestdanmark'!A38</f>
        <v>Skovproduktion</v>
      </c>
      <c r="B38" s="94" t="str">
        <f>'Resultater - Vestdanmark'!B38</f>
        <v/>
      </c>
      <c r="C38" s="94" t="str">
        <f>'Resultater - Vestdanmark'!C38</f>
        <v>Skovtype2</v>
      </c>
      <c r="D38" s="94" t="str">
        <f>'Resultater - Vestdanmark'!D38</f>
        <v>Areal-skovtype2-20</v>
      </c>
      <c r="E38" s="94" t="str">
        <f>'Resultater - Vestdanmark'!E38</f>
        <v>Hektar</v>
      </c>
      <c r="F38" s="94" t="str">
        <f>'Resultater - Vestdanmark'!F38</f>
        <v>CO2 - HWP</v>
      </c>
      <c r="G38" s="94" t="str">
        <f>'Resultater - Vestdanmark'!G38</f>
        <v>t CO2-ækvivalenter</v>
      </c>
      <c r="H38" s="252">
        <f ca="1">'Resultater - Vestdanmark'!H38+'Resultater - Østdanmark'!H38</f>
        <v>0</v>
      </c>
      <c r="I38" s="253">
        <f ca="1">'Resultater - Vestdanmark'!I38+'Resultater - Østdanmark'!I38</f>
        <v>-91718.324580647168</v>
      </c>
      <c r="J38" s="254">
        <f ca="1">'Resultater - Vestdanmark'!J38+'Resultater - Østdanmark'!J38</f>
        <v>-577807.81014863402</v>
      </c>
    </row>
    <row r="39" spans="1:10" x14ac:dyDescent="0.25">
      <c r="A39" s="94" t="str">
        <f>'Resultater - Vestdanmark'!A39</f>
        <v>Skovproduktion</v>
      </c>
      <c r="B39" s="94" t="str">
        <f>'Resultater - Vestdanmark'!B39</f>
        <v/>
      </c>
      <c r="C39" s="94" t="str">
        <f>'Resultater - Vestdanmark'!C39</f>
        <v>Skovtype2</v>
      </c>
      <c r="D39" s="94" t="str">
        <f>'Resultater - Vestdanmark'!D39</f>
        <v>Areal-skovtype2-30</v>
      </c>
      <c r="E39" s="94" t="str">
        <f>'Resultater - Vestdanmark'!E39</f>
        <v>Hektar</v>
      </c>
      <c r="F39" s="94" t="str">
        <f>'Resultater - Vestdanmark'!F39</f>
        <v>Træer</v>
      </c>
      <c r="G39" s="94" t="str">
        <f>'Resultater - Vestdanmark'!G39</f>
        <v>m3</v>
      </c>
      <c r="H39" s="252">
        <f ca="1">'Resultater - Vestdanmark'!H39+'Resultater - Østdanmark'!H39</f>
        <v>0</v>
      </c>
      <c r="I39" s="253">
        <f ca="1">'Resultater - Vestdanmark'!I39+'Resultater - Østdanmark'!I39</f>
        <v>0</v>
      </c>
      <c r="J39" s="254">
        <f ca="1">'Resultater - Vestdanmark'!J39+'Resultater - Østdanmark'!J39</f>
        <v>149480.974435896</v>
      </c>
    </row>
    <row r="40" spans="1:10" x14ac:dyDescent="0.25">
      <c r="A40" s="94" t="str">
        <f>'Resultater - Vestdanmark'!A40</f>
        <v>Skovproduktion</v>
      </c>
      <c r="B40" s="94" t="str">
        <f>'Resultater - Vestdanmark'!B40</f>
        <v/>
      </c>
      <c r="C40" s="94" t="str">
        <f>'Resultater - Vestdanmark'!C40</f>
        <v>Skovtype2</v>
      </c>
      <c r="D40" s="94" t="str">
        <f>'Resultater - Vestdanmark'!D40</f>
        <v>Areal-skovtype2-30</v>
      </c>
      <c r="E40" s="94" t="str">
        <f>'Resultater - Vestdanmark'!E40</f>
        <v>Hektar</v>
      </c>
      <c r="F40" s="94" t="str">
        <f>'Resultater - Vestdanmark'!F40</f>
        <v>Træ til energi</v>
      </c>
      <c r="G40" s="94" t="str">
        <f>'Resultater - Vestdanmark'!G40</f>
        <v>m3</v>
      </c>
      <c r="H40" s="252">
        <f ca="1">'Resultater - Vestdanmark'!H40+'Resultater - Østdanmark'!H40</f>
        <v>0</v>
      </c>
      <c r="I40" s="253">
        <f ca="1">'Resultater - Vestdanmark'!I40+'Resultater - Østdanmark'!I40</f>
        <v>0</v>
      </c>
      <c r="J40" s="254">
        <f ca="1">'Resultater - Vestdanmark'!J40+'Resultater - Østdanmark'!J40</f>
        <v>51743.414227810164</v>
      </c>
    </row>
    <row r="41" spans="1:10" x14ac:dyDescent="0.25">
      <c r="A41" s="94" t="str">
        <f>'Resultater - Vestdanmark'!A41</f>
        <v>Skovproduktion</v>
      </c>
      <c r="B41" s="94" t="str">
        <f>'Resultater - Vestdanmark'!B41</f>
        <v/>
      </c>
      <c r="C41" s="94" t="str">
        <f>'Resultater - Vestdanmark'!C41</f>
        <v>Skovtype2</v>
      </c>
      <c r="D41" s="94" t="str">
        <f>'Resultater - Vestdanmark'!D41</f>
        <v>Areal-skovtype2-30</v>
      </c>
      <c r="E41" s="94" t="str">
        <f>'Resultater - Vestdanmark'!E41</f>
        <v>Hektar</v>
      </c>
      <c r="F41" s="94" t="str">
        <f>'Resultater - Vestdanmark'!F41</f>
        <v>CO2 - atmosfære</v>
      </c>
      <c r="G41" s="94" t="str">
        <f>'Resultater - Vestdanmark'!G41</f>
        <v>t CO2-ækvivalenter</v>
      </c>
      <c r="H41" s="252">
        <f ca="1">'Resultater - Vestdanmark'!H41+'Resultater - Østdanmark'!H41</f>
        <v>0</v>
      </c>
      <c r="I41" s="253">
        <f ca="1">'Resultater - Vestdanmark'!I41+'Resultater - Østdanmark'!I41</f>
        <v>0</v>
      </c>
      <c r="J41" s="254">
        <f ca="1">'Resultater - Vestdanmark'!J41+'Resultater - Østdanmark'!J41</f>
        <v>-30950.637522002849</v>
      </c>
    </row>
    <row r="42" spans="1:10" x14ac:dyDescent="0.25">
      <c r="A42" s="94" t="str">
        <f>'Resultater - Vestdanmark'!A42</f>
        <v>Skovproduktion</v>
      </c>
      <c r="B42" s="94" t="str">
        <f>'Resultater - Vestdanmark'!B42</f>
        <v/>
      </c>
      <c r="C42" s="94" t="str">
        <f>'Resultater - Vestdanmark'!C42</f>
        <v>Skovtype2</v>
      </c>
      <c r="D42" s="94" t="str">
        <f>'Resultater - Vestdanmark'!D42</f>
        <v>Areal-skovtype2-30</v>
      </c>
      <c r="E42" s="94" t="str">
        <f>'Resultater - Vestdanmark'!E42</f>
        <v>Hektar</v>
      </c>
      <c r="F42" s="94" t="str">
        <f>'Resultater - Vestdanmark'!F42</f>
        <v>CO2 - HWP</v>
      </c>
      <c r="G42" s="94" t="str">
        <f>'Resultater - Vestdanmark'!G42</f>
        <v>t CO2-ækvivalenter</v>
      </c>
      <c r="H42" s="252">
        <f ca="1">'Resultater - Vestdanmark'!H42+'Resultater - Østdanmark'!H42</f>
        <v>0</v>
      </c>
      <c r="I42" s="253">
        <f ca="1">'Resultater - Vestdanmark'!I42+'Resultater - Østdanmark'!I42</f>
        <v>0</v>
      </c>
      <c r="J42" s="254">
        <f ca="1">'Resultater - Vestdanmark'!J42+'Resultater - Østdanmark'!J42</f>
        <v>-942667.98852728668</v>
      </c>
    </row>
    <row r="43" spans="1:10" x14ac:dyDescent="0.25">
      <c r="A43" s="94" t="str">
        <f>'Resultater - Vestdanmark'!A43</f>
        <v>Skovproduktion</v>
      </c>
      <c r="B43" s="94" t="str">
        <f>'Resultater - Vestdanmark'!B43</f>
        <v/>
      </c>
      <c r="C43" s="94" t="str">
        <f>'Resultater - Vestdanmark'!C43</f>
        <v>Skovtype2</v>
      </c>
      <c r="D43" s="94" t="str">
        <f>'Resultater - Vestdanmark'!D43</f>
        <v>Areal-skovtype2-40</v>
      </c>
      <c r="E43" s="94" t="str">
        <f>'Resultater - Vestdanmark'!E43</f>
        <v>Hektar</v>
      </c>
      <c r="F43" s="94" t="str">
        <f>'Resultater - Vestdanmark'!F43</f>
        <v>Træer</v>
      </c>
      <c r="G43" s="94" t="str">
        <f>'Resultater - Vestdanmark'!G43</f>
        <v>m3</v>
      </c>
      <c r="H43" s="252">
        <f ca="1">'Resultater - Vestdanmark'!H43+'Resultater - Østdanmark'!H43</f>
        <v>0</v>
      </c>
      <c r="I43" s="253">
        <f ca="1">'Resultater - Vestdanmark'!I43+'Resultater - Østdanmark'!I43</f>
        <v>0</v>
      </c>
      <c r="J43" s="254">
        <f ca="1">'Resultater - Vestdanmark'!J43+'Resultater - Østdanmark'!J43</f>
        <v>6847.2122918841105</v>
      </c>
    </row>
    <row r="44" spans="1:10" x14ac:dyDescent="0.25">
      <c r="A44" s="94" t="str">
        <f>'Resultater - Vestdanmark'!A44</f>
        <v>Skovproduktion</v>
      </c>
      <c r="B44" s="94" t="str">
        <f>'Resultater - Vestdanmark'!B44</f>
        <v/>
      </c>
      <c r="C44" s="94" t="str">
        <f>'Resultater - Vestdanmark'!C44</f>
        <v>Skovtype2</v>
      </c>
      <c r="D44" s="94" t="str">
        <f>'Resultater - Vestdanmark'!D44</f>
        <v>Areal-skovtype2-40</v>
      </c>
      <c r="E44" s="94" t="str">
        <f>'Resultater - Vestdanmark'!E44</f>
        <v>Hektar</v>
      </c>
      <c r="F44" s="94" t="str">
        <f>'Resultater - Vestdanmark'!F44</f>
        <v>Træ til energi</v>
      </c>
      <c r="G44" s="94" t="str">
        <f>'Resultater - Vestdanmark'!G44</f>
        <v>m3</v>
      </c>
      <c r="H44" s="252">
        <f ca="1">'Resultater - Vestdanmark'!H44+'Resultater - Østdanmark'!H44</f>
        <v>0</v>
      </c>
      <c r="I44" s="253">
        <f ca="1">'Resultater - Vestdanmark'!I44+'Resultater - Østdanmark'!I44</f>
        <v>0</v>
      </c>
      <c r="J44" s="254">
        <f ca="1">'Resultater - Vestdanmark'!J44+'Resultater - Østdanmark'!J44</f>
        <v>3423.6061459420562</v>
      </c>
    </row>
    <row r="45" spans="1:10" x14ac:dyDescent="0.25">
      <c r="A45" s="94" t="str">
        <f>'Resultater - Vestdanmark'!A45</f>
        <v>Skovproduktion</v>
      </c>
      <c r="B45" s="94" t="str">
        <f>'Resultater - Vestdanmark'!B45</f>
        <v/>
      </c>
      <c r="C45" s="94" t="str">
        <f>'Resultater - Vestdanmark'!C45</f>
        <v>Skovtype2</v>
      </c>
      <c r="D45" s="94" t="str">
        <f>'Resultater - Vestdanmark'!D45</f>
        <v>Areal-skovtype2-40</v>
      </c>
      <c r="E45" s="94" t="str">
        <f>'Resultater - Vestdanmark'!E45</f>
        <v>Hektar</v>
      </c>
      <c r="F45" s="94" t="str">
        <f>'Resultater - Vestdanmark'!F45</f>
        <v>CO2 - atmosfære</v>
      </c>
      <c r="G45" s="94" t="str">
        <f>'Resultater - Vestdanmark'!G45</f>
        <v>t CO2-ækvivalenter</v>
      </c>
      <c r="H45" s="252">
        <f ca="1">'Resultater - Vestdanmark'!H45+'Resultater - Østdanmark'!H45</f>
        <v>0</v>
      </c>
      <c r="I45" s="253">
        <f ca="1">'Resultater - Vestdanmark'!I45+'Resultater - Østdanmark'!I45</f>
        <v>0</v>
      </c>
      <c r="J45" s="254">
        <f ca="1">'Resultater - Vestdanmark'!J45+'Resultater - Østdanmark'!J45</f>
        <v>-77107.852002187923</v>
      </c>
    </row>
    <row r="46" spans="1:10" x14ac:dyDescent="0.25">
      <c r="A46" s="94" t="str">
        <f>'Resultater - Vestdanmark'!A46</f>
        <v>Skovproduktion</v>
      </c>
      <c r="B46" s="94" t="str">
        <f>'Resultater - Vestdanmark'!B46</f>
        <v/>
      </c>
      <c r="C46" s="94" t="str">
        <f>'Resultater - Vestdanmark'!C46</f>
        <v>Skovtype2</v>
      </c>
      <c r="D46" s="94" t="str">
        <f>'Resultater - Vestdanmark'!D46</f>
        <v>Areal-skovtype2-40</v>
      </c>
      <c r="E46" s="94" t="str">
        <f>'Resultater - Vestdanmark'!E46</f>
        <v>Hektar</v>
      </c>
      <c r="F46" s="94" t="str">
        <f>'Resultater - Vestdanmark'!F46</f>
        <v>CO2 - HWP</v>
      </c>
      <c r="G46" s="94" t="str">
        <f>'Resultater - Vestdanmark'!G46</f>
        <v>t CO2-ækvivalenter</v>
      </c>
      <c r="H46" s="252">
        <f ca="1">'Resultater - Vestdanmark'!H46+'Resultater - Østdanmark'!H46</f>
        <v>0</v>
      </c>
      <c r="I46" s="253">
        <f ca="1">'Resultater - Vestdanmark'!I46+'Resultater - Østdanmark'!I46</f>
        <v>0</v>
      </c>
      <c r="J46" s="254">
        <f ca="1">'Resultater - Vestdanmark'!J46+'Resultater - Østdanmark'!J46</f>
        <v>-43180.397121225236</v>
      </c>
    </row>
    <row r="47" spans="1:10" x14ac:dyDescent="0.25">
      <c r="A47" s="94" t="str">
        <f>'Resultater - Vestdanmark'!A47</f>
        <v>Skovproduktion</v>
      </c>
      <c r="B47" s="94" t="str">
        <f>'Resultater - Vestdanmark'!B47</f>
        <v/>
      </c>
      <c r="C47" s="94" t="str">
        <f>'Resultater - Vestdanmark'!C47</f>
        <v>Skovtype3</v>
      </c>
      <c r="D47" s="94" t="str">
        <f>'Resultater - Vestdanmark'!D47</f>
        <v>Areal-skovtype3-10</v>
      </c>
      <c r="E47" s="94" t="str">
        <f>'Resultater - Vestdanmark'!E47</f>
        <v>Hektar</v>
      </c>
      <c r="F47" s="94" t="str">
        <f>'Resultater - Vestdanmark'!F47</f>
        <v>Træer</v>
      </c>
      <c r="G47" s="94" t="str">
        <f>'Resultater - Vestdanmark'!G47</f>
        <v>m3</v>
      </c>
      <c r="H47" s="252">
        <f ca="1">'Resultater - Vestdanmark'!H47+'Resultater - Østdanmark'!H47</f>
        <v>0</v>
      </c>
      <c r="I47" s="253">
        <f ca="1">'Resultater - Vestdanmark'!I47+'Resultater - Østdanmark'!I47</f>
        <v>0</v>
      </c>
      <c r="J47" s="254">
        <f ca="1">'Resultater - Vestdanmark'!J47+'Resultater - Østdanmark'!J47</f>
        <v>0</v>
      </c>
    </row>
    <row r="48" spans="1:10" x14ac:dyDescent="0.25">
      <c r="A48" s="94" t="str">
        <f>'Resultater - Vestdanmark'!A48</f>
        <v>Skovproduktion</v>
      </c>
      <c r="B48" s="94" t="str">
        <f>'Resultater - Vestdanmark'!B48</f>
        <v/>
      </c>
      <c r="C48" s="94" t="str">
        <f>'Resultater - Vestdanmark'!C48</f>
        <v>Skovtype3</v>
      </c>
      <c r="D48" s="94" t="str">
        <f>'Resultater - Vestdanmark'!D48</f>
        <v>Areal-skovtype3-10</v>
      </c>
      <c r="E48" s="94" t="str">
        <f>'Resultater - Vestdanmark'!E48</f>
        <v>Hektar</v>
      </c>
      <c r="F48" s="94" t="str">
        <f>'Resultater - Vestdanmark'!F48</f>
        <v>Træ til energi</v>
      </c>
      <c r="G48" s="94" t="str">
        <f>'Resultater - Vestdanmark'!G48</f>
        <v>m3</v>
      </c>
      <c r="H48" s="252">
        <f ca="1">'Resultater - Vestdanmark'!H48+'Resultater - Østdanmark'!H48</f>
        <v>0</v>
      </c>
      <c r="I48" s="253">
        <f ca="1">'Resultater - Vestdanmark'!I48+'Resultater - Østdanmark'!I48</f>
        <v>0</v>
      </c>
      <c r="J48" s="254">
        <f ca="1">'Resultater - Vestdanmark'!J48+'Resultater - Østdanmark'!J48</f>
        <v>0</v>
      </c>
    </row>
    <row r="49" spans="1:10" x14ac:dyDescent="0.25">
      <c r="A49" s="94" t="str">
        <f>'Resultater - Vestdanmark'!A49</f>
        <v>Skovproduktion</v>
      </c>
      <c r="B49" s="94" t="str">
        <f>'Resultater - Vestdanmark'!B49</f>
        <v/>
      </c>
      <c r="C49" s="94" t="str">
        <f>'Resultater - Vestdanmark'!C49</f>
        <v>Skovtype3</v>
      </c>
      <c r="D49" s="94" t="str">
        <f>'Resultater - Vestdanmark'!D49</f>
        <v>Areal-skovtype3-10</v>
      </c>
      <c r="E49" s="94" t="str">
        <f>'Resultater - Vestdanmark'!E49</f>
        <v>Hektar</v>
      </c>
      <c r="F49" s="94" t="str">
        <f>'Resultater - Vestdanmark'!F49</f>
        <v>CO2 - atmosfære</v>
      </c>
      <c r="G49" s="94" t="str">
        <f>'Resultater - Vestdanmark'!G49</f>
        <v>t CO2-ækvivalenter</v>
      </c>
      <c r="H49" s="252">
        <f ca="1">'Resultater - Vestdanmark'!H49+'Resultater - Østdanmark'!H49</f>
        <v>0</v>
      </c>
      <c r="I49" s="253">
        <f ca="1">'Resultater - Vestdanmark'!I49+'Resultater - Østdanmark'!I49</f>
        <v>-17624.379300435641</v>
      </c>
      <c r="J49" s="254">
        <f ca="1">'Resultater - Vestdanmark'!J49+'Resultater - Østdanmark'!J49</f>
        <v>-10909.339284690943</v>
      </c>
    </row>
    <row r="50" spans="1:10" x14ac:dyDescent="0.25">
      <c r="A50" s="94" t="str">
        <f>'Resultater - Vestdanmark'!A50</f>
        <v>Skovproduktion</v>
      </c>
      <c r="B50" s="94" t="str">
        <f>'Resultater - Vestdanmark'!B50</f>
        <v/>
      </c>
      <c r="C50" s="94" t="str">
        <f>'Resultater - Vestdanmark'!C50</f>
        <v>Skovtype3</v>
      </c>
      <c r="D50" s="94" t="str">
        <f>'Resultater - Vestdanmark'!D50</f>
        <v>Areal-skovtype3-10</v>
      </c>
      <c r="E50" s="94" t="str">
        <f>'Resultater - Vestdanmark'!E50</f>
        <v>Hektar</v>
      </c>
      <c r="F50" s="94" t="str">
        <f>'Resultater - Vestdanmark'!F50</f>
        <v>CO2 - HWP</v>
      </c>
      <c r="G50" s="94" t="str">
        <f>'Resultater - Vestdanmark'!G50</f>
        <v>t CO2-ækvivalenter</v>
      </c>
      <c r="H50" s="252">
        <f ca="1">'Resultater - Vestdanmark'!H50+'Resultater - Østdanmark'!H50</f>
        <v>0</v>
      </c>
      <c r="I50" s="253">
        <f ca="1">'Resultater - Vestdanmark'!I50+'Resultater - Østdanmark'!I50</f>
        <v>0</v>
      </c>
      <c r="J50" s="254">
        <f ca="1">'Resultater - Vestdanmark'!J50+'Resultater - Østdanmark'!J50</f>
        <v>0</v>
      </c>
    </row>
    <row r="51" spans="1:10" x14ac:dyDescent="0.25">
      <c r="A51" s="94" t="str">
        <f>'Resultater - Vestdanmark'!A51</f>
        <v>Skovproduktion</v>
      </c>
      <c r="B51" s="94" t="str">
        <f>'Resultater - Vestdanmark'!B51</f>
        <v/>
      </c>
      <c r="C51" s="94" t="str">
        <f>'Resultater - Vestdanmark'!C51</f>
        <v>Skovtype3</v>
      </c>
      <c r="D51" s="94" t="str">
        <f>'Resultater - Vestdanmark'!D51</f>
        <v>Areal-skovtype3-20</v>
      </c>
      <c r="E51" s="94" t="str">
        <f>'Resultater - Vestdanmark'!E51</f>
        <v>Hektar</v>
      </c>
      <c r="F51" s="94" t="str">
        <f>'Resultater - Vestdanmark'!F51</f>
        <v>Træer</v>
      </c>
      <c r="G51" s="94" t="str">
        <f>'Resultater - Vestdanmark'!G51</f>
        <v>m3</v>
      </c>
      <c r="H51" s="252">
        <f ca="1">'Resultater - Vestdanmark'!H51+'Resultater - Østdanmark'!H51</f>
        <v>0</v>
      </c>
      <c r="I51" s="253">
        <f ca="1">'Resultater - Vestdanmark'!I51+'Resultater - Østdanmark'!I51</f>
        <v>0</v>
      </c>
      <c r="J51" s="254">
        <f ca="1">'Resultater - Vestdanmark'!J51+'Resultater - Østdanmark'!J51</f>
        <v>0</v>
      </c>
    </row>
    <row r="52" spans="1:10" x14ac:dyDescent="0.25">
      <c r="A52" s="94" t="str">
        <f>'Resultater - Vestdanmark'!A52</f>
        <v>Skovproduktion</v>
      </c>
      <c r="B52" s="94" t="str">
        <f>'Resultater - Vestdanmark'!B52</f>
        <v/>
      </c>
      <c r="C52" s="94" t="str">
        <f>'Resultater - Vestdanmark'!C52</f>
        <v>Skovtype3</v>
      </c>
      <c r="D52" s="94" t="str">
        <f>'Resultater - Vestdanmark'!D52</f>
        <v>Areal-skovtype3-20</v>
      </c>
      <c r="E52" s="94" t="str">
        <f>'Resultater - Vestdanmark'!E52</f>
        <v>Hektar</v>
      </c>
      <c r="F52" s="94" t="str">
        <f>'Resultater - Vestdanmark'!F52</f>
        <v>Træ til energi</v>
      </c>
      <c r="G52" s="94" t="str">
        <f>'Resultater - Vestdanmark'!G52</f>
        <v>m3</v>
      </c>
      <c r="H52" s="252">
        <f ca="1">'Resultater - Vestdanmark'!H52+'Resultater - Østdanmark'!H52</f>
        <v>0</v>
      </c>
      <c r="I52" s="253">
        <f ca="1">'Resultater - Vestdanmark'!I52+'Resultater - Østdanmark'!I52</f>
        <v>0</v>
      </c>
      <c r="J52" s="254">
        <f ca="1">'Resultater - Vestdanmark'!J52+'Resultater - Østdanmark'!J52</f>
        <v>0</v>
      </c>
    </row>
    <row r="53" spans="1:10" x14ac:dyDescent="0.25">
      <c r="A53" s="94" t="str">
        <f>'Resultater - Vestdanmark'!A53</f>
        <v>Skovproduktion</v>
      </c>
      <c r="B53" s="94" t="str">
        <f>'Resultater - Vestdanmark'!B53</f>
        <v/>
      </c>
      <c r="C53" s="94" t="str">
        <f>'Resultater - Vestdanmark'!C53</f>
        <v>Skovtype3</v>
      </c>
      <c r="D53" s="94" t="str">
        <f>'Resultater - Vestdanmark'!D53</f>
        <v>Areal-skovtype3-20</v>
      </c>
      <c r="E53" s="94" t="str">
        <f>'Resultater - Vestdanmark'!E53</f>
        <v>Hektar</v>
      </c>
      <c r="F53" s="94" t="str">
        <f>'Resultater - Vestdanmark'!F53</f>
        <v>CO2 - atmosfære</v>
      </c>
      <c r="G53" s="94" t="str">
        <f>'Resultater - Vestdanmark'!G53</f>
        <v>t CO2-ækvivalenter</v>
      </c>
      <c r="H53" s="252">
        <f ca="1">'Resultater - Vestdanmark'!H53+'Resultater - Østdanmark'!H53</f>
        <v>0</v>
      </c>
      <c r="I53" s="253">
        <f ca="1">'Resultater - Vestdanmark'!I53+'Resultater - Østdanmark'!I53</f>
        <v>-3012.3333522727266</v>
      </c>
      <c r="J53" s="254">
        <f ca="1">'Resultater - Vestdanmark'!J53+'Resultater - Østdanmark'!J53</f>
        <v>-18810.735646070974</v>
      </c>
    </row>
    <row r="54" spans="1:10" x14ac:dyDescent="0.25">
      <c r="A54" s="94" t="str">
        <f>'Resultater - Vestdanmark'!A54</f>
        <v>Skovproduktion</v>
      </c>
      <c r="B54" s="94" t="str">
        <f>'Resultater - Vestdanmark'!B54</f>
        <v/>
      </c>
      <c r="C54" s="94" t="str">
        <f>'Resultater - Vestdanmark'!C54</f>
        <v>Skovtype3</v>
      </c>
      <c r="D54" s="94" t="str">
        <f>'Resultater - Vestdanmark'!D54</f>
        <v>Areal-skovtype3-20</v>
      </c>
      <c r="E54" s="94" t="str">
        <f>'Resultater - Vestdanmark'!E54</f>
        <v>Hektar</v>
      </c>
      <c r="F54" s="94" t="str">
        <f>'Resultater - Vestdanmark'!F54</f>
        <v>CO2 - HWP</v>
      </c>
      <c r="G54" s="94" t="str">
        <f>'Resultater - Vestdanmark'!G54</f>
        <v>t CO2-ækvivalenter</v>
      </c>
      <c r="H54" s="252">
        <f ca="1">'Resultater - Vestdanmark'!H54+'Resultater - Østdanmark'!H54</f>
        <v>0</v>
      </c>
      <c r="I54" s="253">
        <f ca="1">'Resultater - Vestdanmark'!I54+'Resultater - Østdanmark'!I54</f>
        <v>0</v>
      </c>
      <c r="J54" s="254">
        <f ca="1">'Resultater - Vestdanmark'!J54+'Resultater - Østdanmark'!J54</f>
        <v>0</v>
      </c>
    </row>
    <row r="55" spans="1:10" x14ac:dyDescent="0.25">
      <c r="A55" s="94" t="str">
        <f>'Resultater - Vestdanmark'!A55</f>
        <v>Skovproduktion</v>
      </c>
      <c r="B55" s="94" t="str">
        <f>'Resultater - Vestdanmark'!B55</f>
        <v/>
      </c>
      <c r="C55" s="94" t="str">
        <f>'Resultater - Vestdanmark'!C55</f>
        <v>Skovtype3</v>
      </c>
      <c r="D55" s="94" t="str">
        <f>'Resultater - Vestdanmark'!D55</f>
        <v>Areal-skovtype3-30</v>
      </c>
      <c r="E55" s="94" t="str">
        <f>'Resultater - Vestdanmark'!E55</f>
        <v>Hektar</v>
      </c>
      <c r="F55" s="94" t="str">
        <f>'Resultater - Vestdanmark'!F55</f>
        <v>Træer</v>
      </c>
      <c r="G55" s="94" t="str">
        <f>'Resultater - Vestdanmark'!G55</f>
        <v>m3</v>
      </c>
      <c r="H55" s="252">
        <f ca="1">'Resultater - Vestdanmark'!H55+'Resultater - Østdanmark'!H55</f>
        <v>0</v>
      </c>
      <c r="I55" s="253">
        <f ca="1">'Resultater - Vestdanmark'!I55+'Resultater - Østdanmark'!I55</f>
        <v>0</v>
      </c>
      <c r="J55" s="254">
        <f ca="1">'Resultater - Vestdanmark'!J55+'Resultater - Østdanmark'!J55</f>
        <v>0</v>
      </c>
    </row>
    <row r="56" spans="1:10" x14ac:dyDescent="0.25">
      <c r="A56" s="94" t="str">
        <f>'Resultater - Vestdanmark'!A56</f>
        <v>Skovproduktion</v>
      </c>
      <c r="B56" s="94" t="str">
        <f>'Resultater - Vestdanmark'!B56</f>
        <v/>
      </c>
      <c r="C56" s="94" t="str">
        <f>'Resultater - Vestdanmark'!C56</f>
        <v>Skovtype3</v>
      </c>
      <c r="D56" s="94" t="str">
        <f>'Resultater - Vestdanmark'!D56</f>
        <v>Areal-skovtype3-30</v>
      </c>
      <c r="E56" s="94" t="str">
        <f>'Resultater - Vestdanmark'!E56</f>
        <v>Hektar</v>
      </c>
      <c r="F56" s="94" t="str">
        <f>'Resultater - Vestdanmark'!F56</f>
        <v>Træ til energi</v>
      </c>
      <c r="G56" s="94" t="str">
        <f>'Resultater - Vestdanmark'!G56</f>
        <v>m3</v>
      </c>
      <c r="H56" s="252">
        <f ca="1">'Resultater - Vestdanmark'!H56+'Resultater - Østdanmark'!H56</f>
        <v>0</v>
      </c>
      <c r="I56" s="253">
        <f ca="1">'Resultater - Vestdanmark'!I56+'Resultater - Østdanmark'!I56</f>
        <v>0</v>
      </c>
      <c r="J56" s="254">
        <f ca="1">'Resultater - Vestdanmark'!J56+'Resultater - Østdanmark'!J56</f>
        <v>0</v>
      </c>
    </row>
    <row r="57" spans="1:10" x14ac:dyDescent="0.25">
      <c r="A57" s="94" t="str">
        <f>'Resultater - Vestdanmark'!A57</f>
        <v>Skovproduktion</v>
      </c>
      <c r="B57" s="94" t="str">
        <f>'Resultater - Vestdanmark'!B57</f>
        <v/>
      </c>
      <c r="C57" s="94" t="str">
        <f>'Resultater - Vestdanmark'!C57</f>
        <v>Skovtype3</v>
      </c>
      <c r="D57" s="94" t="str">
        <f>'Resultater - Vestdanmark'!D57</f>
        <v>Areal-skovtype3-30</v>
      </c>
      <c r="E57" s="94" t="str">
        <f>'Resultater - Vestdanmark'!E57</f>
        <v>Hektar</v>
      </c>
      <c r="F57" s="94" t="str">
        <f>'Resultater - Vestdanmark'!F57</f>
        <v>CO2 - atmosfære</v>
      </c>
      <c r="G57" s="94" t="str">
        <f>'Resultater - Vestdanmark'!G57</f>
        <v>t CO2-ækvivalenter</v>
      </c>
      <c r="H57" s="252">
        <f ca="1">'Resultater - Vestdanmark'!H57+'Resultater - Østdanmark'!H57</f>
        <v>0</v>
      </c>
      <c r="I57" s="253">
        <f ca="1">'Resultater - Vestdanmark'!I57+'Resultater - Østdanmark'!I57</f>
        <v>0</v>
      </c>
      <c r="J57" s="254">
        <f ca="1">'Resultater - Vestdanmark'!J57+'Resultater - Østdanmark'!J57</f>
        <v>-96934.086152396034</v>
      </c>
    </row>
    <row r="58" spans="1:10" x14ac:dyDescent="0.25">
      <c r="A58" s="94" t="str">
        <f>'Resultater - Vestdanmark'!A58</f>
        <v>Skovproduktion</v>
      </c>
      <c r="B58" s="94" t="str">
        <f>'Resultater - Vestdanmark'!B58</f>
        <v/>
      </c>
      <c r="C58" s="94" t="str">
        <f>'Resultater - Vestdanmark'!C58</f>
        <v>Skovtype3</v>
      </c>
      <c r="D58" s="94" t="str">
        <f>'Resultater - Vestdanmark'!D58</f>
        <v>Areal-skovtype3-30</v>
      </c>
      <c r="E58" s="94" t="str">
        <f>'Resultater - Vestdanmark'!E58</f>
        <v>Hektar</v>
      </c>
      <c r="F58" s="94" t="str">
        <f>'Resultater - Vestdanmark'!F58</f>
        <v>CO2 - HWP</v>
      </c>
      <c r="G58" s="94" t="str">
        <f>'Resultater - Vestdanmark'!G58</f>
        <v>t CO2-ækvivalenter</v>
      </c>
      <c r="H58" s="252">
        <f ca="1">'Resultater - Vestdanmark'!H58+'Resultater - Østdanmark'!H58</f>
        <v>0</v>
      </c>
      <c r="I58" s="253">
        <f ca="1">'Resultater - Vestdanmark'!I58+'Resultater - Østdanmark'!I58</f>
        <v>0</v>
      </c>
      <c r="J58" s="254">
        <f ca="1">'Resultater - Vestdanmark'!J58+'Resultater - Østdanmark'!J58</f>
        <v>0</v>
      </c>
    </row>
    <row r="59" spans="1:10" x14ac:dyDescent="0.25">
      <c r="A59" s="94" t="str">
        <f>'Resultater - Vestdanmark'!A59</f>
        <v>Skovproduktion</v>
      </c>
      <c r="B59" s="94" t="str">
        <f>'Resultater - Vestdanmark'!B59</f>
        <v/>
      </c>
      <c r="C59" s="94" t="str">
        <f>'Resultater - Vestdanmark'!C59</f>
        <v>Skovtype3</v>
      </c>
      <c r="D59" s="94" t="str">
        <f>'Resultater - Vestdanmark'!D59</f>
        <v>Areal-skovtype3-40</v>
      </c>
      <c r="E59" s="94" t="str">
        <f>'Resultater - Vestdanmark'!E59</f>
        <v>Hektar</v>
      </c>
      <c r="F59" s="94" t="str">
        <f>'Resultater - Vestdanmark'!F59</f>
        <v>Træer</v>
      </c>
      <c r="G59" s="94" t="str">
        <f>'Resultater - Vestdanmark'!G59</f>
        <v>m3</v>
      </c>
      <c r="H59" s="252">
        <f ca="1">'Resultater - Vestdanmark'!H59+'Resultater - Østdanmark'!H59</f>
        <v>0</v>
      </c>
      <c r="I59" s="253">
        <f ca="1">'Resultater - Vestdanmark'!I59+'Resultater - Østdanmark'!I59</f>
        <v>0</v>
      </c>
      <c r="J59" s="254">
        <f ca="1">'Resultater - Vestdanmark'!J59+'Resultater - Østdanmark'!J59</f>
        <v>989.43856058566405</v>
      </c>
    </row>
    <row r="60" spans="1:10" x14ac:dyDescent="0.25">
      <c r="A60" s="94" t="str">
        <f>'Resultater - Vestdanmark'!A60</f>
        <v>Skovproduktion</v>
      </c>
      <c r="B60" s="94" t="str">
        <f>'Resultater - Vestdanmark'!B60</f>
        <v/>
      </c>
      <c r="C60" s="94" t="str">
        <f>'Resultater - Vestdanmark'!C60</f>
        <v>Skovtype3</v>
      </c>
      <c r="D60" s="94" t="str">
        <f>'Resultater - Vestdanmark'!D60</f>
        <v>Areal-skovtype3-40</v>
      </c>
      <c r="E60" s="94" t="str">
        <f>'Resultater - Vestdanmark'!E60</f>
        <v>Hektar</v>
      </c>
      <c r="F60" s="94" t="str">
        <f>'Resultater - Vestdanmark'!F60</f>
        <v>Træ til energi</v>
      </c>
      <c r="G60" s="94" t="str">
        <f>'Resultater - Vestdanmark'!G60</f>
        <v>m3</v>
      </c>
      <c r="H60" s="252">
        <f ca="1">'Resultater - Vestdanmark'!H60+'Resultater - Østdanmark'!H60</f>
        <v>0</v>
      </c>
      <c r="I60" s="253">
        <f ca="1">'Resultater - Vestdanmark'!I60+'Resultater - Østdanmark'!I60</f>
        <v>0</v>
      </c>
      <c r="J60" s="254">
        <f ca="1">'Resultater - Vestdanmark'!J60+'Resultater - Østdanmark'!J60</f>
        <v>539.6937603194533</v>
      </c>
    </row>
    <row r="61" spans="1:10" x14ac:dyDescent="0.25">
      <c r="A61" s="94" t="str">
        <f>'Resultater - Vestdanmark'!A61</f>
        <v>Skovproduktion</v>
      </c>
      <c r="B61" s="94" t="str">
        <f>'Resultater - Vestdanmark'!B61</f>
        <v/>
      </c>
      <c r="C61" s="94" t="str">
        <f>'Resultater - Vestdanmark'!C61</f>
        <v>Skovtype3</v>
      </c>
      <c r="D61" s="94" t="str">
        <f>'Resultater - Vestdanmark'!D61</f>
        <v>Areal-skovtype3-40</v>
      </c>
      <c r="E61" s="94" t="str">
        <f>'Resultater - Vestdanmark'!E61</f>
        <v>Hektar</v>
      </c>
      <c r="F61" s="94" t="str">
        <f>'Resultater - Vestdanmark'!F61</f>
        <v>CO2 - atmosfære</v>
      </c>
      <c r="G61" s="94" t="str">
        <f>'Resultater - Vestdanmark'!G61</f>
        <v>t CO2-ækvivalenter</v>
      </c>
      <c r="H61" s="252">
        <f ca="1">'Resultater - Vestdanmark'!H61+'Resultater - Østdanmark'!H61</f>
        <v>0</v>
      </c>
      <c r="I61" s="253">
        <f ca="1">'Resultater - Vestdanmark'!I61+'Resultater - Østdanmark'!I61</f>
        <v>0</v>
      </c>
      <c r="J61" s="254">
        <f ca="1">'Resultater - Vestdanmark'!J61+'Resultater - Østdanmark'!J61</f>
        <v>-9374.3169573347095</v>
      </c>
    </row>
    <row r="62" spans="1:10" x14ac:dyDescent="0.25">
      <c r="A62" s="94" t="str">
        <f>'Resultater - Vestdanmark'!A62</f>
        <v>Skovproduktion</v>
      </c>
      <c r="B62" s="94" t="str">
        <f>'Resultater - Vestdanmark'!B62</f>
        <v/>
      </c>
      <c r="C62" s="94" t="str">
        <f>'Resultater - Vestdanmark'!C62</f>
        <v>Skovtype3</v>
      </c>
      <c r="D62" s="94" t="str">
        <f>'Resultater - Vestdanmark'!D62</f>
        <v>Areal-skovtype3-40</v>
      </c>
      <c r="E62" s="94" t="str">
        <f>'Resultater - Vestdanmark'!E62</f>
        <v>Hektar</v>
      </c>
      <c r="F62" s="94" t="str">
        <f>'Resultater - Vestdanmark'!F62</f>
        <v>CO2 - HWP</v>
      </c>
      <c r="G62" s="94" t="str">
        <f>'Resultater - Vestdanmark'!G62</f>
        <v>t CO2-ækvivalenter</v>
      </c>
      <c r="H62" s="252">
        <f ca="1">'Resultater - Vestdanmark'!H62+'Resultater - Østdanmark'!H62</f>
        <v>0</v>
      </c>
      <c r="I62" s="253">
        <f ca="1">'Resultater - Vestdanmark'!I62+'Resultater - Østdanmark'!I62</f>
        <v>0</v>
      </c>
      <c r="J62" s="254">
        <f ca="1">'Resultater - Vestdanmark'!J62+'Resultater - Østdanmark'!J62</f>
        <v>-1831.1651326203205</v>
      </c>
    </row>
    <row r="63" spans="1:10" x14ac:dyDescent="0.25">
      <c r="A63" s="94" t="str">
        <f>'Resultater - Vestdanmark'!A63</f>
        <v>Skovproduktion</v>
      </c>
      <c r="B63" s="94" t="str">
        <f>'Resultater - Vestdanmark'!B63</f>
        <v/>
      </c>
      <c r="C63" s="94" t="str">
        <f>'Resultater - Vestdanmark'!C63</f>
        <v>Skovtype4</v>
      </c>
      <c r="D63" s="94" t="str">
        <f>'Resultater - Vestdanmark'!D63</f>
        <v>Areal-skovtype4-10</v>
      </c>
      <c r="E63" s="94" t="str">
        <f>'Resultater - Vestdanmark'!E63</f>
        <v>Hektar</v>
      </c>
      <c r="F63" s="94" t="str">
        <f>'Resultater - Vestdanmark'!F63</f>
        <v>Træer</v>
      </c>
      <c r="G63" s="94" t="str">
        <f>'Resultater - Vestdanmark'!G63</f>
        <v>m3</v>
      </c>
      <c r="H63" s="252">
        <f ca="1">'Resultater - Vestdanmark'!H63+'Resultater - Østdanmark'!H63</f>
        <v>0</v>
      </c>
      <c r="I63" s="253">
        <f ca="1">'Resultater - Vestdanmark'!I63+'Resultater - Østdanmark'!I63</f>
        <v>0</v>
      </c>
      <c r="J63" s="254">
        <f ca="1">'Resultater - Vestdanmark'!J63+'Resultater - Østdanmark'!J63</f>
        <v>0</v>
      </c>
    </row>
    <row r="64" spans="1:10" x14ac:dyDescent="0.25">
      <c r="A64" s="94" t="str">
        <f>'Resultater - Vestdanmark'!A64</f>
        <v>Skovproduktion</v>
      </c>
      <c r="B64" s="94" t="str">
        <f>'Resultater - Vestdanmark'!B64</f>
        <v/>
      </c>
      <c r="C64" s="94" t="str">
        <f>'Resultater - Vestdanmark'!C64</f>
        <v>Skovtype4</v>
      </c>
      <c r="D64" s="94" t="str">
        <f>'Resultater - Vestdanmark'!D64</f>
        <v>Areal-skovtype4-10</v>
      </c>
      <c r="E64" s="94" t="str">
        <f>'Resultater - Vestdanmark'!E64</f>
        <v>Hektar</v>
      </c>
      <c r="F64" s="94" t="str">
        <f>'Resultater - Vestdanmark'!F64</f>
        <v>Træ til energi</v>
      </c>
      <c r="G64" s="94" t="str">
        <f>'Resultater - Vestdanmark'!G64</f>
        <v>m3</v>
      </c>
      <c r="H64" s="252">
        <f ca="1">'Resultater - Vestdanmark'!H64+'Resultater - Østdanmark'!H64</f>
        <v>0</v>
      </c>
      <c r="I64" s="253">
        <f ca="1">'Resultater - Vestdanmark'!I64+'Resultater - Østdanmark'!I64</f>
        <v>0</v>
      </c>
      <c r="J64" s="254">
        <f ca="1">'Resultater - Vestdanmark'!J64+'Resultater - Østdanmark'!J64</f>
        <v>0</v>
      </c>
    </row>
    <row r="65" spans="1:10" x14ac:dyDescent="0.25">
      <c r="A65" s="94" t="str">
        <f>'Resultater - Vestdanmark'!A65</f>
        <v>Skovproduktion</v>
      </c>
      <c r="B65" s="94" t="str">
        <f>'Resultater - Vestdanmark'!B65</f>
        <v/>
      </c>
      <c r="C65" s="94" t="str">
        <f>'Resultater - Vestdanmark'!C65</f>
        <v>Skovtype4</v>
      </c>
      <c r="D65" s="94" t="str">
        <f>'Resultater - Vestdanmark'!D65</f>
        <v>Areal-skovtype4-10</v>
      </c>
      <c r="E65" s="94" t="str">
        <f>'Resultater - Vestdanmark'!E65</f>
        <v>Hektar</v>
      </c>
      <c r="F65" s="94" t="str">
        <f>'Resultater - Vestdanmark'!F65</f>
        <v>CO2 - atmosfære</v>
      </c>
      <c r="G65" s="94" t="str">
        <f>'Resultater - Vestdanmark'!G65</f>
        <v>t CO2-ækvivalenter</v>
      </c>
      <c r="H65" s="252">
        <f ca="1">'Resultater - Vestdanmark'!H65+'Resultater - Østdanmark'!H65</f>
        <v>0</v>
      </c>
      <c r="I65" s="253">
        <f ca="1">'Resultater - Vestdanmark'!I65+'Resultater - Østdanmark'!I65</f>
        <v>-602886.79879022599</v>
      </c>
      <c r="J65" s="254">
        <f ca="1">'Resultater - Vestdanmark'!J65+'Resultater - Østdanmark'!J65</f>
        <v>-388113.52623808203</v>
      </c>
    </row>
    <row r="66" spans="1:10" x14ac:dyDescent="0.25">
      <c r="A66" s="94" t="str">
        <f>'Resultater - Vestdanmark'!A66</f>
        <v>Skovproduktion</v>
      </c>
      <c r="B66" s="94" t="str">
        <f>'Resultater - Vestdanmark'!B66</f>
        <v/>
      </c>
      <c r="C66" s="94" t="str">
        <f>'Resultater - Vestdanmark'!C66</f>
        <v>Skovtype4</v>
      </c>
      <c r="D66" s="94" t="str">
        <f>'Resultater - Vestdanmark'!D66</f>
        <v>Areal-skovtype4-10</v>
      </c>
      <c r="E66" s="94" t="str">
        <f>'Resultater - Vestdanmark'!E66</f>
        <v>Hektar</v>
      </c>
      <c r="F66" s="94" t="str">
        <f>'Resultater - Vestdanmark'!F66</f>
        <v>CO2 - HWP</v>
      </c>
      <c r="G66" s="94" t="str">
        <f>'Resultater - Vestdanmark'!G66</f>
        <v>t CO2-ækvivalenter</v>
      </c>
      <c r="H66" s="252">
        <f ca="1">'Resultater - Vestdanmark'!H66+'Resultater - Østdanmark'!H66</f>
        <v>0</v>
      </c>
      <c r="I66" s="253">
        <f ca="1">'Resultater - Vestdanmark'!I66+'Resultater - Østdanmark'!I66</f>
        <v>0</v>
      </c>
      <c r="J66" s="254">
        <f ca="1">'Resultater - Vestdanmark'!J66+'Resultater - Østdanmark'!J66</f>
        <v>0</v>
      </c>
    </row>
    <row r="67" spans="1:10" x14ac:dyDescent="0.25">
      <c r="A67" s="94" t="str">
        <f>'Resultater - Vestdanmark'!A67</f>
        <v>Skovproduktion</v>
      </c>
      <c r="B67" s="94" t="str">
        <f>'Resultater - Vestdanmark'!B67</f>
        <v/>
      </c>
      <c r="C67" s="94" t="str">
        <f>'Resultater - Vestdanmark'!C67</f>
        <v>Skovtype4</v>
      </c>
      <c r="D67" s="94" t="str">
        <f>'Resultater - Vestdanmark'!D67</f>
        <v>Areal-skovtype4-20</v>
      </c>
      <c r="E67" s="94" t="str">
        <f>'Resultater - Vestdanmark'!E67</f>
        <v>Hektar</v>
      </c>
      <c r="F67" s="94" t="str">
        <f>'Resultater - Vestdanmark'!F67</f>
        <v>Træer</v>
      </c>
      <c r="G67" s="94" t="str">
        <f>'Resultater - Vestdanmark'!G67</f>
        <v>m3</v>
      </c>
      <c r="H67" s="252">
        <f ca="1">'Resultater - Vestdanmark'!H67+'Resultater - Østdanmark'!H67</f>
        <v>0</v>
      </c>
      <c r="I67" s="253">
        <f ca="1">'Resultater - Vestdanmark'!I67+'Resultater - Østdanmark'!I67</f>
        <v>3690.900807011652</v>
      </c>
      <c r="J67" s="254">
        <f ca="1">'Resultater - Vestdanmark'!J67+'Resultater - Østdanmark'!J67</f>
        <v>23334.948652800496</v>
      </c>
    </row>
    <row r="68" spans="1:10" x14ac:dyDescent="0.25">
      <c r="A68" s="94" t="str">
        <f>'Resultater - Vestdanmark'!A68</f>
        <v>Skovproduktion</v>
      </c>
      <c r="B68" s="94" t="str">
        <f>'Resultater - Vestdanmark'!B68</f>
        <v/>
      </c>
      <c r="C68" s="94" t="str">
        <f>'Resultater - Vestdanmark'!C68</f>
        <v>Skovtype4</v>
      </c>
      <c r="D68" s="94" t="str">
        <f>'Resultater - Vestdanmark'!D68</f>
        <v>Areal-skovtype4-20</v>
      </c>
      <c r="E68" s="94" t="str">
        <f>'Resultater - Vestdanmark'!E68</f>
        <v>Hektar</v>
      </c>
      <c r="F68" s="94" t="str">
        <f>'Resultater - Vestdanmark'!F68</f>
        <v>Træ til energi</v>
      </c>
      <c r="G68" s="94" t="str">
        <f>'Resultater - Vestdanmark'!G68</f>
        <v>m3</v>
      </c>
      <c r="H68" s="252">
        <f ca="1">'Resultater - Vestdanmark'!H68+'Resultater - Østdanmark'!H68</f>
        <v>0</v>
      </c>
      <c r="I68" s="253">
        <f ca="1">'Resultater - Vestdanmark'!I68+'Resultater - Østdanmark'!I68</f>
        <v>12918.152824540775</v>
      </c>
      <c r="J68" s="254">
        <f ca="1">'Resultater - Vestdanmark'!J68+'Resultater - Østdanmark'!J68</f>
        <v>81672.320284801695</v>
      </c>
    </row>
    <row r="69" spans="1:10" x14ac:dyDescent="0.25">
      <c r="A69" s="94" t="str">
        <f>'Resultater - Vestdanmark'!A69</f>
        <v>Skovproduktion</v>
      </c>
      <c r="B69" s="94" t="str">
        <f>'Resultater - Vestdanmark'!B69</f>
        <v/>
      </c>
      <c r="C69" s="94" t="str">
        <f>'Resultater - Vestdanmark'!C69</f>
        <v>Skovtype4</v>
      </c>
      <c r="D69" s="94" t="str">
        <f>'Resultater - Vestdanmark'!D69</f>
        <v>Areal-skovtype4-20</v>
      </c>
      <c r="E69" s="94" t="str">
        <f>'Resultater - Vestdanmark'!E69</f>
        <v>Hektar</v>
      </c>
      <c r="F69" s="94" t="str">
        <f>'Resultater - Vestdanmark'!F69</f>
        <v>CO2 - atmosfære</v>
      </c>
      <c r="G69" s="94" t="str">
        <f>'Resultater - Vestdanmark'!G69</f>
        <v>t CO2-ækvivalenter</v>
      </c>
      <c r="H69" s="252">
        <f ca="1">'Resultater - Vestdanmark'!H69+'Resultater - Østdanmark'!H69</f>
        <v>0</v>
      </c>
      <c r="I69" s="253">
        <f ca="1">'Resultater - Vestdanmark'!I69+'Resultater - Østdanmark'!I69</f>
        <v>-50920.44841197339</v>
      </c>
      <c r="J69" s="254">
        <f ca="1">'Resultater - Vestdanmark'!J69+'Resultater - Østdanmark'!J69</f>
        <v>-321933.88855470927</v>
      </c>
    </row>
    <row r="70" spans="1:10" x14ac:dyDescent="0.25">
      <c r="A70" s="94" t="str">
        <f>'Resultater - Vestdanmark'!A70</f>
        <v>Skovproduktion</v>
      </c>
      <c r="B70" s="94" t="str">
        <f>'Resultater - Vestdanmark'!B70</f>
        <v/>
      </c>
      <c r="C70" s="94" t="str">
        <f>'Resultater - Vestdanmark'!C70</f>
        <v>Skovtype4</v>
      </c>
      <c r="D70" s="94" t="str">
        <f>'Resultater - Vestdanmark'!D70</f>
        <v>Areal-skovtype4-20</v>
      </c>
      <c r="E70" s="94" t="str">
        <f>'Resultater - Vestdanmark'!E70</f>
        <v>Hektar</v>
      </c>
      <c r="F70" s="94" t="str">
        <f>'Resultater - Vestdanmark'!F70</f>
        <v>CO2 - HWP</v>
      </c>
      <c r="G70" s="94" t="str">
        <f>'Resultater - Vestdanmark'!G70</f>
        <v>t CO2-ækvivalenter</v>
      </c>
      <c r="H70" s="252">
        <f ca="1">'Resultater - Vestdanmark'!H70+'Resultater - Østdanmark'!H70</f>
        <v>0</v>
      </c>
      <c r="I70" s="253">
        <f ca="1">'Resultater - Vestdanmark'!I70+'Resultater - Østdanmark'!I70</f>
        <v>-25460.224205986709</v>
      </c>
      <c r="J70" s="254">
        <f ca="1">'Resultater - Vestdanmark'!J70+'Resultater - Østdanmark'!J70</f>
        <v>-160966.94427735472</v>
      </c>
    </row>
    <row r="71" spans="1:10" x14ac:dyDescent="0.25">
      <c r="A71" s="94" t="str">
        <f>'Resultater - Vestdanmark'!A71</f>
        <v>Skovproduktion</v>
      </c>
      <c r="B71" s="94" t="str">
        <f>'Resultater - Vestdanmark'!B71</f>
        <v/>
      </c>
      <c r="C71" s="94" t="str">
        <f>'Resultater - Vestdanmark'!C71</f>
        <v>Skovtype4</v>
      </c>
      <c r="D71" s="94" t="str">
        <f>'Resultater - Vestdanmark'!D71</f>
        <v>Areal-skovtype4-30</v>
      </c>
      <c r="E71" s="94" t="str">
        <f>'Resultater - Vestdanmark'!E71</f>
        <v>Hektar</v>
      </c>
      <c r="F71" s="94" t="str">
        <f>'Resultater - Vestdanmark'!F71</f>
        <v>Træer</v>
      </c>
      <c r="G71" s="94" t="str">
        <f>'Resultater - Vestdanmark'!G71</f>
        <v>m3</v>
      </c>
      <c r="H71" s="252">
        <f ca="1">'Resultater - Vestdanmark'!H71+'Resultater - Østdanmark'!H71</f>
        <v>0</v>
      </c>
      <c r="I71" s="253">
        <f ca="1">'Resultater - Vestdanmark'!I71+'Resultater - Østdanmark'!I71</f>
        <v>0</v>
      </c>
      <c r="J71" s="254">
        <f ca="1">'Resultater - Vestdanmark'!J71+'Resultater - Østdanmark'!J71</f>
        <v>38490.358756869275</v>
      </c>
    </row>
    <row r="72" spans="1:10" x14ac:dyDescent="0.25">
      <c r="A72" s="94" t="str">
        <f>'Resultater - Vestdanmark'!A72</f>
        <v>Skovproduktion</v>
      </c>
      <c r="B72" s="94" t="str">
        <f>'Resultater - Vestdanmark'!B72</f>
        <v/>
      </c>
      <c r="C72" s="94" t="str">
        <f>'Resultater - Vestdanmark'!C72</f>
        <v>Skovtype4</v>
      </c>
      <c r="D72" s="94" t="str">
        <f>'Resultater - Vestdanmark'!D72</f>
        <v>Areal-skovtype4-30</v>
      </c>
      <c r="E72" s="94" t="str">
        <f>'Resultater - Vestdanmark'!E72</f>
        <v>Hektar</v>
      </c>
      <c r="F72" s="94" t="str">
        <f>'Resultater - Vestdanmark'!F72</f>
        <v>Træ til energi</v>
      </c>
      <c r="G72" s="94" t="str">
        <f>'Resultater - Vestdanmark'!G72</f>
        <v>m3</v>
      </c>
      <c r="H72" s="252">
        <f ca="1">'Resultater - Vestdanmark'!H72+'Resultater - Østdanmark'!H72</f>
        <v>0</v>
      </c>
      <c r="I72" s="253">
        <f ca="1">'Resultater - Vestdanmark'!I72+'Resultater - Østdanmark'!I72</f>
        <v>0</v>
      </c>
      <c r="J72" s="254">
        <f ca="1">'Resultater - Vestdanmark'!J72+'Resultater - Østdanmark'!J72</f>
        <v>50906.603517149684</v>
      </c>
    </row>
    <row r="73" spans="1:10" x14ac:dyDescent="0.25">
      <c r="A73" s="94" t="str">
        <f>'Resultater - Vestdanmark'!A73</f>
        <v>Skovproduktion</v>
      </c>
      <c r="B73" s="94" t="str">
        <f>'Resultater - Vestdanmark'!B73</f>
        <v/>
      </c>
      <c r="C73" s="94" t="str">
        <f>'Resultater - Vestdanmark'!C73</f>
        <v>Skovtype4</v>
      </c>
      <c r="D73" s="94" t="str">
        <f>'Resultater - Vestdanmark'!D73</f>
        <v>Areal-skovtype4-30</v>
      </c>
      <c r="E73" s="94" t="str">
        <f>'Resultater - Vestdanmark'!E73</f>
        <v>Hektar</v>
      </c>
      <c r="F73" s="94" t="str">
        <f>'Resultater - Vestdanmark'!F73</f>
        <v>CO2 - atmosfære</v>
      </c>
      <c r="G73" s="94" t="str">
        <f>'Resultater - Vestdanmark'!G73</f>
        <v>t CO2-ækvivalenter</v>
      </c>
      <c r="H73" s="252">
        <f ca="1">'Resultater - Vestdanmark'!H73+'Resultater - Østdanmark'!H73</f>
        <v>0</v>
      </c>
      <c r="I73" s="253">
        <f ca="1">'Resultater - Vestdanmark'!I73+'Resultater - Østdanmark'!I73</f>
        <v>0</v>
      </c>
      <c r="J73" s="254">
        <f ca="1">'Resultater - Vestdanmark'!J73+'Resultater - Østdanmark'!J73</f>
        <v>-277501.36615106347</v>
      </c>
    </row>
    <row r="74" spans="1:10" x14ac:dyDescent="0.25">
      <c r="A74" s="94" t="str">
        <f>'Resultater - Vestdanmark'!A74</f>
        <v>Skovproduktion</v>
      </c>
      <c r="B74" s="94" t="str">
        <f>'Resultater - Vestdanmark'!B74</f>
        <v/>
      </c>
      <c r="C74" s="94" t="str">
        <f>'Resultater - Vestdanmark'!C74</f>
        <v>Skovtype4</v>
      </c>
      <c r="D74" s="94" t="str">
        <f>'Resultater - Vestdanmark'!D74</f>
        <v>Areal-skovtype4-30</v>
      </c>
      <c r="E74" s="94" t="str">
        <f>'Resultater - Vestdanmark'!E74</f>
        <v>Hektar</v>
      </c>
      <c r="F74" s="94" t="str">
        <f>'Resultater - Vestdanmark'!F74</f>
        <v>CO2 - HWP</v>
      </c>
      <c r="G74" s="94" t="str">
        <f>'Resultater - Vestdanmark'!G74</f>
        <v>t CO2-ækvivalenter</v>
      </c>
      <c r="H74" s="252">
        <f ca="1">'Resultater - Vestdanmark'!H74+'Resultater - Østdanmark'!H74</f>
        <v>0</v>
      </c>
      <c r="I74" s="253">
        <f ca="1">'Resultater - Vestdanmark'!I74+'Resultater - Østdanmark'!I74</f>
        <v>0</v>
      </c>
      <c r="J74" s="254">
        <f ca="1">'Resultater - Vestdanmark'!J74+'Resultater - Østdanmark'!J74</f>
        <v>-265510.56637910393</v>
      </c>
    </row>
    <row r="75" spans="1:10" x14ac:dyDescent="0.25">
      <c r="A75" s="94" t="str">
        <f>'Resultater - Vestdanmark'!A75</f>
        <v>Skovproduktion</v>
      </c>
      <c r="B75" s="94" t="str">
        <f>'Resultater - Vestdanmark'!B75</f>
        <v/>
      </c>
      <c r="C75" s="94" t="str">
        <f>'Resultater - Vestdanmark'!C75</f>
        <v>Skovtype4</v>
      </c>
      <c r="D75" s="94" t="str">
        <f>'Resultater - Vestdanmark'!D75</f>
        <v>Areal-skovtype4-40</v>
      </c>
      <c r="E75" s="94" t="str">
        <f>'Resultater - Vestdanmark'!E75</f>
        <v>Hektar</v>
      </c>
      <c r="F75" s="94" t="str">
        <f>'Resultater - Vestdanmark'!F75</f>
        <v>Træer</v>
      </c>
      <c r="G75" s="94" t="str">
        <f>'Resultater - Vestdanmark'!G75</f>
        <v>m3</v>
      </c>
      <c r="H75" s="252">
        <f ca="1">'Resultater - Vestdanmark'!H75+'Resultater - Østdanmark'!H75</f>
        <v>0</v>
      </c>
      <c r="I75" s="253">
        <f ca="1">'Resultater - Vestdanmark'!I75+'Resultater - Østdanmark'!I75</f>
        <v>0</v>
      </c>
      <c r="J75" s="254">
        <f ca="1">'Resultater - Vestdanmark'!J75+'Resultater - Østdanmark'!J75</f>
        <v>3178.3267389651364</v>
      </c>
    </row>
    <row r="76" spans="1:10" x14ac:dyDescent="0.25">
      <c r="A76" s="94" t="str">
        <f>'Resultater - Vestdanmark'!A76</f>
        <v>Skovproduktion</v>
      </c>
      <c r="B76" s="94" t="str">
        <f>'Resultater - Vestdanmark'!B76</f>
        <v/>
      </c>
      <c r="C76" s="94" t="str">
        <f>'Resultater - Vestdanmark'!C76</f>
        <v>Skovtype4</v>
      </c>
      <c r="D76" s="94" t="str">
        <f>'Resultater - Vestdanmark'!D76</f>
        <v>Areal-skovtype4-40</v>
      </c>
      <c r="E76" s="94" t="str">
        <f>'Resultater - Vestdanmark'!E76</f>
        <v>Hektar</v>
      </c>
      <c r="F76" s="94" t="str">
        <f>'Resultater - Vestdanmark'!F76</f>
        <v>Træ til energi</v>
      </c>
      <c r="G76" s="94" t="str">
        <f>'Resultater - Vestdanmark'!G76</f>
        <v>m3</v>
      </c>
      <c r="H76" s="252">
        <f ca="1">'Resultater - Vestdanmark'!H76+'Resultater - Østdanmark'!H76</f>
        <v>0</v>
      </c>
      <c r="I76" s="253">
        <f ca="1">'Resultater - Vestdanmark'!I76+'Resultater - Østdanmark'!I76</f>
        <v>0</v>
      </c>
      <c r="J76" s="254">
        <f ca="1">'Resultater - Vestdanmark'!J76+'Resultater - Østdanmark'!J76</f>
        <v>1733.6327667082564</v>
      </c>
    </row>
    <row r="77" spans="1:10" x14ac:dyDescent="0.25">
      <c r="A77" s="94" t="str">
        <f>'Resultater - Vestdanmark'!A77</f>
        <v>Skovproduktion</v>
      </c>
      <c r="B77" s="94" t="str">
        <f>'Resultater - Vestdanmark'!B77</f>
        <v/>
      </c>
      <c r="C77" s="94" t="str">
        <f>'Resultater - Vestdanmark'!C77</f>
        <v>Skovtype4</v>
      </c>
      <c r="D77" s="94" t="str">
        <f>'Resultater - Vestdanmark'!D77</f>
        <v>Areal-skovtype4-40</v>
      </c>
      <c r="E77" s="94" t="str">
        <f>'Resultater - Vestdanmark'!E77</f>
        <v>Hektar</v>
      </c>
      <c r="F77" s="94" t="str">
        <f>'Resultater - Vestdanmark'!F77</f>
        <v>CO2 - atmosfære</v>
      </c>
      <c r="G77" s="94" t="str">
        <f>'Resultater - Vestdanmark'!G77</f>
        <v>t CO2-ækvivalenter</v>
      </c>
      <c r="H77" s="252">
        <f ca="1">'Resultater - Vestdanmark'!H77+'Resultater - Østdanmark'!H77</f>
        <v>0</v>
      </c>
      <c r="I77" s="253">
        <f ca="1">'Resultater - Vestdanmark'!I77+'Resultater - Østdanmark'!I77</f>
        <v>0</v>
      </c>
      <c r="J77" s="254">
        <f ca="1">'Resultater - Vestdanmark'!J77+'Resultater - Østdanmark'!J77</f>
        <v>-80087.602111989661</v>
      </c>
    </row>
    <row r="78" spans="1:10" x14ac:dyDescent="0.25">
      <c r="A78" s="94" t="str">
        <f>'Resultater - Vestdanmark'!A78</f>
        <v>Skovproduktion</v>
      </c>
      <c r="B78" s="94" t="str">
        <f>'Resultater - Vestdanmark'!B78</f>
        <v/>
      </c>
      <c r="C78" s="94" t="str">
        <f>'Resultater - Vestdanmark'!C78</f>
        <v>Skovtype4</v>
      </c>
      <c r="D78" s="94" t="str">
        <f>'Resultater - Vestdanmark'!D78</f>
        <v>Areal-skovtype4-40</v>
      </c>
      <c r="E78" s="94" t="str">
        <f>'Resultater - Vestdanmark'!E78</f>
        <v>Hektar</v>
      </c>
      <c r="F78" s="94" t="str">
        <f>'Resultater - Vestdanmark'!F78</f>
        <v>CO2 - HWP</v>
      </c>
      <c r="G78" s="94" t="str">
        <f>'Resultater - Vestdanmark'!G78</f>
        <v>t CO2-ækvivalenter</v>
      </c>
      <c r="H78" s="252">
        <f ca="1">'Resultater - Vestdanmark'!H78+'Resultater - Østdanmark'!H78</f>
        <v>0</v>
      </c>
      <c r="I78" s="253">
        <f ca="1">'Resultater - Vestdanmark'!I78+'Resultater - Østdanmark'!I78</f>
        <v>0</v>
      </c>
      <c r="J78" s="254">
        <f ca="1">'Resultater - Vestdanmark'!J78+'Resultater - Østdanmark'!J78</f>
        <v>-21924.434062332009</v>
      </c>
    </row>
    <row r="79" spans="1:10" x14ac:dyDescent="0.25">
      <c r="A79" s="94" t="str">
        <f>'Resultater - Vestdanmark'!A79</f>
        <v>Skovproduktion</v>
      </c>
      <c r="B79" s="94" t="str">
        <f>'Resultater - Vestdanmark'!B79</f>
        <v/>
      </c>
      <c r="C79" s="94" t="str">
        <f>'Resultater - Vestdanmark'!C79</f>
        <v>Skovtype5</v>
      </c>
      <c r="D79" s="94" t="str">
        <f>'Resultater - Vestdanmark'!D79</f>
        <v>Areal-skovtype5-10</v>
      </c>
      <c r="E79" s="94" t="str">
        <f>'Resultater - Vestdanmark'!E79</f>
        <v>Hektar</v>
      </c>
      <c r="F79" s="94" t="str">
        <f>'Resultater - Vestdanmark'!F79</f>
        <v>Træer</v>
      </c>
      <c r="G79" s="94" t="str">
        <f>'Resultater - Vestdanmark'!G79</f>
        <v>m3</v>
      </c>
      <c r="H79" s="252">
        <f ca="1">'Resultater - Vestdanmark'!H79+'Resultater - Østdanmark'!H79</f>
        <v>0</v>
      </c>
      <c r="I79" s="253">
        <f ca="1">'Resultater - Vestdanmark'!I79+'Resultater - Østdanmark'!I79</f>
        <v>0</v>
      </c>
      <c r="J79" s="254">
        <f ca="1">'Resultater - Vestdanmark'!J79+'Resultater - Østdanmark'!J79</f>
        <v>0</v>
      </c>
    </row>
    <row r="80" spans="1:10" x14ac:dyDescent="0.25">
      <c r="A80" s="94" t="str">
        <f>'Resultater - Vestdanmark'!A80</f>
        <v>Skovproduktion</v>
      </c>
      <c r="B80" s="94" t="str">
        <f>'Resultater - Vestdanmark'!B80</f>
        <v/>
      </c>
      <c r="C80" s="94" t="str">
        <f>'Resultater - Vestdanmark'!C80</f>
        <v>Skovtype5</v>
      </c>
      <c r="D80" s="94" t="str">
        <f>'Resultater - Vestdanmark'!D80</f>
        <v>Areal-skovtype5-10</v>
      </c>
      <c r="E80" s="94" t="str">
        <f>'Resultater - Vestdanmark'!E80</f>
        <v>Hektar</v>
      </c>
      <c r="F80" s="94" t="str">
        <f>'Resultater - Vestdanmark'!F80</f>
        <v>Træ til energi</v>
      </c>
      <c r="G80" s="94" t="str">
        <f>'Resultater - Vestdanmark'!G80</f>
        <v>m3</v>
      </c>
      <c r="H80" s="252">
        <f ca="1">'Resultater - Vestdanmark'!H80+'Resultater - Østdanmark'!H80</f>
        <v>0</v>
      </c>
      <c r="I80" s="253">
        <f ca="1">'Resultater - Vestdanmark'!I80+'Resultater - Østdanmark'!I80</f>
        <v>0</v>
      </c>
      <c r="J80" s="254">
        <f ca="1">'Resultater - Vestdanmark'!J80+'Resultater - Østdanmark'!J80</f>
        <v>0</v>
      </c>
    </row>
    <row r="81" spans="1:10" x14ac:dyDescent="0.25">
      <c r="A81" s="94" t="str">
        <f>'Resultater - Vestdanmark'!A81</f>
        <v>Skovproduktion</v>
      </c>
      <c r="B81" s="94" t="str">
        <f>'Resultater - Vestdanmark'!B81</f>
        <v/>
      </c>
      <c r="C81" s="94" t="str">
        <f>'Resultater - Vestdanmark'!C81</f>
        <v>Skovtype5</v>
      </c>
      <c r="D81" s="94" t="str">
        <f>'Resultater - Vestdanmark'!D81</f>
        <v>Areal-skovtype5-10</v>
      </c>
      <c r="E81" s="94" t="str">
        <f>'Resultater - Vestdanmark'!E81</f>
        <v>Hektar</v>
      </c>
      <c r="F81" s="94" t="str">
        <f>'Resultater - Vestdanmark'!F81</f>
        <v>CO2 - atmosfære</v>
      </c>
      <c r="G81" s="94" t="str">
        <f>'Resultater - Vestdanmark'!G81</f>
        <v>t CO2-ækvivalenter</v>
      </c>
      <c r="H81" s="252">
        <f ca="1">'Resultater - Vestdanmark'!H81+'Resultater - Østdanmark'!H81</f>
        <v>0</v>
      </c>
      <c r="I81" s="253">
        <f ca="1">'Resultater - Vestdanmark'!I81+'Resultater - Østdanmark'!I81</f>
        <v>0</v>
      </c>
      <c r="J81" s="254">
        <f ca="1">'Resultater - Vestdanmark'!J81+'Resultater - Østdanmark'!J81</f>
        <v>0</v>
      </c>
    </row>
    <row r="82" spans="1:10" x14ac:dyDescent="0.25">
      <c r="A82" s="94" t="str">
        <f>'Resultater - Vestdanmark'!A82</f>
        <v>Skovproduktion</v>
      </c>
      <c r="B82" s="94" t="str">
        <f>'Resultater - Vestdanmark'!B82</f>
        <v/>
      </c>
      <c r="C82" s="94" t="str">
        <f>'Resultater - Vestdanmark'!C82</f>
        <v>Skovtype5</v>
      </c>
      <c r="D82" s="94" t="str">
        <f>'Resultater - Vestdanmark'!D82</f>
        <v>Areal-skovtype5-10</v>
      </c>
      <c r="E82" s="94" t="str">
        <f>'Resultater - Vestdanmark'!E82</f>
        <v>Hektar</v>
      </c>
      <c r="F82" s="94" t="str">
        <f>'Resultater - Vestdanmark'!F82</f>
        <v>CO2 - HWP</v>
      </c>
      <c r="G82" s="94" t="str">
        <f>'Resultater - Vestdanmark'!G82</f>
        <v>t CO2-ækvivalenter</v>
      </c>
      <c r="H82" s="252">
        <f ca="1">'Resultater - Vestdanmark'!H82+'Resultater - Østdanmark'!H82</f>
        <v>0</v>
      </c>
      <c r="I82" s="253">
        <f ca="1">'Resultater - Vestdanmark'!I82+'Resultater - Østdanmark'!I82</f>
        <v>0</v>
      </c>
      <c r="J82" s="254">
        <f ca="1">'Resultater - Vestdanmark'!J82+'Resultater - Østdanmark'!J82</f>
        <v>0</v>
      </c>
    </row>
    <row r="83" spans="1:10" x14ac:dyDescent="0.25">
      <c r="A83" s="94" t="str">
        <f>'Resultater - Vestdanmark'!A83</f>
        <v>Skovproduktion</v>
      </c>
      <c r="B83" s="94" t="str">
        <f>'Resultater - Vestdanmark'!B83</f>
        <v/>
      </c>
      <c r="C83" s="94" t="str">
        <f>'Resultater - Vestdanmark'!C83</f>
        <v>Skovtype5</v>
      </c>
      <c r="D83" s="94" t="str">
        <f>'Resultater - Vestdanmark'!D83</f>
        <v>Areal-skovtype5-20</v>
      </c>
      <c r="E83" s="94" t="str">
        <f>'Resultater - Vestdanmark'!E83</f>
        <v>Hektar</v>
      </c>
      <c r="F83" s="94" t="str">
        <f>'Resultater - Vestdanmark'!F83</f>
        <v>Træer</v>
      </c>
      <c r="G83" s="94" t="str">
        <f>'Resultater - Vestdanmark'!G83</f>
        <v>m3</v>
      </c>
      <c r="H83" s="252">
        <f ca="1">'Resultater - Vestdanmark'!H83+'Resultater - Østdanmark'!H83</f>
        <v>0</v>
      </c>
      <c r="I83" s="253">
        <f ca="1">'Resultater - Vestdanmark'!I83+'Resultater - Østdanmark'!I83</f>
        <v>0</v>
      </c>
      <c r="J83" s="254">
        <f ca="1">'Resultater - Vestdanmark'!J83+'Resultater - Østdanmark'!J83</f>
        <v>0</v>
      </c>
    </row>
    <row r="84" spans="1:10" x14ac:dyDescent="0.25">
      <c r="A84" s="94" t="str">
        <f>'Resultater - Vestdanmark'!A84</f>
        <v>Skovproduktion</v>
      </c>
      <c r="B84" s="94" t="str">
        <f>'Resultater - Vestdanmark'!B84</f>
        <v/>
      </c>
      <c r="C84" s="94" t="str">
        <f>'Resultater - Vestdanmark'!C84</f>
        <v>Skovtype5</v>
      </c>
      <c r="D84" s="94" t="str">
        <f>'Resultater - Vestdanmark'!D84</f>
        <v>Areal-skovtype5-20</v>
      </c>
      <c r="E84" s="94" t="str">
        <f>'Resultater - Vestdanmark'!E84</f>
        <v>Hektar</v>
      </c>
      <c r="F84" s="94" t="str">
        <f>'Resultater - Vestdanmark'!F84</f>
        <v>Træ til energi</v>
      </c>
      <c r="G84" s="94" t="str">
        <f>'Resultater - Vestdanmark'!G84</f>
        <v>m3</v>
      </c>
      <c r="H84" s="252">
        <f ca="1">'Resultater - Vestdanmark'!H84+'Resultater - Østdanmark'!H84</f>
        <v>0</v>
      </c>
      <c r="I84" s="253">
        <f ca="1">'Resultater - Vestdanmark'!I84+'Resultater - Østdanmark'!I84</f>
        <v>0</v>
      </c>
      <c r="J84" s="254">
        <f ca="1">'Resultater - Vestdanmark'!J84+'Resultater - Østdanmark'!J84</f>
        <v>0</v>
      </c>
    </row>
    <row r="85" spans="1:10" x14ac:dyDescent="0.25">
      <c r="A85" s="94" t="str">
        <f>'Resultater - Vestdanmark'!A85</f>
        <v>Skovproduktion</v>
      </c>
      <c r="B85" s="94" t="str">
        <f>'Resultater - Vestdanmark'!B85</f>
        <v/>
      </c>
      <c r="C85" s="94" t="str">
        <f>'Resultater - Vestdanmark'!C85</f>
        <v>Skovtype5</v>
      </c>
      <c r="D85" s="94" t="str">
        <f>'Resultater - Vestdanmark'!D85</f>
        <v>Areal-skovtype5-20</v>
      </c>
      <c r="E85" s="94" t="str">
        <f>'Resultater - Vestdanmark'!E85</f>
        <v>Hektar</v>
      </c>
      <c r="F85" s="94" t="str">
        <f>'Resultater - Vestdanmark'!F85</f>
        <v>CO2 - atmosfære</v>
      </c>
      <c r="G85" s="94" t="str">
        <f>'Resultater - Vestdanmark'!G85</f>
        <v>t CO2-ækvivalenter</v>
      </c>
      <c r="H85" s="252">
        <f ca="1">'Resultater - Vestdanmark'!H85+'Resultater - Østdanmark'!H85</f>
        <v>0</v>
      </c>
      <c r="I85" s="253">
        <f ca="1">'Resultater - Vestdanmark'!I85+'Resultater - Østdanmark'!I85</f>
        <v>0</v>
      </c>
      <c r="J85" s="254">
        <f ca="1">'Resultater - Vestdanmark'!J85+'Resultater - Østdanmark'!J85</f>
        <v>0</v>
      </c>
    </row>
    <row r="86" spans="1:10" x14ac:dyDescent="0.25">
      <c r="A86" s="94" t="str">
        <f>'Resultater - Vestdanmark'!A86</f>
        <v>Skovproduktion</v>
      </c>
      <c r="B86" s="94" t="str">
        <f>'Resultater - Vestdanmark'!B86</f>
        <v/>
      </c>
      <c r="C86" s="94" t="str">
        <f>'Resultater - Vestdanmark'!C86</f>
        <v>Skovtype5</v>
      </c>
      <c r="D86" s="94" t="str">
        <f>'Resultater - Vestdanmark'!D86</f>
        <v>Areal-skovtype5-20</v>
      </c>
      <c r="E86" s="94" t="str">
        <f>'Resultater - Vestdanmark'!E86</f>
        <v>Hektar</v>
      </c>
      <c r="F86" s="94" t="str">
        <f>'Resultater - Vestdanmark'!F86</f>
        <v>CO2 - HWP</v>
      </c>
      <c r="G86" s="94" t="str">
        <f>'Resultater - Vestdanmark'!G86</f>
        <v>t CO2-ækvivalenter</v>
      </c>
      <c r="H86" s="252">
        <f ca="1">'Resultater - Vestdanmark'!H86+'Resultater - Østdanmark'!H86</f>
        <v>0</v>
      </c>
      <c r="I86" s="253">
        <f ca="1">'Resultater - Vestdanmark'!I86+'Resultater - Østdanmark'!I86</f>
        <v>0</v>
      </c>
      <c r="J86" s="254">
        <f ca="1">'Resultater - Vestdanmark'!J86+'Resultater - Østdanmark'!J86</f>
        <v>0</v>
      </c>
    </row>
    <row r="87" spans="1:10" x14ac:dyDescent="0.25">
      <c r="A87" s="94" t="str">
        <f>'Resultater - Vestdanmark'!A87</f>
        <v>Skovproduktion</v>
      </c>
      <c r="B87" s="94" t="str">
        <f>'Resultater - Vestdanmark'!B87</f>
        <v/>
      </c>
      <c r="C87" s="94" t="str">
        <f>'Resultater - Vestdanmark'!C87</f>
        <v>Skovtype5</v>
      </c>
      <c r="D87" s="94" t="str">
        <f>'Resultater - Vestdanmark'!D87</f>
        <v>Areal-skovtype5-30</v>
      </c>
      <c r="E87" s="94" t="str">
        <f>'Resultater - Vestdanmark'!E87</f>
        <v>Hektar</v>
      </c>
      <c r="F87" s="94" t="str">
        <f>'Resultater - Vestdanmark'!F87</f>
        <v>Træer</v>
      </c>
      <c r="G87" s="94" t="str">
        <f>'Resultater - Vestdanmark'!G87</f>
        <v>m3</v>
      </c>
      <c r="H87" s="252">
        <f ca="1">'Resultater - Vestdanmark'!H87+'Resultater - Østdanmark'!H87</f>
        <v>0</v>
      </c>
      <c r="I87" s="253">
        <f ca="1">'Resultater - Vestdanmark'!I87+'Resultater - Østdanmark'!I87</f>
        <v>0</v>
      </c>
      <c r="J87" s="254">
        <f ca="1">'Resultater - Vestdanmark'!J87+'Resultater - Østdanmark'!J87</f>
        <v>0</v>
      </c>
    </row>
    <row r="88" spans="1:10" x14ac:dyDescent="0.25">
      <c r="A88" s="94" t="str">
        <f>'Resultater - Vestdanmark'!A88</f>
        <v>Skovproduktion</v>
      </c>
      <c r="B88" s="94" t="str">
        <f>'Resultater - Vestdanmark'!B88</f>
        <v/>
      </c>
      <c r="C88" s="94" t="str">
        <f>'Resultater - Vestdanmark'!C88</f>
        <v>Skovtype5</v>
      </c>
      <c r="D88" s="94" t="str">
        <f>'Resultater - Vestdanmark'!D88</f>
        <v>Areal-skovtype5-30</v>
      </c>
      <c r="E88" s="94" t="str">
        <f>'Resultater - Vestdanmark'!E88</f>
        <v>Hektar</v>
      </c>
      <c r="F88" s="94" t="str">
        <f>'Resultater - Vestdanmark'!F88</f>
        <v>Træ til energi</v>
      </c>
      <c r="G88" s="94" t="str">
        <f>'Resultater - Vestdanmark'!G88</f>
        <v>m3</v>
      </c>
      <c r="H88" s="252">
        <f ca="1">'Resultater - Vestdanmark'!H88+'Resultater - Østdanmark'!H88</f>
        <v>0</v>
      </c>
      <c r="I88" s="253">
        <f ca="1">'Resultater - Vestdanmark'!I88+'Resultater - Østdanmark'!I88</f>
        <v>0</v>
      </c>
      <c r="J88" s="254">
        <f ca="1">'Resultater - Vestdanmark'!J88+'Resultater - Østdanmark'!J88</f>
        <v>0</v>
      </c>
    </row>
    <row r="89" spans="1:10" x14ac:dyDescent="0.25">
      <c r="A89" s="94" t="str">
        <f>'Resultater - Vestdanmark'!A89</f>
        <v>Skovproduktion</v>
      </c>
      <c r="B89" s="94" t="str">
        <f>'Resultater - Vestdanmark'!B89</f>
        <v/>
      </c>
      <c r="C89" s="94" t="str">
        <f>'Resultater - Vestdanmark'!C89</f>
        <v>Skovtype5</v>
      </c>
      <c r="D89" s="94" t="str">
        <f>'Resultater - Vestdanmark'!D89</f>
        <v>Areal-skovtype5-30</v>
      </c>
      <c r="E89" s="94" t="str">
        <f>'Resultater - Vestdanmark'!E89</f>
        <v>Hektar</v>
      </c>
      <c r="F89" s="94" t="str">
        <f>'Resultater - Vestdanmark'!F89</f>
        <v>CO2 - atmosfære</v>
      </c>
      <c r="G89" s="94" t="str">
        <f>'Resultater - Vestdanmark'!G89</f>
        <v>t CO2-ækvivalenter</v>
      </c>
      <c r="H89" s="252">
        <f ca="1">'Resultater - Vestdanmark'!H89+'Resultater - Østdanmark'!H89</f>
        <v>0</v>
      </c>
      <c r="I89" s="253">
        <f ca="1">'Resultater - Vestdanmark'!I89+'Resultater - Østdanmark'!I89</f>
        <v>0</v>
      </c>
      <c r="J89" s="254">
        <f ca="1">'Resultater - Vestdanmark'!J89+'Resultater - Østdanmark'!J89</f>
        <v>0</v>
      </c>
    </row>
    <row r="90" spans="1:10" x14ac:dyDescent="0.25">
      <c r="A90" s="94" t="str">
        <f>'Resultater - Vestdanmark'!A90</f>
        <v>Skovproduktion</v>
      </c>
      <c r="B90" s="94" t="str">
        <f>'Resultater - Vestdanmark'!B90</f>
        <v/>
      </c>
      <c r="C90" s="94" t="str">
        <f>'Resultater - Vestdanmark'!C90</f>
        <v>Skovtype5</v>
      </c>
      <c r="D90" s="94" t="str">
        <f>'Resultater - Vestdanmark'!D90</f>
        <v>Areal-skovtype5-30</v>
      </c>
      <c r="E90" s="94" t="str">
        <f>'Resultater - Vestdanmark'!E90</f>
        <v>Hektar</v>
      </c>
      <c r="F90" s="94" t="str">
        <f>'Resultater - Vestdanmark'!F90</f>
        <v>CO2 - HWP</v>
      </c>
      <c r="G90" s="94" t="str">
        <f>'Resultater - Vestdanmark'!G90</f>
        <v>t CO2-ækvivalenter</v>
      </c>
      <c r="H90" s="252">
        <f ca="1">'Resultater - Vestdanmark'!H90+'Resultater - Østdanmark'!H90</f>
        <v>0</v>
      </c>
      <c r="I90" s="253">
        <f ca="1">'Resultater - Vestdanmark'!I90+'Resultater - Østdanmark'!I90</f>
        <v>0</v>
      </c>
      <c r="J90" s="254">
        <f ca="1">'Resultater - Vestdanmark'!J90+'Resultater - Østdanmark'!J90</f>
        <v>0</v>
      </c>
    </row>
    <row r="91" spans="1:10" x14ac:dyDescent="0.25">
      <c r="A91" s="94" t="str">
        <f>'Resultater - Vestdanmark'!A91</f>
        <v>Skovproduktion</v>
      </c>
      <c r="B91" s="94" t="str">
        <f>'Resultater - Vestdanmark'!B91</f>
        <v/>
      </c>
      <c r="C91" s="94" t="str">
        <f>'Resultater - Vestdanmark'!C91</f>
        <v>Skovtype5</v>
      </c>
      <c r="D91" s="94" t="str">
        <f>'Resultater - Vestdanmark'!D91</f>
        <v>Areal-skovtype5-40</v>
      </c>
      <c r="E91" s="94" t="str">
        <f>'Resultater - Vestdanmark'!E91</f>
        <v>Hektar</v>
      </c>
      <c r="F91" s="94" t="str">
        <f>'Resultater - Vestdanmark'!F91</f>
        <v>Træer</v>
      </c>
      <c r="G91" s="94" t="str">
        <f>'Resultater - Vestdanmark'!G91</f>
        <v>m3</v>
      </c>
      <c r="H91" s="252">
        <f ca="1">'Resultater - Vestdanmark'!H91+'Resultater - Østdanmark'!H91</f>
        <v>0</v>
      </c>
      <c r="I91" s="253">
        <f ca="1">'Resultater - Vestdanmark'!I91+'Resultater - Østdanmark'!I91</f>
        <v>0</v>
      </c>
      <c r="J91" s="254">
        <f ca="1">'Resultater - Vestdanmark'!J91+'Resultater - Østdanmark'!J91</f>
        <v>0</v>
      </c>
    </row>
    <row r="92" spans="1:10" x14ac:dyDescent="0.25">
      <c r="A92" s="94" t="str">
        <f>'Resultater - Vestdanmark'!A92</f>
        <v>Skovproduktion</v>
      </c>
      <c r="B92" s="94" t="str">
        <f>'Resultater - Vestdanmark'!B92</f>
        <v/>
      </c>
      <c r="C92" s="94" t="str">
        <f>'Resultater - Vestdanmark'!C92</f>
        <v>Skovtype5</v>
      </c>
      <c r="D92" s="94" t="str">
        <f>'Resultater - Vestdanmark'!D92</f>
        <v>Areal-skovtype5-40</v>
      </c>
      <c r="E92" s="94" t="str">
        <f>'Resultater - Vestdanmark'!E92</f>
        <v>Hektar</v>
      </c>
      <c r="F92" s="94" t="str">
        <f>'Resultater - Vestdanmark'!F92</f>
        <v>Træ til energi</v>
      </c>
      <c r="G92" s="94" t="str">
        <f>'Resultater - Vestdanmark'!G92</f>
        <v>m3</v>
      </c>
      <c r="H92" s="252">
        <f ca="1">'Resultater - Vestdanmark'!H92+'Resultater - Østdanmark'!H92</f>
        <v>0</v>
      </c>
      <c r="I92" s="253">
        <f ca="1">'Resultater - Vestdanmark'!I92+'Resultater - Østdanmark'!I92</f>
        <v>0</v>
      </c>
      <c r="J92" s="254">
        <f ca="1">'Resultater - Vestdanmark'!J92+'Resultater - Østdanmark'!J92</f>
        <v>0</v>
      </c>
    </row>
    <row r="93" spans="1:10" x14ac:dyDescent="0.25">
      <c r="A93" s="94" t="str">
        <f>'Resultater - Vestdanmark'!A93</f>
        <v>Skovproduktion</v>
      </c>
      <c r="B93" s="94" t="str">
        <f>'Resultater - Vestdanmark'!B93</f>
        <v/>
      </c>
      <c r="C93" s="94" t="str">
        <f>'Resultater - Vestdanmark'!C93</f>
        <v>Skovtype5</v>
      </c>
      <c r="D93" s="94" t="str">
        <f>'Resultater - Vestdanmark'!D93</f>
        <v>Areal-skovtype5-40</v>
      </c>
      <c r="E93" s="94" t="str">
        <f>'Resultater - Vestdanmark'!E93</f>
        <v>Hektar</v>
      </c>
      <c r="F93" s="94" t="str">
        <f>'Resultater - Vestdanmark'!F93</f>
        <v>CO2 - atmosfære</v>
      </c>
      <c r="G93" s="94" t="str">
        <f>'Resultater - Vestdanmark'!G93</f>
        <v>t CO2-ækvivalenter</v>
      </c>
      <c r="H93" s="252">
        <f ca="1">'Resultater - Vestdanmark'!H93+'Resultater - Østdanmark'!H93</f>
        <v>0</v>
      </c>
      <c r="I93" s="253">
        <f ca="1">'Resultater - Vestdanmark'!I93+'Resultater - Østdanmark'!I93</f>
        <v>0</v>
      </c>
      <c r="J93" s="254">
        <f ca="1">'Resultater - Vestdanmark'!J93+'Resultater - Østdanmark'!J93</f>
        <v>0</v>
      </c>
    </row>
    <row r="94" spans="1:10" x14ac:dyDescent="0.25">
      <c r="A94" s="94" t="str">
        <f>'Resultater - Vestdanmark'!A94</f>
        <v>Skovproduktion</v>
      </c>
      <c r="B94" s="94" t="str">
        <f>'Resultater - Vestdanmark'!B94</f>
        <v/>
      </c>
      <c r="C94" s="94" t="str">
        <f>'Resultater - Vestdanmark'!C94</f>
        <v>Skovtype5</v>
      </c>
      <c r="D94" s="94" t="str">
        <f>'Resultater - Vestdanmark'!D94</f>
        <v>Areal-skovtype5-40</v>
      </c>
      <c r="E94" s="94" t="str">
        <f>'Resultater - Vestdanmark'!E94</f>
        <v>Hektar</v>
      </c>
      <c r="F94" s="94" t="str">
        <f>'Resultater - Vestdanmark'!F94</f>
        <v>CO2 - HWP</v>
      </c>
      <c r="G94" s="94" t="str">
        <f>'Resultater - Vestdanmark'!G94</f>
        <v>t CO2-ækvivalenter</v>
      </c>
      <c r="H94" s="252">
        <f ca="1">'Resultater - Vestdanmark'!H94+'Resultater - Østdanmark'!H94</f>
        <v>0</v>
      </c>
      <c r="I94" s="253">
        <f ca="1">'Resultater - Vestdanmark'!I94+'Resultater - Østdanmark'!I94</f>
        <v>0</v>
      </c>
      <c r="J94" s="254">
        <f ca="1">'Resultater - Vestdanmark'!J94+'Resultater - Østdanmark'!J94</f>
        <v>0</v>
      </c>
    </row>
    <row r="95" spans="1:10" x14ac:dyDescent="0.25">
      <c r="A95" s="94" t="str">
        <f>'Resultater - Vestdanmark'!A95</f>
        <v>Grisestald</v>
      </c>
      <c r="B95" s="94" t="str">
        <f>'Resultater - Vestdanmark'!B95</f>
        <v>Konventionel</v>
      </c>
      <c r="C95" s="94" t="str">
        <f>'Resultater - Vestdanmark'!C95</f>
        <v/>
      </c>
      <c r="D95" s="94" t="str">
        <f>'Resultater - Vestdanmark'!D95</f>
        <v>Svin</v>
      </c>
      <c r="E95" s="94" t="str">
        <f>'Resultater - Vestdanmark'!E95</f>
        <v>Antal</v>
      </c>
      <c r="F95" s="94" t="str">
        <f>'Resultater - Vestdanmark'!F95</f>
        <v>Slagtesvin</v>
      </c>
      <c r="G95" s="94" t="str">
        <f>'Resultater - Vestdanmark'!G95</f>
        <v>Antal</v>
      </c>
      <c r="H95" s="252">
        <f>'Resultater - Vestdanmark'!H95+'Resultater - Østdanmark'!H95</f>
        <v>16367972</v>
      </c>
      <c r="I95" s="253">
        <f>'Resultater - Vestdanmark'!I95+'Resultater - Østdanmark'!I95</f>
        <v>15431439.010561198</v>
      </c>
      <c r="J95" s="254">
        <f>'Resultater - Vestdanmark'!J95+'Resultater - Østdanmark'!J95</f>
        <v>13785490.618275298</v>
      </c>
    </row>
    <row r="96" spans="1:10" x14ac:dyDescent="0.25">
      <c r="A96" s="94" t="str">
        <f>'Resultater - Vestdanmark'!A96</f>
        <v>Grisestald</v>
      </c>
      <c r="B96" s="94" t="str">
        <f>'Resultater - Vestdanmark'!B96</f>
        <v>Konventionel</v>
      </c>
      <c r="C96" s="94" t="str">
        <f>'Resultater - Vestdanmark'!C96</f>
        <v/>
      </c>
      <c r="D96" s="94" t="str">
        <f>'Resultater - Vestdanmark'!D96</f>
        <v>Svin</v>
      </c>
      <c r="E96" s="94" t="str">
        <f>'Resultater - Vestdanmark'!E96</f>
        <v>Antal</v>
      </c>
      <c r="F96" s="94" t="str">
        <f>'Resultater - Vestdanmark'!F96</f>
        <v>Svinegylle</v>
      </c>
      <c r="G96" s="94" t="str">
        <f>'Resultater - Vestdanmark'!G96</f>
        <v>Ton</v>
      </c>
      <c r="H96" s="252">
        <f>'Resultater - Vestdanmark'!H96+'Resultater - Østdanmark'!H96</f>
        <v>17657000</v>
      </c>
      <c r="I96" s="253">
        <f>'Resultater - Vestdanmark'!I96+'Resultater - Østdanmark'!I96</f>
        <v>16646712.165042747</v>
      </c>
      <c r="J96" s="254">
        <f>'Resultater - Vestdanmark'!J96+'Resultater - Østdanmark'!J96</f>
        <v>14871140.28829515</v>
      </c>
    </row>
    <row r="97" spans="1:10" x14ac:dyDescent="0.25">
      <c r="A97" s="94" t="str">
        <f>'Resultater - Vestdanmark'!A97</f>
        <v>Grisestald</v>
      </c>
      <c r="B97" s="94" t="str">
        <f>'Resultater - Vestdanmark'!B97</f>
        <v>Konventionel</v>
      </c>
      <c r="C97" s="94" t="str">
        <f>'Resultater - Vestdanmark'!C97</f>
        <v/>
      </c>
      <c r="D97" s="94" t="str">
        <f>'Resultater - Vestdanmark'!D97</f>
        <v>Svin</v>
      </c>
      <c r="E97" s="94" t="str">
        <f>'Resultater - Vestdanmark'!E97</f>
        <v>Antal</v>
      </c>
      <c r="F97" s="94" t="str">
        <f>'Resultater - Vestdanmark'!F97</f>
        <v>Dybstrøelse</v>
      </c>
      <c r="G97" s="94" t="str">
        <f>'Resultater - Vestdanmark'!G97</f>
        <v>Ton</v>
      </c>
      <c r="H97" s="252">
        <f ca="1">'Resultater - Vestdanmark'!H97+'Resultater - Østdanmark'!H97</f>
        <v>2263500</v>
      </c>
      <c r="I97" s="253">
        <f ca="1">'Resultater - Vestdanmark'!I97+'Resultater - Østdanmark'!I97</f>
        <v>2133988.3890567059</v>
      </c>
      <c r="J97" s="254">
        <f ca="1">'Resultater - Vestdanmark'!J97+'Resultater - Østdanmark'!J97</f>
        <v>1906372.8856859079</v>
      </c>
    </row>
    <row r="98" spans="1:10" x14ac:dyDescent="0.25">
      <c r="A98" s="94" t="str">
        <f>'Resultater - Vestdanmark'!A98</f>
        <v>Grisestald</v>
      </c>
      <c r="B98" s="94" t="str">
        <f>'Resultater - Vestdanmark'!B98</f>
        <v>Konventionel</v>
      </c>
      <c r="C98" s="94" t="str">
        <f>'Resultater - Vestdanmark'!C98</f>
        <v/>
      </c>
      <c r="D98" s="94" t="str">
        <f>'Resultater - Vestdanmark'!D98</f>
        <v>Svin</v>
      </c>
      <c r="E98" s="94" t="str">
        <f>'Resultater - Vestdanmark'!E98</f>
        <v>Antal</v>
      </c>
      <c r="F98" s="94" t="str">
        <f>'Resultater - Vestdanmark'!F98</f>
        <v>Industriaffald</v>
      </c>
      <c r="G98" s="94" t="str">
        <f>'Resultater - Vestdanmark'!G98</f>
        <v>Ton</v>
      </c>
      <c r="H98" s="252">
        <f>'Resultater - Vestdanmark'!H98+'Resultater - Østdanmark'!H98</f>
        <v>185011.20708453766</v>
      </c>
      <c r="I98" s="253">
        <f>'Resultater - Vestdanmark'!I98+'Resultater - Østdanmark'!I98</f>
        <v>174425.34471560377</v>
      </c>
      <c r="J98" s="254">
        <f>'Resultater - Vestdanmark'!J98+'Resultater - Østdanmark'!J98</f>
        <v>155820.7858334363</v>
      </c>
    </row>
    <row r="99" spans="1:10" x14ac:dyDescent="0.25">
      <c r="A99" s="94" t="str">
        <f>'Resultater - Vestdanmark'!A99</f>
        <v>Grisestald</v>
      </c>
      <c r="B99" s="94" t="str">
        <f>'Resultater - Vestdanmark'!B99</f>
        <v>Konventionel</v>
      </c>
      <c r="C99" s="94" t="str">
        <f>'Resultater - Vestdanmark'!C99</f>
        <v/>
      </c>
      <c r="D99" s="94" t="str">
        <f>'Resultater - Vestdanmark'!D99</f>
        <v>Svin</v>
      </c>
      <c r="E99" s="94" t="str">
        <f>'Resultater - Vestdanmark'!E99</f>
        <v>Antal</v>
      </c>
      <c r="F99" s="94" t="str">
        <f>'Resultater - Vestdanmark'!F99</f>
        <v>Foder</v>
      </c>
      <c r="G99" s="94" t="str">
        <f>'Resultater - Vestdanmark'!G99</f>
        <v>FE</v>
      </c>
      <c r="H99" s="252">
        <f>'Resultater - Vestdanmark'!H99+'Resultater - Østdanmark'!H99</f>
        <v>-10101447931.960001</v>
      </c>
      <c r="I99" s="253">
        <f>'Resultater - Vestdanmark'!I99+'Resultater - Østdanmark'!I99</f>
        <v>-9523469228.8330078</v>
      </c>
      <c r="J99" s="254">
        <f>'Resultater - Vestdanmark'!J99+'Resultater - Østdanmark'!J99</f>
        <v>-8507676803.029171</v>
      </c>
    </row>
    <row r="100" spans="1:10" x14ac:dyDescent="0.25">
      <c r="A100" s="94" t="str">
        <f>'Resultater - Vestdanmark'!A100</f>
        <v>Grisestald</v>
      </c>
      <c r="B100" s="94" t="str">
        <f>'Resultater - Vestdanmark'!B100</f>
        <v>Konventionel</v>
      </c>
      <c r="C100" s="94" t="str">
        <f>'Resultater - Vestdanmark'!C100</f>
        <v/>
      </c>
      <c r="D100" s="94" t="str">
        <f>'Resultater - Vestdanmark'!D100</f>
        <v>Svin</v>
      </c>
      <c r="E100" s="94" t="str">
        <f>'Resultater - Vestdanmark'!E100</f>
        <v>Antal</v>
      </c>
      <c r="F100" s="94" t="str">
        <f>'Resultater - Vestdanmark'!F100</f>
        <v>Halm</v>
      </c>
      <c r="G100" s="94" t="str">
        <f>'Resultater - Vestdanmark'!G100</f>
        <v>Ton</v>
      </c>
      <c r="H100" s="252">
        <f>'Resultater - Vestdanmark'!H100+'Resultater - Østdanmark'!H100</f>
        <v>-775790.06759999995</v>
      </c>
      <c r="I100" s="253">
        <f>'Resultater - Vestdanmark'!I100+'Resultater - Østdanmark'!I100</f>
        <v>-731401.36806004716</v>
      </c>
      <c r="J100" s="254">
        <f>'Resultater - Vestdanmark'!J100+'Resultater - Østdanmark'!J100</f>
        <v>-653388.62374953716</v>
      </c>
    </row>
    <row r="101" spans="1:10" x14ac:dyDescent="0.25">
      <c r="A101" s="94" t="str">
        <f>'Resultater - Vestdanmark'!A101</f>
        <v>Grisestald</v>
      </c>
      <c r="B101" s="94" t="str">
        <f>'Resultater - Vestdanmark'!B101</f>
        <v>Konventionel</v>
      </c>
      <c r="C101" s="94" t="str">
        <f>'Resultater - Vestdanmark'!C101</f>
        <v/>
      </c>
      <c r="D101" s="94" t="str">
        <f>'Resultater - Vestdanmark'!D101</f>
        <v>Svin</v>
      </c>
      <c r="E101" s="94" t="str">
        <f>'Resultater - Vestdanmark'!E101</f>
        <v>Antal</v>
      </c>
      <c r="F101" s="94" t="str">
        <f>'Resultater - Vestdanmark'!F101</f>
        <v>CO2 - atmosfære</v>
      </c>
      <c r="G101" s="94" t="str">
        <f>'Resultater - Vestdanmark'!G101</f>
        <v>t CO2-ækvivalenter</v>
      </c>
      <c r="H101" s="252">
        <f>'Resultater - Vestdanmark'!H101+'Resultater - Østdanmark'!H101</f>
        <v>1322792.8112606632</v>
      </c>
      <c r="I101" s="253">
        <f>'Resultater - Vestdanmark'!I101+'Resultater - Østdanmark'!I101</f>
        <v>1247106.0306418969</v>
      </c>
      <c r="J101" s="254">
        <f>'Resultater - Vestdanmark'!J101+'Resultater - Østdanmark'!J101</f>
        <v>1114087.1874387297</v>
      </c>
    </row>
    <row r="102" spans="1:10" x14ac:dyDescent="0.25">
      <c r="A102" s="94" t="str">
        <f>'Resultater - Vestdanmark'!A102</f>
        <v>Grisestald</v>
      </c>
      <c r="B102" s="94" t="str">
        <f>'Resultater - Vestdanmark'!B102</f>
        <v>Økologisk</v>
      </c>
      <c r="C102" s="94" t="str">
        <f>'Resultater - Vestdanmark'!C102</f>
        <v/>
      </c>
      <c r="D102" s="94" t="str">
        <f>'Resultater - Vestdanmark'!D102</f>
        <v>Svin</v>
      </c>
      <c r="E102" s="94" t="str">
        <f>'Resultater - Vestdanmark'!E102</f>
        <v>Antal</v>
      </c>
      <c r="F102" s="94" t="str">
        <f>'Resultater - Vestdanmark'!F102</f>
        <v>Slagtesvin</v>
      </c>
      <c r="G102" s="94" t="str">
        <f>'Resultater - Vestdanmark'!G102</f>
        <v>Antal</v>
      </c>
      <c r="H102" s="252">
        <f>'Resultater - Vestdanmark'!H102+'Resultater - Østdanmark'!H102</f>
        <v>232028</v>
      </c>
      <c r="I102" s="253">
        <f>'Resultater - Vestdanmark'!I102+'Resultater - Østdanmark'!I102</f>
        <v>345087.67064786935</v>
      </c>
      <c r="J102" s="254">
        <f>'Resultater - Vestdanmark'!J102+'Resultater - Østdanmark'!J102</f>
        <v>531270.63232550037</v>
      </c>
    </row>
    <row r="103" spans="1:10" x14ac:dyDescent="0.25">
      <c r="A103" s="94" t="str">
        <f>'Resultater - Vestdanmark'!A103</f>
        <v>Grisestald</v>
      </c>
      <c r="B103" s="94" t="str">
        <f>'Resultater - Vestdanmark'!B103</f>
        <v>Økologisk</v>
      </c>
      <c r="C103" s="94" t="str">
        <f>'Resultater - Vestdanmark'!C103</f>
        <v/>
      </c>
      <c r="D103" s="94" t="str">
        <f>'Resultater - Vestdanmark'!D103</f>
        <v>Svin</v>
      </c>
      <c r="E103" s="94" t="str">
        <f>'Resultater - Vestdanmark'!E103</f>
        <v>Antal</v>
      </c>
      <c r="F103" s="94" t="str">
        <f>'Resultater - Vestdanmark'!F103</f>
        <v>Svinegylle</v>
      </c>
      <c r="G103" s="94" t="str">
        <f>'Resultater - Vestdanmark'!G103</f>
        <v>Ton</v>
      </c>
      <c r="H103" s="252">
        <f>'Resultater - Vestdanmark'!H103+'Resultater - Østdanmark'!H103</f>
        <v>0</v>
      </c>
      <c r="I103" s="253">
        <f>'Resultater - Vestdanmark'!I103+'Resultater - Østdanmark'!I103</f>
        <v>0</v>
      </c>
      <c r="J103" s="254">
        <f>'Resultater - Vestdanmark'!J103+'Resultater - Østdanmark'!J103</f>
        <v>0</v>
      </c>
    </row>
    <row r="104" spans="1:10" x14ac:dyDescent="0.25">
      <c r="A104" s="94" t="str">
        <f>'Resultater - Vestdanmark'!A104</f>
        <v>Grisestald</v>
      </c>
      <c r="B104" s="94" t="str">
        <f>'Resultater - Vestdanmark'!B104</f>
        <v>Økologisk</v>
      </c>
      <c r="C104" s="94" t="str">
        <f>'Resultater - Vestdanmark'!C104</f>
        <v/>
      </c>
      <c r="D104" s="94" t="str">
        <f>'Resultater - Vestdanmark'!D104</f>
        <v>Svin</v>
      </c>
      <c r="E104" s="94" t="str">
        <f>'Resultater - Vestdanmark'!E104</f>
        <v>Antal</v>
      </c>
      <c r="F104" s="94" t="str">
        <f>'Resultater - Vestdanmark'!F104</f>
        <v>Dybstrøelse</v>
      </c>
      <c r="G104" s="94" t="str">
        <f>'Resultater - Vestdanmark'!G104</f>
        <v>Ton</v>
      </c>
      <c r="H104" s="252">
        <f>'Resultater - Vestdanmark'!H104+'Resultater - Østdanmark'!H104</f>
        <v>251500.00000000003</v>
      </c>
      <c r="I104" s="253">
        <f>'Resultater - Vestdanmark'!I104+'Resultater - Østdanmark'!I104</f>
        <v>374047.740651728</v>
      </c>
      <c r="J104" s="254">
        <f>'Resultater - Vestdanmark'!J104+'Resultater - Østdanmark'!J104</f>
        <v>575855.34517326939</v>
      </c>
    </row>
    <row r="105" spans="1:10" x14ac:dyDescent="0.25">
      <c r="A105" s="94" t="str">
        <f>'Resultater - Vestdanmark'!A105</f>
        <v>Grisestald</v>
      </c>
      <c r="B105" s="94" t="str">
        <f>'Resultater - Vestdanmark'!B105</f>
        <v>Økologisk</v>
      </c>
      <c r="C105" s="94" t="str">
        <f>'Resultater - Vestdanmark'!C105</f>
        <v/>
      </c>
      <c r="D105" s="94" t="str">
        <f>'Resultater - Vestdanmark'!D105</f>
        <v>Svin</v>
      </c>
      <c r="E105" s="94" t="str">
        <f>'Resultater - Vestdanmark'!E105</f>
        <v>Antal</v>
      </c>
      <c r="F105" s="94" t="str">
        <f>'Resultater - Vestdanmark'!F105</f>
        <v>Industriaffald</v>
      </c>
      <c r="G105" s="94" t="str">
        <f>'Resultater - Vestdanmark'!G105</f>
        <v>Ton</v>
      </c>
      <c r="H105" s="252">
        <f>'Resultater - Vestdanmark'!H105+'Resultater - Østdanmark'!H105</f>
        <v>7691.8969154623392</v>
      </c>
      <c r="I105" s="253">
        <f>'Resultater - Vestdanmark'!I105+'Resultater - Østdanmark'!I105</f>
        <v>11439.907206976875</v>
      </c>
      <c r="J105" s="254">
        <f>'Resultater - Vestdanmark'!J105+'Resultater - Østdanmark'!J105</f>
        <v>17612.007766563704</v>
      </c>
    </row>
    <row r="106" spans="1:10" x14ac:dyDescent="0.25">
      <c r="A106" s="94" t="str">
        <f>'Resultater - Vestdanmark'!A106</f>
        <v>Grisestald</v>
      </c>
      <c r="B106" s="94" t="str">
        <f>'Resultater - Vestdanmark'!B106</f>
        <v>Økologisk</v>
      </c>
      <c r="C106" s="94" t="str">
        <f>'Resultater - Vestdanmark'!C106</f>
        <v/>
      </c>
      <c r="D106" s="94" t="str">
        <f>'Resultater - Vestdanmark'!D106</f>
        <v>Svin</v>
      </c>
      <c r="E106" s="94" t="str">
        <f>'Resultater - Vestdanmark'!E106</f>
        <v>Antal</v>
      </c>
      <c r="F106" s="94" t="str">
        <f>'Resultater - Vestdanmark'!F106</f>
        <v>Foder</v>
      </c>
      <c r="G106" s="94" t="str">
        <f>'Resultater - Vestdanmark'!G106</f>
        <v>FE</v>
      </c>
      <c r="H106" s="252">
        <f>'Resultater - Vestdanmark'!H106+'Resultater - Østdanmark'!H106</f>
        <v>-419970754.27999997</v>
      </c>
      <c r="I106" s="253">
        <f>'Resultater - Vestdanmark'!I106+'Resultater - Østdanmark'!I106</f>
        <v>-624608794.34686291</v>
      </c>
      <c r="J106" s="254">
        <f>'Resultater - Vestdanmark'!J106+'Resultater - Østdanmark'!J106</f>
        <v>-961600014.58682966</v>
      </c>
    </row>
    <row r="107" spans="1:10" x14ac:dyDescent="0.25">
      <c r="A107" s="94" t="str">
        <f>'Resultater - Vestdanmark'!A107</f>
        <v>Grisestald</v>
      </c>
      <c r="B107" s="94" t="str">
        <f>'Resultater - Vestdanmark'!B107</f>
        <v>Økologisk</v>
      </c>
      <c r="C107" s="94" t="str">
        <f>'Resultater - Vestdanmark'!C107</f>
        <v/>
      </c>
      <c r="D107" s="94" t="str">
        <f>'Resultater - Vestdanmark'!D107</f>
        <v>Svin</v>
      </c>
      <c r="E107" s="94" t="str">
        <f>'Resultater - Vestdanmark'!E107</f>
        <v>Antal</v>
      </c>
      <c r="F107" s="94" t="str">
        <f>'Resultater - Vestdanmark'!F107</f>
        <v>Halm</v>
      </c>
      <c r="G107" s="94" t="str">
        <f>'Resultater - Vestdanmark'!G107</f>
        <v>Ton</v>
      </c>
      <c r="H107" s="252">
        <f>'Resultater - Vestdanmark'!H107+'Resultater - Østdanmark'!H107</f>
        <v>-28350.861000000001</v>
      </c>
      <c r="I107" s="253">
        <f>'Resultater - Vestdanmark'!I107+'Resultater - Østdanmark'!I107</f>
        <v>-42165.310149428195</v>
      </c>
      <c r="J107" s="254">
        <f>'Resultater - Vestdanmark'!J107+'Resultater - Østdanmark'!J107</f>
        <v>-64914.492433854393</v>
      </c>
    </row>
    <row r="108" spans="1:10" x14ac:dyDescent="0.25">
      <c r="A108" s="94" t="str">
        <f>'Resultater - Vestdanmark'!A108</f>
        <v>Grisestald</v>
      </c>
      <c r="B108" s="94" t="str">
        <f>'Resultater - Vestdanmark'!B108</f>
        <v>Økologisk</v>
      </c>
      <c r="C108" s="94" t="str">
        <f>'Resultater - Vestdanmark'!C108</f>
        <v/>
      </c>
      <c r="D108" s="94" t="str">
        <f>'Resultater - Vestdanmark'!D108</f>
        <v>Svin</v>
      </c>
      <c r="E108" s="94" t="str">
        <f>'Resultater - Vestdanmark'!E108</f>
        <v>Antal</v>
      </c>
      <c r="F108" s="94" t="str">
        <f>'Resultater - Vestdanmark'!F108</f>
        <v>CO2 - atmosfære</v>
      </c>
      <c r="G108" s="94" t="str">
        <f>'Resultater - Vestdanmark'!G108</f>
        <v>t CO2-ækvivalenter</v>
      </c>
      <c r="H108" s="252">
        <f ca="1">'Resultater - Vestdanmark'!H108+'Resultater - Østdanmark'!H108</f>
        <v>60495.062518513841</v>
      </c>
      <c r="I108" s="253">
        <f ca="1">'Resultater - Vestdanmark'!I108+'Resultater - Østdanmark'!I108</f>
        <v>89972.331831551244</v>
      </c>
      <c r="J108" s="254">
        <f ca="1">'Resultater - Vestdanmark'!J108+'Resultater - Østdanmark'!J108</f>
        <v>138514.53323211649</v>
      </c>
    </row>
    <row r="109" spans="1:10" x14ac:dyDescent="0.25">
      <c r="A109" s="94" t="str">
        <f>'Resultater - Vestdanmark'!A109</f>
        <v>Kostald</v>
      </c>
      <c r="B109" s="94" t="str">
        <f>'Resultater - Vestdanmark'!B109</f>
        <v>Konventionel</v>
      </c>
      <c r="C109" s="94" t="str">
        <f>'Resultater - Vestdanmark'!C109</f>
        <v/>
      </c>
      <c r="D109" s="94" t="str">
        <f>'Resultater - Vestdanmark'!D109</f>
        <v>Køer</v>
      </c>
      <c r="E109" s="94" t="str">
        <f>'Resultater - Vestdanmark'!E109</f>
        <v>Antal</v>
      </c>
      <c r="F109" s="94" t="str">
        <f>'Resultater - Vestdanmark'!F109</f>
        <v>Slagtekøer</v>
      </c>
      <c r="G109" s="94" t="str">
        <f>'Resultater - Vestdanmark'!G109</f>
        <v>Antal</v>
      </c>
      <c r="H109" s="252">
        <f ca="1">'Resultater - Vestdanmark'!H109+'Resultater - Østdanmark'!H109</f>
        <v>440600</v>
      </c>
      <c r="I109" s="253">
        <f ca="1">'Resultater - Vestdanmark'!I109+'Resultater - Østdanmark'!I109</f>
        <v>429380.51670086844</v>
      </c>
      <c r="J109" s="254">
        <f ca="1">'Resultater - Vestdanmark'!J109+'Resultater - Østdanmark'!J109</f>
        <v>408636.03759135393</v>
      </c>
    </row>
    <row r="110" spans="1:10" x14ac:dyDescent="0.25">
      <c r="A110" s="94" t="str">
        <f>'Resultater - Vestdanmark'!A110</f>
        <v>Kostald</v>
      </c>
      <c r="B110" s="94" t="str">
        <f>'Resultater - Vestdanmark'!B110</f>
        <v>Konventionel</v>
      </c>
      <c r="C110" s="94" t="str">
        <f>'Resultater - Vestdanmark'!C110</f>
        <v/>
      </c>
      <c r="D110" s="94" t="str">
        <f>'Resultater - Vestdanmark'!D110</f>
        <v>Køer</v>
      </c>
      <c r="E110" s="94" t="str">
        <f>'Resultater - Vestdanmark'!E110</f>
        <v>Antal</v>
      </c>
      <c r="F110" s="94" t="str">
        <f>'Resultater - Vestdanmark'!F110</f>
        <v>Kvæggylle</v>
      </c>
      <c r="G110" s="94" t="str">
        <f>'Resultater - Vestdanmark'!G110</f>
        <v>Ton</v>
      </c>
      <c r="H110" s="252">
        <f ca="1">'Resultater - Vestdanmark'!H110+'Resultater - Østdanmark'!H110</f>
        <v>12785500</v>
      </c>
      <c r="I110" s="253">
        <f ca="1">'Resultater - Vestdanmark'!I110+'Resultater - Østdanmark'!I110</f>
        <v>12459928.725099757</v>
      </c>
      <c r="J110" s="254">
        <f ca="1">'Resultater - Vestdanmark'!J110+'Resultater - Østdanmark'!J110</f>
        <v>11857957.463967897</v>
      </c>
    </row>
    <row r="111" spans="1:10" x14ac:dyDescent="0.25">
      <c r="A111" s="94" t="str">
        <f>'Resultater - Vestdanmark'!A111</f>
        <v>Kostald</v>
      </c>
      <c r="B111" s="94" t="str">
        <f>'Resultater - Vestdanmark'!B111</f>
        <v>Konventionel</v>
      </c>
      <c r="C111" s="94" t="str">
        <f>'Resultater - Vestdanmark'!C111</f>
        <v/>
      </c>
      <c r="D111" s="94" t="str">
        <f>'Resultater - Vestdanmark'!D111</f>
        <v>Køer</v>
      </c>
      <c r="E111" s="94" t="str">
        <f>'Resultater - Vestdanmark'!E111</f>
        <v>Antal</v>
      </c>
      <c r="F111" s="94" t="str">
        <f>'Resultater - Vestdanmark'!F111</f>
        <v>Dybstrøelse</v>
      </c>
      <c r="G111" s="94" t="str">
        <f>'Resultater - Vestdanmark'!G111</f>
        <v>Ton</v>
      </c>
      <c r="H111" s="252">
        <f ca="1">'Resultater - Vestdanmark'!H111+'Resultater - Østdanmark'!H111</f>
        <v>250560.00000000003</v>
      </c>
      <c r="I111" s="253">
        <f ca="1">'Resultater - Vestdanmark'!I111+'Resultater - Østdanmark'!I111</f>
        <v>244179.71462680344</v>
      </c>
      <c r="J111" s="254">
        <f ca="1">'Resultater - Vestdanmark'!J111+'Resultater - Østdanmark'!J111</f>
        <v>232382.76345639958</v>
      </c>
    </row>
    <row r="112" spans="1:10" x14ac:dyDescent="0.25">
      <c r="A112" s="94" t="str">
        <f>'Resultater - Vestdanmark'!A112</f>
        <v>Kostald</v>
      </c>
      <c r="B112" s="94" t="str">
        <f>'Resultater - Vestdanmark'!B112</f>
        <v>Konventionel</v>
      </c>
      <c r="C112" s="94" t="str">
        <f>'Resultater - Vestdanmark'!C112</f>
        <v/>
      </c>
      <c r="D112" s="94" t="str">
        <f>'Resultater - Vestdanmark'!D112</f>
        <v>Køer</v>
      </c>
      <c r="E112" s="94" t="str">
        <f>'Resultater - Vestdanmark'!E112</f>
        <v>Antal</v>
      </c>
      <c r="F112" s="94" t="str">
        <f>'Resultater - Vestdanmark'!F112</f>
        <v>Råmælk</v>
      </c>
      <c r="G112" s="94" t="str">
        <f>'Resultater - Vestdanmark'!G112</f>
        <v>Ton</v>
      </c>
      <c r="H112" s="252">
        <f ca="1">'Resultater - Vestdanmark'!H112+'Resultater - Østdanmark'!H112</f>
        <v>4786000</v>
      </c>
      <c r="I112" s="253">
        <f ca="1">'Resultater - Vestdanmark'!I112+'Resultater - Østdanmark'!I112</f>
        <v>4664128.8082849663</v>
      </c>
      <c r="J112" s="254">
        <f ca="1">'Resultater - Vestdanmark'!J112+'Resultater - Østdanmark'!J112</f>
        <v>4438792.7278988203</v>
      </c>
    </row>
    <row r="113" spans="1:10" x14ac:dyDescent="0.25">
      <c r="A113" s="94" t="str">
        <f>'Resultater - Vestdanmark'!A113</f>
        <v>Kostald</v>
      </c>
      <c r="B113" s="94" t="str">
        <f>'Resultater - Vestdanmark'!B113</f>
        <v>Konventionel</v>
      </c>
      <c r="C113" s="94" t="str">
        <f>'Resultater - Vestdanmark'!C113</f>
        <v/>
      </c>
      <c r="D113" s="94" t="str">
        <f>'Resultater - Vestdanmark'!D113</f>
        <v>Køer</v>
      </c>
      <c r="E113" s="94" t="str">
        <f>'Resultater - Vestdanmark'!E113</f>
        <v>Antal</v>
      </c>
      <c r="F113" s="94" t="str">
        <f>'Resultater - Vestdanmark'!F113</f>
        <v>Industriaffald</v>
      </c>
      <c r="G113" s="94" t="str">
        <f>'Resultater - Vestdanmark'!G113</f>
        <v>Ton</v>
      </c>
      <c r="H113" s="252">
        <f ca="1">'Resultater - Vestdanmark'!H113+'Resultater - Østdanmark'!H113</f>
        <v>54522.149641311174</v>
      </c>
      <c r="I113" s="253">
        <f ca="1">'Resultater - Vestdanmark'!I113+'Resultater - Østdanmark'!I113</f>
        <v>53133.792066791335</v>
      </c>
      <c r="J113" s="254">
        <f ca="1">'Resultater - Vestdanmark'!J113+'Resultater - Østdanmark'!J113</f>
        <v>50566.761666791324</v>
      </c>
    </row>
    <row r="114" spans="1:10" x14ac:dyDescent="0.25">
      <c r="A114" s="94" t="str">
        <f>'Resultater - Vestdanmark'!A114</f>
        <v>Kostald</v>
      </c>
      <c r="B114" s="94" t="str">
        <f>'Resultater - Vestdanmark'!B114</f>
        <v>Konventionel</v>
      </c>
      <c r="C114" s="94" t="str">
        <f>'Resultater - Vestdanmark'!C114</f>
        <v/>
      </c>
      <c r="D114" s="94" t="str">
        <f>'Resultater - Vestdanmark'!D114</f>
        <v>Køer</v>
      </c>
      <c r="E114" s="94" t="str">
        <f>'Resultater - Vestdanmark'!E114</f>
        <v>Antal</v>
      </c>
      <c r="F114" s="94" t="str">
        <f>'Resultater - Vestdanmark'!F114</f>
        <v>Foder</v>
      </c>
      <c r="G114" s="94" t="str">
        <f>'Resultater - Vestdanmark'!G114</f>
        <v>FE</v>
      </c>
      <c r="H114" s="252">
        <f ca="1">'Resultater - Vestdanmark'!H114+'Resultater - Østdanmark'!H114</f>
        <v>-3317225912</v>
      </c>
      <c r="I114" s="253">
        <f ca="1">'Resultater - Vestdanmark'!I114+'Resultater - Østdanmark'!I114</f>
        <v>-3232755733.3365173</v>
      </c>
      <c r="J114" s="254">
        <f ca="1">'Resultater - Vestdanmark'!J114+'Resultater - Østdanmark'!J114</f>
        <v>-3076572974.2965169</v>
      </c>
    </row>
    <row r="115" spans="1:10" x14ac:dyDescent="0.25">
      <c r="A115" s="94" t="str">
        <f>'Resultater - Vestdanmark'!A115</f>
        <v>Kostald</v>
      </c>
      <c r="B115" s="94" t="str">
        <f>'Resultater - Vestdanmark'!B115</f>
        <v>Konventionel</v>
      </c>
      <c r="C115" s="94" t="str">
        <f>'Resultater - Vestdanmark'!C115</f>
        <v/>
      </c>
      <c r="D115" s="94" t="str">
        <f>'Resultater - Vestdanmark'!D115</f>
        <v>Køer</v>
      </c>
      <c r="E115" s="94" t="str">
        <f>'Resultater - Vestdanmark'!E115</f>
        <v>Antal</v>
      </c>
      <c r="F115" s="94" t="str">
        <f>'Resultater - Vestdanmark'!F115</f>
        <v>Halm</v>
      </c>
      <c r="G115" s="94" t="str">
        <f>'Resultater - Vestdanmark'!G115</f>
        <v>Ton</v>
      </c>
      <c r="H115" s="252">
        <f ca="1">'Resultater - Vestdanmark'!H115+'Resultater - Østdanmark'!H115</f>
        <v>-13874.569799999999</v>
      </c>
      <c r="I115" s="253">
        <f ca="1">'Resultater - Vestdanmark'!I115+'Resultater - Østdanmark'!I115</f>
        <v>-13521.266340731423</v>
      </c>
      <c r="J115" s="254">
        <f ca="1">'Resultater - Vestdanmark'!J115+'Resultater - Østdanmark'!J115</f>
        <v>-12868.019124731421</v>
      </c>
    </row>
    <row r="116" spans="1:10" x14ac:dyDescent="0.25">
      <c r="A116" s="94" t="str">
        <f>'Resultater - Vestdanmark'!A116</f>
        <v>Kostald</v>
      </c>
      <c r="B116" s="94" t="str">
        <f>'Resultater - Vestdanmark'!B116</f>
        <v>Konventionel</v>
      </c>
      <c r="C116" s="94" t="str">
        <f>'Resultater - Vestdanmark'!C116</f>
        <v/>
      </c>
      <c r="D116" s="94" t="str">
        <f>'Resultater - Vestdanmark'!D116</f>
        <v>Køer</v>
      </c>
      <c r="E116" s="94" t="str">
        <f>'Resultater - Vestdanmark'!E116</f>
        <v>Antal</v>
      </c>
      <c r="F116" s="94" t="str">
        <f>'Resultater - Vestdanmark'!F116</f>
        <v>CO2 - atmosfære</v>
      </c>
      <c r="G116" s="94" t="str">
        <f>'Resultater - Vestdanmark'!G116</f>
        <v>t CO2-ækvivalenter</v>
      </c>
      <c r="H116" s="252">
        <f ca="1">'Resultater - Vestdanmark'!H116+'Resultater - Østdanmark'!H116</f>
        <v>3588024.4873487833</v>
      </c>
      <c r="I116" s="253">
        <f ca="1">'Resultater - Vestdanmark'!I116+'Resultater - Østdanmark'!I116</f>
        <v>3496658.6661670199</v>
      </c>
      <c r="J116" s="254">
        <f ca="1">'Resultater - Vestdanmark'!J116+'Resultater - Østdanmark'!J116</f>
        <v>3327726.0764660821</v>
      </c>
    </row>
    <row r="117" spans="1:10" x14ac:dyDescent="0.25">
      <c r="A117" s="94" t="str">
        <f>'Resultater - Vestdanmark'!A117</f>
        <v>Kostald</v>
      </c>
      <c r="B117" s="94" t="str">
        <f>'Resultater - Vestdanmark'!B117</f>
        <v>Økologisk</v>
      </c>
      <c r="C117" s="94" t="str">
        <f>'Resultater - Vestdanmark'!C117</f>
        <v/>
      </c>
      <c r="D117" s="94" t="str">
        <f>'Resultater - Vestdanmark'!D117</f>
        <v>Køer</v>
      </c>
      <c r="E117" s="94" t="str">
        <f>'Resultater - Vestdanmark'!E117</f>
        <v>Antal</v>
      </c>
      <c r="F117" s="94" t="str">
        <f>'Resultater - Vestdanmark'!F117</f>
        <v>Slagtekøer</v>
      </c>
      <c r="G117" s="94" t="str">
        <f>'Resultater - Vestdanmark'!G117</f>
        <v>Antal</v>
      </c>
      <c r="H117" s="252">
        <f ca="1">'Resultater - Vestdanmark'!H117+'Resultater - Østdanmark'!H117</f>
        <v>23400.000000000004</v>
      </c>
      <c r="I117" s="253">
        <f ca="1">'Resultater - Vestdanmark'!I117+'Resultater - Østdanmark'!I117</f>
        <v>26765.328207443497</v>
      </c>
      <c r="J117" s="254">
        <f ca="1">'Resultater - Vestdanmark'!J117+'Resultater - Østdanmark'!J117</f>
        <v>32987.716425747203</v>
      </c>
    </row>
    <row r="118" spans="1:10" x14ac:dyDescent="0.25">
      <c r="A118" s="94" t="str">
        <f>'Resultater - Vestdanmark'!A118</f>
        <v>Kostald</v>
      </c>
      <c r="B118" s="94" t="str">
        <f>'Resultater - Vestdanmark'!B118</f>
        <v>Økologisk</v>
      </c>
      <c r="C118" s="94" t="str">
        <f>'Resultater - Vestdanmark'!C118</f>
        <v/>
      </c>
      <c r="D118" s="94" t="str">
        <f>'Resultater - Vestdanmark'!D118</f>
        <v>Køer</v>
      </c>
      <c r="E118" s="94" t="str">
        <f>'Resultater - Vestdanmark'!E118</f>
        <v>Antal</v>
      </c>
      <c r="F118" s="94" t="str">
        <f>'Resultater - Vestdanmark'!F118</f>
        <v>Kvæggylle</v>
      </c>
      <c r="G118" s="94" t="str">
        <f>'Resultater - Vestdanmark'!G118</f>
        <v>Ton</v>
      </c>
      <c r="H118" s="252">
        <f ca="1">'Resultater - Vestdanmark'!H118+'Resultater - Østdanmark'!H118</f>
        <v>1264500</v>
      </c>
      <c r="I118" s="253">
        <f ca="1">'Resultater - Vestdanmark'!I118+'Resultater - Østdanmark'!I118</f>
        <v>1446357.1589022353</v>
      </c>
      <c r="J118" s="254">
        <f ca="1">'Resultater - Vestdanmark'!J118+'Resultater - Østdanmark'!J118</f>
        <v>1782605.445314416</v>
      </c>
    </row>
    <row r="119" spans="1:10" x14ac:dyDescent="0.25">
      <c r="A119" s="94" t="str">
        <f>'Resultater - Vestdanmark'!A119</f>
        <v>Kostald</v>
      </c>
      <c r="B119" s="94" t="str">
        <f>'Resultater - Vestdanmark'!B119</f>
        <v>Økologisk</v>
      </c>
      <c r="C119" s="94" t="str">
        <f>'Resultater - Vestdanmark'!C119</f>
        <v/>
      </c>
      <c r="D119" s="94" t="str">
        <f>'Resultater - Vestdanmark'!D119</f>
        <v>Køer</v>
      </c>
      <c r="E119" s="94" t="str">
        <f>'Resultater - Vestdanmark'!E119</f>
        <v>Antal</v>
      </c>
      <c r="F119" s="94" t="str">
        <f>'Resultater - Vestdanmark'!F119</f>
        <v>Dybstrøelse</v>
      </c>
      <c r="G119" s="94" t="str">
        <f>'Resultater - Vestdanmark'!G119</f>
        <v>Ton</v>
      </c>
      <c r="H119" s="252">
        <f ca="1">'Resultater - Vestdanmark'!H119+'Resultater - Østdanmark'!H119</f>
        <v>10440.000000000002</v>
      </c>
      <c r="I119" s="253">
        <f ca="1">'Resultater - Vestdanmark'!I119+'Resultater - Østdanmark'!I119</f>
        <v>11941.454123320946</v>
      </c>
      <c r="J119" s="254">
        <f ca="1">'Resultater - Vestdanmark'!J119+'Resultater - Østdanmark'!J119</f>
        <v>14717.596559179521</v>
      </c>
    </row>
    <row r="120" spans="1:10" x14ac:dyDescent="0.25">
      <c r="A120" s="94" t="str">
        <f>'Resultater - Vestdanmark'!A120</f>
        <v>Kostald</v>
      </c>
      <c r="B120" s="94" t="str">
        <f>'Resultater - Vestdanmark'!B120</f>
        <v>Økologisk</v>
      </c>
      <c r="C120" s="94" t="str">
        <f>'Resultater - Vestdanmark'!C120</f>
        <v/>
      </c>
      <c r="D120" s="94" t="str">
        <f>'Resultater - Vestdanmark'!D120</f>
        <v>Køer</v>
      </c>
      <c r="E120" s="94" t="str">
        <f>'Resultater - Vestdanmark'!E120</f>
        <v>Antal</v>
      </c>
      <c r="F120" s="94" t="str">
        <f>'Resultater - Vestdanmark'!F120</f>
        <v>Råmælk</v>
      </c>
      <c r="G120" s="94" t="str">
        <f>'Resultater - Vestdanmark'!G120</f>
        <v>Ton</v>
      </c>
      <c r="H120" s="252">
        <f ca="1">'Resultater - Vestdanmark'!H120+'Resultater - Østdanmark'!H120</f>
        <v>482999.99999999994</v>
      </c>
      <c r="I120" s="253">
        <f ca="1">'Resultater - Vestdanmark'!I120+'Resultater - Østdanmark'!I120</f>
        <v>552463.82582030806</v>
      </c>
      <c r="J120" s="254">
        <f ca="1">'Resultater - Vestdanmark'!J120+'Resultater - Østdanmark'!J120</f>
        <v>680900.30058273068</v>
      </c>
    </row>
    <row r="121" spans="1:10" x14ac:dyDescent="0.25">
      <c r="A121" s="94" t="str">
        <f>'Resultater - Vestdanmark'!A121</f>
        <v>Kostald</v>
      </c>
      <c r="B121" s="94" t="str">
        <f>'Resultater - Vestdanmark'!B121</f>
        <v>Økologisk</v>
      </c>
      <c r="C121" s="94" t="str">
        <f>'Resultater - Vestdanmark'!C121</f>
        <v/>
      </c>
      <c r="D121" s="94" t="str">
        <f>'Resultater - Vestdanmark'!D121</f>
        <v>Køer</v>
      </c>
      <c r="E121" s="94" t="str">
        <f>'Resultater - Vestdanmark'!E121</f>
        <v>Antal</v>
      </c>
      <c r="F121" s="94" t="str">
        <f>'Resultater - Vestdanmark'!F121</f>
        <v>Industriaffald</v>
      </c>
      <c r="G121" s="94" t="str">
        <f>'Resultater - Vestdanmark'!G121</f>
        <v>Ton</v>
      </c>
      <c r="H121" s="252">
        <f ca="1">'Resultater - Vestdanmark'!H121+'Resultater - Østdanmark'!H121</f>
        <v>9653.6103586888312</v>
      </c>
      <c r="I121" s="253">
        <f ca="1">'Resultater - Vestdanmark'!I121+'Resultater - Østdanmark'!I121</f>
        <v>11041.967933208674</v>
      </c>
      <c r="J121" s="254">
        <f ca="1">'Resultater - Vestdanmark'!J121+'Resultater - Østdanmark'!J121</f>
        <v>13608.998333208672</v>
      </c>
    </row>
    <row r="122" spans="1:10" x14ac:dyDescent="0.25">
      <c r="A122" s="94" t="str">
        <f>'Resultater - Vestdanmark'!A122</f>
        <v>Kostald</v>
      </c>
      <c r="B122" s="94" t="str">
        <f>'Resultater - Vestdanmark'!B122</f>
        <v>Økologisk</v>
      </c>
      <c r="C122" s="94" t="str">
        <f>'Resultater - Vestdanmark'!C122</f>
        <v/>
      </c>
      <c r="D122" s="94" t="str">
        <f>'Resultater - Vestdanmark'!D122</f>
        <v>Køer</v>
      </c>
      <c r="E122" s="94" t="str">
        <f>'Resultater - Vestdanmark'!E122</f>
        <v>Antal</v>
      </c>
      <c r="F122" s="94" t="str">
        <f>'Resultater - Vestdanmark'!F122</f>
        <v>Foder</v>
      </c>
      <c r="G122" s="94" t="str">
        <f>'Resultater - Vestdanmark'!G122</f>
        <v>FE</v>
      </c>
      <c r="H122" s="252">
        <f ca="1">'Resultater - Vestdanmark'!H122+'Resultater - Østdanmark'!H122</f>
        <v>-587343064</v>
      </c>
      <c r="I122" s="253">
        <f ca="1">'Resultater - Vestdanmark'!I122+'Resultater - Østdanmark'!I122</f>
        <v>-671813242.66348267</v>
      </c>
      <c r="J122" s="254">
        <f ca="1">'Resultater - Vestdanmark'!J122+'Resultater - Østdanmark'!J122</f>
        <v>-827996001.70348251</v>
      </c>
    </row>
    <row r="123" spans="1:10" x14ac:dyDescent="0.25">
      <c r="A123" s="94" t="str">
        <f>'Resultater - Vestdanmark'!A123</f>
        <v>Kostald</v>
      </c>
      <c r="B123" s="94" t="str">
        <f>'Resultater - Vestdanmark'!B123</f>
        <v>Økologisk</v>
      </c>
      <c r="C123" s="94" t="str">
        <f>'Resultater - Vestdanmark'!C123</f>
        <v/>
      </c>
      <c r="D123" s="94" t="str">
        <f>'Resultater - Vestdanmark'!D123</f>
        <v>Køer</v>
      </c>
      <c r="E123" s="94" t="str">
        <f>'Resultater - Vestdanmark'!E123</f>
        <v>Antal</v>
      </c>
      <c r="F123" s="94" t="str">
        <f>'Resultater - Vestdanmark'!F123</f>
        <v>Halm</v>
      </c>
      <c r="G123" s="94" t="str">
        <f>'Resultater - Vestdanmark'!G123</f>
        <v>Ton</v>
      </c>
      <c r="H123" s="252">
        <f ca="1">'Resultater - Vestdanmark'!H123+'Resultater - Østdanmark'!H123</f>
        <v>-2961.3935999999999</v>
      </c>
      <c r="I123" s="253">
        <f ca="1">'Resultater - Vestdanmark'!I123+'Resultater - Østdanmark'!I123</f>
        <v>-3387.2936604881475</v>
      </c>
      <c r="J123" s="254">
        <f ca="1">'Resultater - Vestdanmark'!J123+'Resultater - Østdanmark'!J123</f>
        <v>-4174.7697564881473</v>
      </c>
    </row>
    <row r="124" spans="1:10" x14ac:dyDescent="0.25">
      <c r="A124" s="94" t="str">
        <f>'Resultater - Vestdanmark'!A124</f>
        <v>Kostald</v>
      </c>
      <c r="B124" s="94" t="str">
        <f>'Resultater - Vestdanmark'!B124</f>
        <v>Økologisk</v>
      </c>
      <c r="C124" s="94" t="str">
        <f>'Resultater - Vestdanmark'!C124</f>
        <v/>
      </c>
      <c r="D124" s="94" t="str">
        <f>'Resultater - Vestdanmark'!D124</f>
        <v>Køer</v>
      </c>
      <c r="E124" s="94" t="str">
        <f>'Resultater - Vestdanmark'!E124</f>
        <v>Antal</v>
      </c>
      <c r="F124" s="94" t="str">
        <f>'Resultater - Vestdanmark'!F124</f>
        <v>CO2 - atmosfære</v>
      </c>
      <c r="G124" s="94" t="str">
        <f>'Resultater - Vestdanmark'!G124</f>
        <v>t CO2-ækvivalenter</v>
      </c>
      <c r="H124" s="252">
        <f ca="1">'Resultater - Vestdanmark'!H124+'Resultater - Østdanmark'!H124</f>
        <v>531260.59557996574</v>
      </c>
      <c r="I124" s="253">
        <f ca="1">'Resultater - Vestdanmark'!I124+'Resultater - Østdanmark'!I124</f>
        <v>607665.13693930302</v>
      </c>
      <c r="J124" s="254">
        <f ca="1">'Resultater - Vestdanmark'!J124+'Resultater - Østdanmark'!J124</f>
        <v>748934.78098997765</v>
      </c>
    </row>
    <row r="125" spans="1:10" x14ac:dyDescent="0.25">
      <c r="A125" s="94" t="str">
        <f>'Resultater - Vestdanmark'!A125</f>
        <v>Fjerkræbrug</v>
      </c>
      <c r="B125" s="94" t="str">
        <f>'Resultater - Vestdanmark'!B125</f>
        <v>Konventionel</v>
      </c>
      <c r="C125" s="94" t="str">
        <f>'Resultater - Vestdanmark'!C125</f>
        <v/>
      </c>
      <c r="D125" s="94" t="str">
        <f>'Resultater - Vestdanmark'!D125</f>
        <v>Fjerkræ</v>
      </c>
      <c r="E125" s="94" t="str">
        <f>'Resultater - Vestdanmark'!E125</f>
        <v>Antal</v>
      </c>
      <c r="F125" s="94" t="str">
        <f>'Resultater - Vestdanmark'!F125</f>
        <v>Slagtefjerkræ</v>
      </c>
      <c r="G125" s="94" t="str">
        <f>'Resultater - Vestdanmark'!G125</f>
        <v>Antal</v>
      </c>
      <c r="H125" s="252">
        <f ca="1">'Resultater - Vestdanmark'!H125+'Resultater - Østdanmark'!H125</f>
        <v>105566999.99999999</v>
      </c>
      <c r="I125" s="253">
        <f ca="1">'Resultater - Vestdanmark'!I125+'Resultater - Østdanmark'!I125</f>
        <v>102904851.25711353</v>
      </c>
      <c r="J125" s="254">
        <f ca="1">'Resultater - Vestdanmark'!J125+'Resultater - Østdanmark'!J125</f>
        <v>97982620.213951036</v>
      </c>
    </row>
    <row r="126" spans="1:10" x14ac:dyDescent="0.25">
      <c r="A126" s="94" t="str">
        <f>'Resultater - Vestdanmark'!A126</f>
        <v>Fjerkræbrug</v>
      </c>
      <c r="B126" s="94" t="str">
        <f>'Resultater - Vestdanmark'!B126</f>
        <v>Konventionel</v>
      </c>
      <c r="C126" s="94" t="str">
        <f>'Resultater - Vestdanmark'!C126</f>
        <v/>
      </c>
      <c r="D126" s="94" t="str">
        <f>'Resultater - Vestdanmark'!D126</f>
        <v>Fjerkræ</v>
      </c>
      <c r="E126" s="94" t="str">
        <f>'Resultater - Vestdanmark'!E126</f>
        <v>Antal</v>
      </c>
      <c r="F126" s="94" t="str">
        <f>'Resultater - Vestdanmark'!F126</f>
        <v>Fjerkrægylle</v>
      </c>
      <c r="G126" s="94" t="str">
        <f>'Resultater - Vestdanmark'!G126</f>
        <v>Ton</v>
      </c>
      <c r="H126" s="252">
        <f ca="1">'Resultater - Vestdanmark'!H126+'Resultater - Østdanmark'!H126</f>
        <v>6719.2238038686164</v>
      </c>
      <c r="I126" s="253">
        <f ca="1">'Resultater - Vestdanmark'!I126+'Resultater - Østdanmark'!I126</f>
        <v>6549.7809552261278</v>
      </c>
      <c r="J126" s="254">
        <f ca="1">'Resultater - Vestdanmark'!J126+'Resultater - Østdanmark'!J126</f>
        <v>6236.4863461782397</v>
      </c>
    </row>
    <row r="127" spans="1:10" x14ac:dyDescent="0.25">
      <c r="A127" s="94" t="str">
        <f>'Resultater - Vestdanmark'!A127</f>
        <v>Fjerkræbrug</v>
      </c>
      <c r="B127" s="94" t="str">
        <f>'Resultater - Vestdanmark'!B127</f>
        <v>Konventionel</v>
      </c>
      <c r="C127" s="94" t="str">
        <f>'Resultater - Vestdanmark'!C127</f>
        <v/>
      </c>
      <c r="D127" s="94" t="str">
        <f>'Resultater - Vestdanmark'!D127</f>
        <v>Fjerkræ</v>
      </c>
      <c r="E127" s="94" t="str">
        <f>'Resultater - Vestdanmark'!E127</f>
        <v>Antal</v>
      </c>
      <c r="F127" s="94" t="str">
        <f>'Resultater - Vestdanmark'!F127</f>
        <v>Dybstrøelse</v>
      </c>
      <c r="G127" s="94" t="str">
        <f>'Resultater - Vestdanmark'!G127</f>
        <v>Ton</v>
      </c>
      <c r="H127" s="252">
        <f ca="1">'Resultater - Vestdanmark'!H127+'Resultater - Østdanmark'!H127</f>
        <v>148922.51453359297</v>
      </c>
      <c r="I127" s="253">
        <f ca="1">'Resultater - Vestdanmark'!I127+'Resultater - Østdanmark'!I127</f>
        <v>145167.04279665722</v>
      </c>
      <c r="J127" s="254">
        <f ca="1">'Resultater - Vestdanmark'!J127+'Resultater - Østdanmark'!J127</f>
        <v>138223.29120702157</v>
      </c>
    </row>
    <row r="128" spans="1:10" x14ac:dyDescent="0.25">
      <c r="A128" s="94" t="str">
        <f>'Resultater - Vestdanmark'!A128</f>
        <v>Fjerkræbrug</v>
      </c>
      <c r="B128" s="94" t="str">
        <f>'Resultater - Vestdanmark'!B128</f>
        <v>Konventionel</v>
      </c>
      <c r="C128" s="94" t="str">
        <f>'Resultater - Vestdanmark'!C128</f>
        <v/>
      </c>
      <c r="D128" s="94" t="str">
        <f>'Resultater - Vestdanmark'!D128</f>
        <v>Fjerkræ</v>
      </c>
      <c r="E128" s="94" t="str">
        <f>'Resultater - Vestdanmark'!E128</f>
        <v>Antal</v>
      </c>
      <c r="F128" s="94" t="str">
        <f>'Resultater - Vestdanmark'!F128</f>
        <v>Æg</v>
      </c>
      <c r="G128" s="94" t="str">
        <f>'Resultater - Vestdanmark'!G128</f>
        <v>Ton</v>
      </c>
      <c r="H128" s="252">
        <f ca="1">'Resultater - Vestdanmark'!H128+'Resultater - Østdanmark'!H128</f>
        <v>220000</v>
      </c>
      <c r="I128" s="253">
        <f ca="1">'Resultater - Vestdanmark'!I128+'Resultater - Østdanmark'!I128</f>
        <v>214452.12307411386</v>
      </c>
      <c r="J128" s="254">
        <f ca="1">'Resultater - Vestdanmark'!J128+'Resultater - Østdanmark'!J128</f>
        <v>204194.26948827977</v>
      </c>
    </row>
    <row r="129" spans="1:10" x14ac:dyDescent="0.25">
      <c r="A129" s="94" t="str">
        <f>'Resultater - Vestdanmark'!A129</f>
        <v>Fjerkræbrug</v>
      </c>
      <c r="B129" s="94" t="str">
        <f>'Resultater - Vestdanmark'!B129</f>
        <v>Konventionel</v>
      </c>
      <c r="C129" s="94" t="str">
        <f>'Resultater - Vestdanmark'!C129</f>
        <v/>
      </c>
      <c r="D129" s="94" t="str">
        <f>'Resultater - Vestdanmark'!D129</f>
        <v>Fjerkræ</v>
      </c>
      <c r="E129" s="94" t="str">
        <f>'Resultater - Vestdanmark'!E129</f>
        <v>Antal</v>
      </c>
      <c r="F129" s="94" t="str">
        <f>'Resultater - Vestdanmark'!F129</f>
        <v>Industriaffald</v>
      </c>
      <c r="G129" s="94" t="str">
        <f>'Resultater - Vestdanmark'!G129</f>
        <v>Ton</v>
      </c>
      <c r="H129" s="252">
        <f ca="1">'Resultater - Vestdanmark'!H129+'Resultater - Østdanmark'!H129</f>
        <v>9291.4831667730468</v>
      </c>
      <c r="I129" s="253">
        <f ca="1">'Resultater - Vestdanmark'!I129+'Resultater - Østdanmark'!I129</f>
        <v>9057.1740528266855</v>
      </c>
      <c r="J129" s="254">
        <f ca="1">'Resultater - Vestdanmark'!J129+'Resultater - Østdanmark'!J129</f>
        <v>8623.943716826685</v>
      </c>
    </row>
    <row r="130" spans="1:10" x14ac:dyDescent="0.25">
      <c r="A130" s="94" t="str">
        <f>'Resultater - Vestdanmark'!A130</f>
        <v>Fjerkræbrug</v>
      </c>
      <c r="B130" s="94" t="str">
        <f>'Resultater - Vestdanmark'!B130</f>
        <v>Konventionel</v>
      </c>
      <c r="C130" s="94" t="str">
        <f>'Resultater - Vestdanmark'!C130</f>
        <v/>
      </c>
      <c r="D130" s="94" t="str">
        <f>'Resultater - Vestdanmark'!D130</f>
        <v>Fjerkræ</v>
      </c>
      <c r="E130" s="94" t="str">
        <f>'Resultater - Vestdanmark'!E130</f>
        <v>Antal</v>
      </c>
      <c r="F130" s="94" t="str">
        <f>'Resultater - Vestdanmark'!F130</f>
        <v>Foder</v>
      </c>
      <c r="G130" s="94" t="str">
        <f>'Resultater - Vestdanmark'!G130</f>
        <v>FE</v>
      </c>
      <c r="H130" s="252">
        <f ca="1">'Resultater - Vestdanmark'!H130+'Resultater - Østdanmark'!H130</f>
        <v>-365582337.12</v>
      </c>
      <c r="I130" s="253">
        <f ca="1">'Resultater - Vestdanmark'!I130+'Resultater - Østdanmark'!I130</f>
        <v>-356363219.78991097</v>
      </c>
      <c r="J130" s="254">
        <f ca="1">'Resultater - Vestdanmark'!J130+'Resultater - Østdanmark'!J130</f>
        <v>-339317355.75471103</v>
      </c>
    </row>
    <row r="131" spans="1:10" x14ac:dyDescent="0.25">
      <c r="A131" s="94" t="str">
        <f>'Resultater - Vestdanmark'!A131</f>
        <v>Fjerkræbrug</v>
      </c>
      <c r="B131" s="94" t="str">
        <f>'Resultater - Vestdanmark'!B131</f>
        <v>Konventionel</v>
      </c>
      <c r="C131" s="94" t="str">
        <f>'Resultater - Vestdanmark'!C131</f>
        <v/>
      </c>
      <c r="D131" s="94" t="str">
        <f>'Resultater - Vestdanmark'!D131</f>
        <v>Fjerkræ</v>
      </c>
      <c r="E131" s="94" t="str">
        <f>'Resultater - Vestdanmark'!E131</f>
        <v>Antal</v>
      </c>
      <c r="F131" s="94" t="str">
        <f>'Resultater - Vestdanmark'!F131</f>
        <v>Halm</v>
      </c>
      <c r="G131" s="94" t="str">
        <f>'Resultater - Vestdanmark'!G131</f>
        <v>Ton</v>
      </c>
      <c r="H131" s="252">
        <f ca="1">'Resultater - Vestdanmark'!H131+'Resultater - Østdanmark'!H131</f>
        <v>-8664.776171999998</v>
      </c>
      <c r="I131" s="253">
        <f ca="1">'Resultater - Vestdanmark'!I131+'Resultater - Østdanmark'!I131</f>
        <v>-8446.2711183972406</v>
      </c>
      <c r="J131" s="254">
        <f ca="1">'Resultater - Vestdanmark'!J131+'Resultater - Østdanmark'!J131</f>
        <v>-8042.2620032772411</v>
      </c>
    </row>
    <row r="132" spans="1:10" x14ac:dyDescent="0.25">
      <c r="A132" s="94" t="str">
        <f>'Resultater - Vestdanmark'!A132</f>
        <v>Fjerkræbrug</v>
      </c>
      <c r="B132" s="94" t="str">
        <f>'Resultater - Vestdanmark'!B132</f>
        <v>Konventionel</v>
      </c>
      <c r="C132" s="94" t="str">
        <f>'Resultater - Vestdanmark'!C132</f>
        <v/>
      </c>
      <c r="D132" s="94" t="str">
        <f>'Resultater - Vestdanmark'!D132</f>
        <v>Fjerkræ</v>
      </c>
      <c r="E132" s="94" t="str">
        <f>'Resultater - Vestdanmark'!E132</f>
        <v>Antal</v>
      </c>
      <c r="F132" s="94" t="str">
        <f>'Resultater - Vestdanmark'!F132</f>
        <v>CO2 - atmosfære</v>
      </c>
      <c r="G132" s="94" t="str">
        <f>'Resultater - Vestdanmark'!G132</f>
        <v>t CO2-ækvivalenter</v>
      </c>
      <c r="H132" s="252">
        <f ca="1">'Resultater - Vestdanmark'!H132+'Resultater - Østdanmark'!H132</f>
        <v>14116.474844810102</v>
      </c>
      <c r="I132" s="253">
        <f ca="1">'Resultater - Vestdanmark'!I132+'Resultater - Østdanmark'!I132</f>
        <v>13760.490912690218</v>
      </c>
      <c r="J132" s="254">
        <f ca="1">'Resultater - Vestdanmark'!J132+'Resultater - Østdanmark'!J132</f>
        <v>13102.287584934891</v>
      </c>
    </row>
    <row r="133" spans="1:10" x14ac:dyDescent="0.25">
      <c r="A133" s="94" t="str">
        <f>'Resultater - Vestdanmark'!A133</f>
        <v>Fjerkræbrug</v>
      </c>
      <c r="B133" s="94" t="str">
        <f>'Resultater - Vestdanmark'!B133</f>
        <v>Økologisk</v>
      </c>
      <c r="C133" s="94" t="str">
        <f>'Resultater - Vestdanmark'!C133</f>
        <v/>
      </c>
      <c r="D133" s="94" t="str">
        <f>'Resultater - Vestdanmark'!D133</f>
        <v>Fjerkræ</v>
      </c>
      <c r="E133" s="94" t="str">
        <f>'Resultater - Vestdanmark'!E133</f>
        <v>Antal</v>
      </c>
      <c r="F133" s="94" t="str">
        <f>'Resultater - Vestdanmark'!F133</f>
        <v>Slagtefjerkræ</v>
      </c>
      <c r="G133" s="94" t="str">
        <f>'Resultater - Vestdanmark'!G133</f>
        <v>Antal</v>
      </c>
      <c r="H133" s="252">
        <f ca="1">'Resultater - Vestdanmark'!H133+'Resultater - Østdanmark'!H133</f>
        <v>1224707</v>
      </c>
      <c r="I133" s="253">
        <f ca="1">'Resultater - Vestdanmark'!I133+'Resultater - Østdanmark'!I133</f>
        <v>1411132.4071133996</v>
      </c>
      <c r="J133" s="254">
        <f ca="1">'Resultater - Vestdanmark'!J133+'Resultater - Østdanmark'!J133</f>
        <v>1755827.2437861352</v>
      </c>
    </row>
    <row r="134" spans="1:10" x14ac:dyDescent="0.25">
      <c r="A134" s="94" t="str">
        <f>'Resultater - Vestdanmark'!A134</f>
        <v>Fjerkræbrug</v>
      </c>
      <c r="B134" s="94" t="str">
        <f>'Resultater - Vestdanmark'!B134</f>
        <v>Økologisk</v>
      </c>
      <c r="C134" s="94" t="str">
        <f>'Resultater - Vestdanmark'!C134</f>
        <v/>
      </c>
      <c r="D134" s="94" t="str">
        <f>'Resultater - Vestdanmark'!D134</f>
        <v>Fjerkræ</v>
      </c>
      <c r="E134" s="94" t="str">
        <f>'Resultater - Vestdanmark'!E134</f>
        <v>Antal</v>
      </c>
      <c r="F134" s="94" t="str">
        <f>'Resultater - Vestdanmark'!F134</f>
        <v>Fjerkrægylle</v>
      </c>
      <c r="G134" s="94" t="str">
        <f>'Resultater - Vestdanmark'!G134</f>
        <v>Ton</v>
      </c>
      <c r="H134" s="252">
        <f ca="1">'Resultater - Vestdanmark'!H134+'Resultater - Østdanmark'!H134</f>
        <v>2163.7761961313831</v>
      </c>
      <c r="I134" s="253">
        <f ca="1">'Resultater - Vestdanmark'!I134+'Resultater - Østdanmark'!I134</f>
        <v>2493.1471054722101</v>
      </c>
      <c r="J134" s="254">
        <f ca="1">'Resultater - Vestdanmark'!J134+'Resultater - Østdanmark'!J134</f>
        <v>3102.1437736727353</v>
      </c>
    </row>
    <row r="135" spans="1:10" x14ac:dyDescent="0.25">
      <c r="A135" s="94" t="str">
        <f>'Resultater - Vestdanmark'!A135</f>
        <v>Fjerkræbrug</v>
      </c>
      <c r="B135" s="94" t="str">
        <f>'Resultater - Vestdanmark'!B135</f>
        <v>Økologisk</v>
      </c>
      <c r="C135" s="94" t="str">
        <f>'Resultater - Vestdanmark'!C135</f>
        <v/>
      </c>
      <c r="D135" s="94" t="str">
        <f>'Resultater - Vestdanmark'!D135</f>
        <v>Fjerkræ</v>
      </c>
      <c r="E135" s="94" t="str">
        <f>'Resultater - Vestdanmark'!E135</f>
        <v>Antal</v>
      </c>
      <c r="F135" s="94" t="str">
        <f>'Resultater - Vestdanmark'!F135</f>
        <v>Dybstrøelse</v>
      </c>
      <c r="G135" s="94" t="str">
        <f>'Resultater - Vestdanmark'!G135</f>
        <v>Ton</v>
      </c>
      <c r="H135" s="252">
        <f ca="1">'Resultater - Vestdanmark'!H135+'Resultater - Østdanmark'!H135</f>
        <v>8147.4854664070526</v>
      </c>
      <c r="I135" s="253">
        <f ca="1">'Resultater - Vestdanmark'!I135+'Resultater - Østdanmark'!I135</f>
        <v>9387.6990807862003</v>
      </c>
      <c r="J135" s="254">
        <f ca="1">'Resultater - Vestdanmark'!J135+'Resultater - Østdanmark'!J135</f>
        <v>11680.815860666338</v>
      </c>
    </row>
    <row r="136" spans="1:10" x14ac:dyDescent="0.25">
      <c r="A136" s="94" t="str">
        <f>'Resultater - Vestdanmark'!A136</f>
        <v>Fjerkræbrug</v>
      </c>
      <c r="B136" s="94" t="str">
        <f>'Resultater - Vestdanmark'!B136</f>
        <v>Økologisk</v>
      </c>
      <c r="C136" s="94" t="str">
        <f>'Resultater - Vestdanmark'!C136</f>
        <v/>
      </c>
      <c r="D136" s="94" t="str">
        <f>'Resultater - Vestdanmark'!D136</f>
        <v>Fjerkræ</v>
      </c>
      <c r="E136" s="94" t="str">
        <f>'Resultater - Vestdanmark'!E136</f>
        <v>Antal</v>
      </c>
      <c r="F136" s="94" t="str">
        <f>'Resultater - Vestdanmark'!F136</f>
        <v>Æg</v>
      </c>
      <c r="G136" s="94" t="str">
        <f>'Resultater - Vestdanmark'!G136</f>
        <v>Ton</v>
      </c>
      <c r="H136" s="252">
        <f ca="1">'Resultater - Vestdanmark'!H136+'Resultater - Østdanmark'!H136</f>
        <v>15000</v>
      </c>
      <c r="I136" s="253">
        <f ca="1">'Resultater - Vestdanmark'!I136+'Resultater - Østdanmark'!I136</f>
        <v>17283.306216671408</v>
      </c>
      <c r="J136" s="254">
        <f ca="1">'Resultater - Vestdanmark'!J136+'Resultater - Østdanmark'!J136</f>
        <v>21505.069095540424</v>
      </c>
    </row>
    <row r="137" spans="1:10" x14ac:dyDescent="0.25">
      <c r="A137" s="94" t="str">
        <f>'Resultater - Vestdanmark'!A137</f>
        <v>Fjerkræbrug</v>
      </c>
      <c r="B137" s="94" t="str">
        <f>'Resultater - Vestdanmark'!B137</f>
        <v>Økologisk</v>
      </c>
      <c r="C137" s="94" t="str">
        <f>'Resultater - Vestdanmark'!C137</f>
        <v/>
      </c>
      <c r="D137" s="94" t="str">
        <f>'Resultater - Vestdanmark'!D137</f>
        <v>Fjerkræ</v>
      </c>
      <c r="E137" s="94" t="str">
        <f>'Resultater - Vestdanmark'!E137</f>
        <v>Antal</v>
      </c>
      <c r="F137" s="94" t="str">
        <f>'Resultater - Vestdanmark'!F137</f>
        <v>Industriaffald</v>
      </c>
      <c r="G137" s="94" t="str">
        <f>'Resultater - Vestdanmark'!G137</f>
        <v>Ton</v>
      </c>
      <c r="H137" s="252">
        <f ca="1">'Resultater - Vestdanmark'!H137+'Resultater - Østdanmark'!H137</f>
        <v>1539.2752332269538</v>
      </c>
      <c r="I137" s="253">
        <f ca="1">'Resultater - Vestdanmark'!I137+'Resultater - Østdanmark'!I137</f>
        <v>1773.5843471733165</v>
      </c>
      <c r="J137" s="254">
        <f ca="1">'Resultater - Vestdanmark'!J137+'Resultater - Østdanmark'!J137</f>
        <v>2206.8146831733166</v>
      </c>
    </row>
    <row r="138" spans="1:10" x14ac:dyDescent="0.25">
      <c r="A138" s="94" t="str">
        <f>'Resultater - Vestdanmark'!A138</f>
        <v>Fjerkræbrug</v>
      </c>
      <c r="B138" s="94" t="str">
        <f>'Resultater - Vestdanmark'!B138</f>
        <v>Økologisk</v>
      </c>
      <c r="C138" s="94" t="str">
        <f>'Resultater - Vestdanmark'!C138</f>
        <v/>
      </c>
      <c r="D138" s="94" t="str">
        <f>'Resultater - Vestdanmark'!D138</f>
        <v>Fjerkræ</v>
      </c>
      <c r="E138" s="94" t="str">
        <f>'Resultater - Vestdanmark'!E138</f>
        <v>Antal</v>
      </c>
      <c r="F138" s="94" t="str">
        <f>'Resultater - Vestdanmark'!F138</f>
        <v>Foder</v>
      </c>
      <c r="G138" s="94" t="str">
        <f>'Resultater - Vestdanmark'!G138</f>
        <v>FE</v>
      </c>
      <c r="H138" s="252">
        <f ca="1">'Resultater - Vestdanmark'!H138+'Resultater - Østdanmark'!H138</f>
        <v>-60564263.759999998</v>
      </c>
      <c r="I138" s="253">
        <f ca="1">'Resultater - Vestdanmark'!I138+'Resultater - Østdanmark'!I138</f>
        <v>-69783381.090089008</v>
      </c>
      <c r="J138" s="254">
        <f ca="1">'Resultater - Vestdanmark'!J138+'Resultater - Østdanmark'!J138</f>
        <v>-86829245.125289008</v>
      </c>
    </row>
    <row r="139" spans="1:10" x14ac:dyDescent="0.25">
      <c r="A139" s="94" t="str">
        <f>'Resultater - Vestdanmark'!A139</f>
        <v>Fjerkræbrug</v>
      </c>
      <c r="B139" s="94" t="str">
        <f>'Resultater - Vestdanmark'!B139</f>
        <v>Økologisk</v>
      </c>
      <c r="C139" s="94" t="str">
        <f>'Resultater - Vestdanmark'!C139</f>
        <v/>
      </c>
      <c r="D139" s="94" t="str">
        <f>'Resultater - Vestdanmark'!D139</f>
        <v>Fjerkræ</v>
      </c>
      <c r="E139" s="94" t="str">
        <f>'Resultater - Vestdanmark'!E139</f>
        <v>Antal</v>
      </c>
      <c r="F139" s="94" t="str">
        <f>'Resultater - Vestdanmark'!F139</f>
        <v>Halm</v>
      </c>
      <c r="G139" s="94" t="str">
        <f>'Resultater - Vestdanmark'!G139</f>
        <v>Ton</v>
      </c>
      <c r="H139" s="252">
        <f ca="1">'Resultater - Vestdanmark'!H139+'Resultater - Østdanmark'!H139</f>
        <v>-2703.7617749999999</v>
      </c>
      <c r="I139" s="253">
        <f ca="1">'Resultater - Vestdanmark'!I139+'Resultater - Østdanmark'!I139</f>
        <v>-3115.3295129504022</v>
      </c>
      <c r="J139" s="254">
        <f ca="1">'Resultater - Vestdanmark'!J139+'Resultater - Østdanmark'!J139</f>
        <v>-3876.3055859504016</v>
      </c>
    </row>
    <row r="140" spans="1:10" x14ac:dyDescent="0.25">
      <c r="A140" s="94" t="str">
        <f>'Resultater - Vestdanmark'!A140</f>
        <v>Fjerkræbrug</v>
      </c>
      <c r="B140" s="94" t="str">
        <f>'Resultater - Vestdanmark'!B140</f>
        <v>Økologisk</v>
      </c>
      <c r="C140" s="94" t="str">
        <f>'Resultater - Vestdanmark'!C140</f>
        <v/>
      </c>
      <c r="D140" s="94" t="str">
        <f>'Resultater - Vestdanmark'!D140</f>
        <v>Fjerkræ</v>
      </c>
      <c r="E140" s="94" t="str">
        <f>'Resultater - Vestdanmark'!E140</f>
        <v>Antal</v>
      </c>
      <c r="F140" s="94" t="str">
        <f>'Resultater - Vestdanmark'!F140</f>
        <v>CO2 - atmosfære</v>
      </c>
      <c r="G140" s="94" t="str">
        <f>'Resultater - Vestdanmark'!G140</f>
        <v>t CO2-ækvivalenter</v>
      </c>
      <c r="H140" s="252">
        <f ca="1">'Resultater - Vestdanmark'!H140+'Resultater - Østdanmark'!H140</f>
        <v>2572.4691839803959</v>
      </c>
      <c r="I140" s="253">
        <f ca="1">'Resultater - Vestdanmark'!I140+'Resultater - Østdanmark'!I140</f>
        <v>2964.0515093122676</v>
      </c>
      <c r="J140" s="254">
        <f ca="1">'Resultater - Vestdanmark'!J140+'Resultater - Østdanmark'!J140</f>
        <v>3688.0751698431277</v>
      </c>
    </row>
    <row r="141" spans="1:10" x14ac:dyDescent="0.25">
      <c r="A141" s="94" t="str">
        <f>'Resultater - Vestdanmark'!A141</f>
        <v>Kornmark</v>
      </c>
      <c r="B141" s="94" t="str">
        <f>'Resultater - Vestdanmark'!B141</f>
        <v>Konventionel</v>
      </c>
      <c r="C141" s="94" t="str">
        <f>'Resultater - Vestdanmark'!C141</f>
        <v>JB1-10</v>
      </c>
      <c r="D141" s="94" t="str">
        <f>'Resultater - Vestdanmark'!D141</f>
        <v>Areal-korn</v>
      </c>
      <c r="E141" s="94" t="str">
        <f>'Resultater - Vestdanmark'!E141</f>
        <v>Hektar</v>
      </c>
      <c r="F141" s="94" t="str">
        <f>'Resultater - Vestdanmark'!F141</f>
        <v>Korn</v>
      </c>
      <c r="G141" s="94" t="str">
        <f>'Resultater - Vestdanmark'!G141</f>
        <v>Ton</v>
      </c>
      <c r="H141" s="252">
        <f>'Resultater - Vestdanmark'!H141+'Resultater - Østdanmark'!H141</f>
        <v>8028892.7421747725</v>
      </c>
      <c r="I141" s="253">
        <f>'Resultater - Vestdanmark'!I141+'Resultater - Østdanmark'!I141</f>
        <v>7950720.4022168424</v>
      </c>
      <c r="J141" s="254">
        <f>'Resultater - Vestdanmark'!J141+'Resultater - Østdanmark'!J141</f>
        <v>7708643.31109758</v>
      </c>
    </row>
    <row r="142" spans="1:10" x14ac:dyDescent="0.25">
      <c r="A142" s="94" t="str">
        <f>'Resultater - Vestdanmark'!A142</f>
        <v>Kornmark</v>
      </c>
      <c r="B142" s="94" t="str">
        <f>'Resultater - Vestdanmark'!B142</f>
        <v>Konventionel</v>
      </c>
      <c r="C142" s="94" t="str">
        <f>'Resultater - Vestdanmark'!C142</f>
        <v>JB1-10</v>
      </c>
      <c r="D142" s="94" t="str">
        <f>'Resultater - Vestdanmark'!D142</f>
        <v>Areal-korn</v>
      </c>
      <c r="E142" s="94" t="str">
        <f>'Resultater - Vestdanmark'!E142</f>
        <v>Hektar</v>
      </c>
      <c r="F142" s="94" t="str">
        <f>'Resultater - Vestdanmark'!F142</f>
        <v>Halm</v>
      </c>
      <c r="G142" s="94" t="str">
        <f>'Resultater - Vestdanmark'!G142</f>
        <v>Ton</v>
      </c>
      <c r="H142" s="252">
        <f>'Resultater - Vestdanmark'!H142+'Resultater - Østdanmark'!H142</f>
        <v>2620610.5188139905</v>
      </c>
      <c r="I142" s="253">
        <f>'Resultater - Vestdanmark'!I142+'Resultater - Østdanmark'!I142</f>
        <v>3498316.9769754112</v>
      </c>
      <c r="J142" s="254">
        <f>'Resultater - Vestdanmark'!J142+'Resultater - Østdanmark'!J142</f>
        <v>3815778.4389933026</v>
      </c>
    </row>
    <row r="143" spans="1:10" x14ac:dyDescent="0.25">
      <c r="A143" s="94" t="str">
        <f>'Resultater - Vestdanmark'!A143</f>
        <v>Kornmark</v>
      </c>
      <c r="B143" s="94" t="str">
        <f>'Resultater - Vestdanmark'!B143</f>
        <v>Konventionel</v>
      </c>
      <c r="C143" s="94" t="str">
        <f>'Resultater - Vestdanmark'!C143</f>
        <v>JB1-10</v>
      </c>
      <c r="D143" s="94" t="str">
        <f>'Resultater - Vestdanmark'!D143</f>
        <v>Areal-korn</v>
      </c>
      <c r="E143" s="94" t="str">
        <f>'Resultater - Vestdanmark'!E143</f>
        <v>Hektar</v>
      </c>
      <c r="F143" s="94" t="str">
        <f>'Resultater - Vestdanmark'!F143</f>
        <v>Gødning</v>
      </c>
      <c r="G143" s="94" t="str">
        <f>'Resultater - Vestdanmark'!G143</f>
        <v>kg N</v>
      </c>
      <c r="H143" s="252">
        <f>'Resultater - Vestdanmark'!H143+'Resultater - Østdanmark'!H143</f>
        <v>-183255754.45762676</v>
      </c>
      <c r="I143" s="253">
        <f>'Resultater - Vestdanmark'!I143+'Resultater - Østdanmark'!I143</f>
        <v>-169599539.2902922</v>
      </c>
      <c r="J143" s="254">
        <f>'Resultater - Vestdanmark'!J143+'Resultater - Østdanmark'!J143</f>
        <v>-152996704.05949426</v>
      </c>
    </row>
    <row r="144" spans="1:10" x14ac:dyDescent="0.25">
      <c r="A144" s="94" t="str">
        <f>'Resultater - Vestdanmark'!A144</f>
        <v>Kornmark</v>
      </c>
      <c r="B144" s="94" t="str">
        <f>'Resultater - Vestdanmark'!B144</f>
        <v>Konventionel</v>
      </c>
      <c r="C144" s="94" t="str">
        <f>'Resultater - Vestdanmark'!C144</f>
        <v>JB1-10</v>
      </c>
      <c r="D144" s="94" t="str">
        <f>'Resultater - Vestdanmark'!D144</f>
        <v>Areal-korn</v>
      </c>
      <c r="E144" s="94" t="str">
        <f>'Resultater - Vestdanmark'!E144</f>
        <v>Hektar</v>
      </c>
      <c r="F144" s="94" t="str">
        <f>'Resultater - Vestdanmark'!F144</f>
        <v>CO2 - atmosfære</v>
      </c>
      <c r="G144" s="94" t="str">
        <f>'Resultater - Vestdanmark'!G144</f>
        <v>t CO2-ækvivalenter</v>
      </c>
      <c r="H144" s="252">
        <f>'Resultater - Vestdanmark'!H144+'Resultater - Østdanmark'!H144</f>
        <v>2604172.3544975286</v>
      </c>
      <c r="I144" s="253">
        <f>'Resultater - Vestdanmark'!I144+'Resultater - Østdanmark'!I144</f>
        <v>2410109.4825779153</v>
      </c>
      <c r="J144" s="254">
        <f>'Resultater - Vestdanmark'!J144+'Resultater - Østdanmark'!J144</f>
        <v>2174173.40164945</v>
      </c>
    </row>
    <row r="145" spans="1:10" x14ac:dyDescent="0.25">
      <c r="A145" s="94" t="str">
        <f>'Resultater - Vestdanmark'!A145</f>
        <v>Kornmark</v>
      </c>
      <c r="B145" s="94" t="str">
        <f>'Resultater - Vestdanmark'!B145</f>
        <v>Konventionel</v>
      </c>
      <c r="C145" s="94" t="str">
        <f>'Resultater - Vestdanmark'!C145</f>
        <v>OC6</v>
      </c>
      <c r="D145" s="94" t="str">
        <f>'Resultater - Vestdanmark'!D145</f>
        <v>Areal-korn</v>
      </c>
      <c r="E145" s="94" t="str">
        <f>'Resultater - Vestdanmark'!E145</f>
        <v>Hektar</v>
      </c>
      <c r="F145" s="94" t="str">
        <f>'Resultater - Vestdanmark'!F145</f>
        <v>Korn</v>
      </c>
      <c r="G145" s="94" t="str">
        <f>'Resultater - Vestdanmark'!G145</f>
        <v>Ton</v>
      </c>
      <c r="H145" s="252">
        <f>'Resultater - Vestdanmark'!H145+'Resultater - Østdanmark'!H145</f>
        <v>228280.18071014562</v>
      </c>
      <c r="I145" s="253">
        <f>'Resultater - Vestdanmark'!I145+'Resultater - Østdanmark'!I145</f>
        <v>224990.0315858915</v>
      </c>
      <c r="J145" s="254">
        <f>'Resultater - Vestdanmark'!J145+'Resultater - Østdanmark'!J145</f>
        <v>191426.25269794607</v>
      </c>
    </row>
    <row r="146" spans="1:10" x14ac:dyDescent="0.25">
      <c r="A146" s="94" t="str">
        <f>'Resultater - Vestdanmark'!A146</f>
        <v>Kornmark</v>
      </c>
      <c r="B146" s="94" t="str">
        <f>'Resultater - Vestdanmark'!B146</f>
        <v>Konventionel</v>
      </c>
      <c r="C146" s="94" t="str">
        <f>'Resultater - Vestdanmark'!C146</f>
        <v>OC6</v>
      </c>
      <c r="D146" s="94" t="str">
        <f>'Resultater - Vestdanmark'!D146</f>
        <v>Areal-korn</v>
      </c>
      <c r="E146" s="94" t="str">
        <f>'Resultater - Vestdanmark'!E146</f>
        <v>Hektar</v>
      </c>
      <c r="F146" s="94" t="str">
        <f>'Resultater - Vestdanmark'!F146</f>
        <v>Halm</v>
      </c>
      <c r="G146" s="94" t="str">
        <f>'Resultater - Vestdanmark'!G146</f>
        <v>Ton</v>
      </c>
      <c r="H146" s="252">
        <f>'Resultater - Vestdanmark'!H146+'Resultater - Østdanmark'!H146</f>
        <v>74510.080283339761</v>
      </c>
      <c r="I146" s="253">
        <f>'Resultater - Vestdanmark'!I146+'Resultater - Østdanmark'!I146</f>
        <v>98995.613897792282</v>
      </c>
      <c r="J146" s="254">
        <f>'Resultater - Vestdanmark'!J146+'Resultater - Østdanmark'!J146</f>
        <v>94755.995085483315</v>
      </c>
    </row>
    <row r="147" spans="1:10" x14ac:dyDescent="0.25">
      <c r="A147" s="94" t="str">
        <f>'Resultater - Vestdanmark'!A147</f>
        <v>Kornmark</v>
      </c>
      <c r="B147" s="94" t="str">
        <f>'Resultater - Vestdanmark'!B147</f>
        <v>Konventionel</v>
      </c>
      <c r="C147" s="94" t="str">
        <f>'Resultater - Vestdanmark'!C147</f>
        <v>OC6</v>
      </c>
      <c r="D147" s="94" t="str">
        <f>'Resultater - Vestdanmark'!D147</f>
        <v>Areal-korn</v>
      </c>
      <c r="E147" s="94" t="str">
        <f>'Resultater - Vestdanmark'!E147</f>
        <v>Hektar</v>
      </c>
      <c r="F147" s="94" t="str">
        <f>'Resultater - Vestdanmark'!F147</f>
        <v>Gødning</v>
      </c>
      <c r="G147" s="94" t="str">
        <f>'Resultater - Vestdanmark'!G147</f>
        <v>kg N</v>
      </c>
      <c r="H147" s="252">
        <f>'Resultater - Vestdanmark'!H147+'Resultater - Østdanmark'!H147</f>
        <v>-3527867.7475414807</v>
      </c>
      <c r="I147" s="253">
        <f>'Resultater - Vestdanmark'!I147+'Resultater - Østdanmark'!I147</f>
        <v>-3249552.7202089913</v>
      </c>
      <c r="J147" s="254">
        <f>'Resultater - Vestdanmark'!J147+'Resultater - Østdanmark'!J147</f>
        <v>-2572454.759322396</v>
      </c>
    </row>
    <row r="148" spans="1:10" x14ac:dyDescent="0.25">
      <c r="A148" s="94" t="str">
        <f>'Resultater - Vestdanmark'!A148</f>
        <v>Kornmark</v>
      </c>
      <c r="B148" s="94" t="str">
        <f>'Resultater - Vestdanmark'!B148</f>
        <v>Konventionel</v>
      </c>
      <c r="C148" s="94" t="str">
        <f>'Resultater - Vestdanmark'!C148</f>
        <v>OC6</v>
      </c>
      <c r="D148" s="94" t="str">
        <f>'Resultater - Vestdanmark'!D148</f>
        <v>Areal-korn</v>
      </c>
      <c r="E148" s="94" t="str">
        <f>'Resultater - Vestdanmark'!E148</f>
        <v>Hektar</v>
      </c>
      <c r="F148" s="94" t="str">
        <f>'Resultater - Vestdanmark'!F148</f>
        <v>CO2 - atmosfære</v>
      </c>
      <c r="G148" s="94" t="str">
        <f>'Resultater - Vestdanmark'!G148</f>
        <v>t CO2-ækvivalenter</v>
      </c>
      <c r="H148" s="252">
        <f>'Resultater - Vestdanmark'!H148+'Resultater - Østdanmark'!H148</f>
        <v>433973.71375071316</v>
      </c>
      <c r="I148" s="253">
        <f>'Resultater - Vestdanmark'!I148+'Resultater - Østdanmark'!I148</f>
        <v>399737.33794317831</v>
      </c>
      <c r="J148" s="254">
        <f>'Resultater - Vestdanmark'!J148+'Resultater - Østdanmark'!J148</f>
        <v>316445.46373282402</v>
      </c>
    </row>
    <row r="149" spans="1:10" x14ac:dyDescent="0.25">
      <c r="A149" s="94" t="str">
        <f>'Resultater - Vestdanmark'!A149</f>
        <v>Kornmark</v>
      </c>
      <c r="B149" s="94" t="str">
        <f>'Resultater - Vestdanmark'!B149</f>
        <v>Konventionel</v>
      </c>
      <c r="C149" s="94" t="str">
        <f>'Resultater - Vestdanmark'!C149</f>
        <v>OC12</v>
      </c>
      <c r="D149" s="94" t="str">
        <f>'Resultater - Vestdanmark'!D149</f>
        <v>Areal-korn</v>
      </c>
      <c r="E149" s="94" t="str">
        <f>'Resultater - Vestdanmark'!E149</f>
        <v>Hektar</v>
      </c>
      <c r="F149" s="94" t="str">
        <f>'Resultater - Vestdanmark'!F149</f>
        <v>Korn</v>
      </c>
      <c r="G149" s="94" t="str">
        <f>'Resultater - Vestdanmark'!G149</f>
        <v>Ton</v>
      </c>
      <c r="H149" s="252">
        <f>'Resultater - Vestdanmark'!H149+'Resultater - Østdanmark'!H149</f>
        <v>135901.60941201358</v>
      </c>
      <c r="I149" s="253">
        <f>'Resultater - Vestdanmark'!I149+'Resultater - Østdanmark'!I149</f>
        <v>105699.31462374478</v>
      </c>
      <c r="J149" s="254">
        <f>'Resultater - Vestdanmark'!J149+'Resultater - Østdanmark'!J149</f>
        <v>0</v>
      </c>
    </row>
    <row r="150" spans="1:10" x14ac:dyDescent="0.25">
      <c r="A150" s="94" t="str">
        <f>'Resultater - Vestdanmark'!A150</f>
        <v>Kornmark</v>
      </c>
      <c r="B150" s="94" t="str">
        <f>'Resultater - Vestdanmark'!B150</f>
        <v>Konventionel</v>
      </c>
      <c r="C150" s="94" t="str">
        <f>'Resultater - Vestdanmark'!C150</f>
        <v>OC12</v>
      </c>
      <c r="D150" s="94" t="str">
        <f>'Resultater - Vestdanmark'!D150</f>
        <v>Areal-korn</v>
      </c>
      <c r="E150" s="94" t="str">
        <f>'Resultater - Vestdanmark'!E150</f>
        <v>Hektar</v>
      </c>
      <c r="F150" s="94" t="str">
        <f>'Resultater - Vestdanmark'!F150</f>
        <v>Halm</v>
      </c>
      <c r="G150" s="94" t="str">
        <f>'Resultater - Vestdanmark'!G150</f>
        <v>Ton</v>
      </c>
      <c r="H150" s="252">
        <f>'Resultater - Vestdanmark'!H150+'Resultater - Østdanmark'!H150</f>
        <v>44357.945558057712</v>
      </c>
      <c r="I150" s="253">
        <f>'Resultater - Vestdanmark'!I150+'Resultater - Østdanmark'!I150</f>
        <v>46507.698434447702</v>
      </c>
      <c r="J150" s="254">
        <f>'Resultater - Vestdanmark'!J150+'Resultater - Østdanmark'!J150</f>
        <v>0</v>
      </c>
    </row>
    <row r="151" spans="1:10" x14ac:dyDescent="0.25">
      <c r="A151" s="94" t="str">
        <f>'Resultater - Vestdanmark'!A151</f>
        <v>Kornmark</v>
      </c>
      <c r="B151" s="94" t="str">
        <f>'Resultater - Vestdanmark'!B151</f>
        <v>Konventionel</v>
      </c>
      <c r="C151" s="94" t="str">
        <f>'Resultater - Vestdanmark'!C151</f>
        <v>OC12</v>
      </c>
      <c r="D151" s="94" t="str">
        <f>'Resultater - Vestdanmark'!D151</f>
        <v>Areal-korn</v>
      </c>
      <c r="E151" s="94" t="str">
        <f>'Resultater - Vestdanmark'!E151</f>
        <v>Hektar</v>
      </c>
      <c r="F151" s="94" t="str">
        <f>'Resultater - Vestdanmark'!F151</f>
        <v>Gødning</v>
      </c>
      <c r="G151" s="94" t="str">
        <f>'Resultater - Vestdanmark'!G151</f>
        <v>kg N</v>
      </c>
      <c r="H151" s="252">
        <f>'Resultater - Vestdanmark'!H151+'Resultater - Østdanmark'!H151</f>
        <v>-1384772.8694927006</v>
      </c>
      <c r="I151" s="253">
        <f>'Resultater - Vestdanmark'!I151+'Resultater - Østdanmark'!I151</f>
        <v>-1006566.1930957376</v>
      </c>
      <c r="J151" s="254">
        <f>'Resultater - Vestdanmark'!J151+'Resultater - Østdanmark'!J151</f>
        <v>0</v>
      </c>
    </row>
    <row r="152" spans="1:10" x14ac:dyDescent="0.25">
      <c r="A152" s="94" t="str">
        <f>'Resultater - Vestdanmark'!A152</f>
        <v>Kornmark</v>
      </c>
      <c r="B152" s="94" t="str">
        <f>'Resultater - Vestdanmark'!B152</f>
        <v>Konventionel</v>
      </c>
      <c r="C152" s="94" t="str">
        <f>'Resultater - Vestdanmark'!C152</f>
        <v>OC12</v>
      </c>
      <c r="D152" s="94" t="str">
        <f>'Resultater - Vestdanmark'!D152</f>
        <v>Areal-korn</v>
      </c>
      <c r="E152" s="94" t="str">
        <f>'Resultater - Vestdanmark'!E152</f>
        <v>Hektar</v>
      </c>
      <c r="F152" s="94" t="str">
        <f>'Resultater - Vestdanmark'!F152</f>
        <v>CO2 - atmosfære</v>
      </c>
      <c r="G152" s="94" t="str">
        <f>'Resultater - Vestdanmark'!G152</f>
        <v>t CO2-ækvivalenter</v>
      </c>
      <c r="H152" s="252">
        <f>'Resultater - Vestdanmark'!H152+'Resultater - Østdanmark'!H152</f>
        <v>567087.95319850883</v>
      </c>
      <c r="I152" s="253">
        <f>'Resultater - Vestdanmark'!I152+'Resultater - Østdanmark'!I152</f>
        <v>412205.91100299987</v>
      </c>
      <c r="J152" s="254">
        <f>'Resultater - Vestdanmark'!J152+'Resultater - Østdanmark'!J152</f>
        <v>0</v>
      </c>
    </row>
    <row r="153" spans="1:10" x14ac:dyDescent="0.25">
      <c r="A153" s="94" t="str">
        <f>'Resultater - Vestdanmark'!A153</f>
        <v>Kornmark</v>
      </c>
      <c r="B153" s="94" t="str">
        <f>'Resultater - Vestdanmark'!B153</f>
        <v>Økologisk</v>
      </c>
      <c r="C153" s="94" t="str">
        <f>'Resultater - Vestdanmark'!C153</f>
        <v>JB1-10</v>
      </c>
      <c r="D153" s="94" t="str">
        <f>'Resultater - Vestdanmark'!D153</f>
        <v>Areal-korn</v>
      </c>
      <c r="E153" s="94" t="str">
        <f>'Resultater - Vestdanmark'!E153</f>
        <v>Hektar</v>
      </c>
      <c r="F153" s="94" t="str">
        <f>'Resultater - Vestdanmark'!F153</f>
        <v>Korn</v>
      </c>
      <c r="G153" s="94" t="str">
        <f>'Resultater - Vestdanmark'!G153</f>
        <v>Ton</v>
      </c>
      <c r="H153" s="252">
        <f>'Resultater - Vestdanmark'!H153+'Resultater - Østdanmark'!H153</f>
        <v>687812.87730450777</v>
      </c>
      <c r="I153" s="253">
        <f>'Resultater - Vestdanmark'!I153+'Resultater - Østdanmark'!I153</f>
        <v>831378.79812776111</v>
      </c>
      <c r="J153" s="254">
        <f>'Resultater - Vestdanmark'!J153+'Resultater - Østdanmark'!J153</f>
        <v>1095561.7311832621</v>
      </c>
    </row>
    <row r="154" spans="1:10" x14ac:dyDescent="0.25">
      <c r="A154" s="94" t="str">
        <f>'Resultater - Vestdanmark'!A154</f>
        <v>Kornmark</v>
      </c>
      <c r="B154" s="94" t="str">
        <f>'Resultater - Vestdanmark'!B154</f>
        <v>Økologisk</v>
      </c>
      <c r="C154" s="94" t="str">
        <f>'Resultater - Vestdanmark'!C154</f>
        <v>JB1-10</v>
      </c>
      <c r="D154" s="94" t="str">
        <f>'Resultater - Vestdanmark'!D154</f>
        <v>Areal-korn</v>
      </c>
      <c r="E154" s="94" t="str">
        <f>'Resultater - Vestdanmark'!E154</f>
        <v>Hektar</v>
      </c>
      <c r="F154" s="94" t="str">
        <f>'Resultater - Vestdanmark'!F154</f>
        <v>Halm</v>
      </c>
      <c r="G154" s="94" t="str">
        <f>'Resultater - Vestdanmark'!G154</f>
        <v>Ton</v>
      </c>
      <c r="H154" s="252">
        <f>'Resultater - Vestdanmark'!H154+'Resultater - Østdanmark'!H154</f>
        <v>224500.40361999813</v>
      </c>
      <c r="I154" s="253">
        <f>'Resultater - Vestdanmark'!I154+'Resultater - Østdanmark'!I154</f>
        <v>365806.67117621499</v>
      </c>
      <c r="J154" s="254">
        <f>'Resultater - Vestdanmark'!J154+'Resultater - Østdanmark'!J154</f>
        <v>542303.05693571479</v>
      </c>
    </row>
    <row r="155" spans="1:10" x14ac:dyDescent="0.25">
      <c r="A155" s="94" t="str">
        <f>'Resultater - Vestdanmark'!A155</f>
        <v>Kornmark</v>
      </c>
      <c r="B155" s="94" t="str">
        <f>'Resultater - Vestdanmark'!B155</f>
        <v>Økologisk</v>
      </c>
      <c r="C155" s="94" t="str">
        <f>'Resultater - Vestdanmark'!C155</f>
        <v>JB1-10</v>
      </c>
      <c r="D155" s="94" t="str">
        <f>'Resultater - Vestdanmark'!D155</f>
        <v>Areal-korn</v>
      </c>
      <c r="E155" s="94" t="str">
        <f>'Resultater - Vestdanmark'!E155</f>
        <v>Hektar</v>
      </c>
      <c r="F155" s="94" t="str">
        <f>'Resultater - Vestdanmark'!F155</f>
        <v>Gødning</v>
      </c>
      <c r="G155" s="94" t="str">
        <f>'Resultater - Vestdanmark'!G155</f>
        <v>kg N</v>
      </c>
      <c r="H155" s="252">
        <f>'Resultater - Vestdanmark'!H155+'Resultater - Østdanmark'!H155</f>
        <v>-15699010.038333988</v>
      </c>
      <c r="I155" s="253">
        <f>'Resultater - Vestdanmark'!I155+'Resultater - Østdanmark'!I155</f>
        <v>-17734425.813649632</v>
      </c>
      <c r="J155" s="254">
        <f>'Resultater - Vestdanmark'!J155+'Resultater - Østdanmark'!J155</f>
        <v>-21744077.031485699</v>
      </c>
    </row>
    <row r="156" spans="1:10" x14ac:dyDescent="0.25">
      <c r="A156" s="94" t="str">
        <f>'Resultater - Vestdanmark'!A156</f>
        <v>Kornmark</v>
      </c>
      <c r="B156" s="94" t="str">
        <f>'Resultater - Vestdanmark'!B156</f>
        <v>Økologisk</v>
      </c>
      <c r="C156" s="94" t="str">
        <f>'Resultater - Vestdanmark'!C156</f>
        <v>JB1-10</v>
      </c>
      <c r="D156" s="94" t="str">
        <f>'Resultater - Vestdanmark'!D156</f>
        <v>Areal-korn</v>
      </c>
      <c r="E156" s="94" t="str">
        <f>'Resultater - Vestdanmark'!E156</f>
        <v>Hektar</v>
      </c>
      <c r="F156" s="94" t="str">
        <f>'Resultater - Vestdanmark'!F156</f>
        <v>CO2 - atmosfære</v>
      </c>
      <c r="G156" s="94" t="str">
        <f>'Resultater - Vestdanmark'!G156</f>
        <v>t CO2-ækvivalenter</v>
      </c>
      <c r="H156" s="252">
        <f>'Resultater - Vestdanmark'!H156+'Resultater - Østdanmark'!H156</f>
        <v>332973.42070203071</v>
      </c>
      <c r="I156" s="253">
        <f>'Resultater - Vestdanmark'!I156+'Resultater - Østdanmark'!I156</f>
        <v>376144.25450637983</v>
      </c>
      <c r="J156" s="254">
        <f>'Resultater - Vestdanmark'!J156+'Resultater - Østdanmark'!J156</f>
        <v>461188.29731958028</v>
      </c>
    </row>
    <row r="157" spans="1:10" x14ac:dyDescent="0.25">
      <c r="A157" s="94" t="str">
        <f>'Resultater - Vestdanmark'!A157</f>
        <v>Kornmark</v>
      </c>
      <c r="B157" s="94" t="str">
        <f>'Resultater - Vestdanmark'!B157</f>
        <v>Økologisk</v>
      </c>
      <c r="C157" s="94" t="str">
        <f>'Resultater - Vestdanmark'!C157</f>
        <v>OC6</v>
      </c>
      <c r="D157" s="94" t="str">
        <f>'Resultater - Vestdanmark'!D157</f>
        <v>Areal-korn</v>
      </c>
      <c r="E157" s="94" t="str">
        <f>'Resultater - Vestdanmark'!E157</f>
        <v>Hektar</v>
      </c>
      <c r="F157" s="94" t="str">
        <f>'Resultater - Vestdanmark'!F157</f>
        <v>Korn</v>
      </c>
      <c r="G157" s="94" t="str">
        <f>'Resultater - Vestdanmark'!G157</f>
        <v>Ton</v>
      </c>
      <c r="H157" s="252">
        <f>'Resultater - Vestdanmark'!H157+'Resultater - Østdanmark'!H157</f>
        <v>19556.127223005868</v>
      </c>
      <c r="I157" s="253">
        <f>'Resultater - Vestdanmark'!I157+'Resultater - Østdanmark'!I157</f>
        <v>23526.414285484265</v>
      </c>
      <c r="J157" s="254">
        <f>'Resultater - Vestdanmark'!J157+'Resultater - Østdanmark'!J157</f>
        <v>27205.731065253549</v>
      </c>
    </row>
    <row r="158" spans="1:10" x14ac:dyDescent="0.25">
      <c r="A158" s="94" t="str">
        <f>'Resultater - Vestdanmark'!A158</f>
        <v>Kornmark</v>
      </c>
      <c r="B158" s="94" t="str">
        <f>'Resultater - Vestdanmark'!B158</f>
        <v>Økologisk</v>
      </c>
      <c r="C158" s="94" t="str">
        <f>'Resultater - Vestdanmark'!C158</f>
        <v>OC6</v>
      </c>
      <c r="D158" s="94" t="str">
        <f>'Resultater - Vestdanmark'!D158</f>
        <v>Areal-korn</v>
      </c>
      <c r="E158" s="94" t="str">
        <f>'Resultater - Vestdanmark'!E158</f>
        <v>Hektar</v>
      </c>
      <c r="F158" s="94" t="str">
        <f>'Resultater - Vestdanmark'!F158</f>
        <v>Halm</v>
      </c>
      <c r="G158" s="94" t="str">
        <f>'Resultater - Vestdanmark'!G158</f>
        <v>Ton</v>
      </c>
      <c r="H158" s="252">
        <f>'Resultater - Vestdanmark'!H158+'Resultater - Østdanmark'!H158</f>
        <v>6383.0710352710576</v>
      </c>
      <c r="I158" s="253">
        <f>'Resultater - Vestdanmark'!I158+'Resultater - Østdanmark'!I158</f>
        <v>10351.622285613077</v>
      </c>
      <c r="J158" s="254">
        <f>'Resultater - Vestdanmark'!J158+'Resultater - Østdanmark'!J158</f>
        <v>13466.836877300508</v>
      </c>
    </row>
    <row r="159" spans="1:10" x14ac:dyDescent="0.25">
      <c r="A159" s="94" t="str">
        <f>'Resultater - Vestdanmark'!A159</f>
        <v>Kornmark</v>
      </c>
      <c r="B159" s="94" t="str">
        <f>'Resultater - Vestdanmark'!B159</f>
        <v>Økologisk</v>
      </c>
      <c r="C159" s="94" t="str">
        <f>'Resultater - Vestdanmark'!C159</f>
        <v>OC6</v>
      </c>
      <c r="D159" s="94" t="str">
        <f>'Resultater - Vestdanmark'!D159</f>
        <v>Areal-korn</v>
      </c>
      <c r="E159" s="94" t="str">
        <f>'Resultater - Vestdanmark'!E159</f>
        <v>Hektar</v>
      </c>
      <c r="F159" s="94" t="str">
        <f>'Resultater - Vestdanmark'!F159</f>
        <v>Gødning</v>
      </c>
      <c r="G159" s="94" t="str">
        <f>'Resultater - Vestdanmark'!G159</f>
        <v>kg N</v>
      </c>
      <c r="H159" s="252">
        <f>'Resultater - Vestdanmark'!H159+'Resultater - Østdanmark'!H159</f>
        <v>-302222.60330370459</v>
      </c>
      <c r="I159" s="253">
        <f>'Resultater - Vestdanmark'!I159+'Resultater - Østdanmark'!I159</f>
        <v>-339794.26999179571</v>
      </c>
      <c r="J159" s="254">
        <f>'Resultater - Vestdanmark'!J159+'Resultater - Østdanmark'!J159</f>
        <v>-365600.38852187997</v>
      </c>
    </row>
    <row r="160" spans="1:10" x14ac:dyDescent="0.25">
      <c r="A160" s="94" t="str">
        <f>'Resultater - Vestdanmark'!A160</f>
        <v>Kornmark</v>
      </c>
      <c r="B160" s="94" t="str">
        <f>'Resultater - Vestdanmark'!B160</f>
        <v>Økologisk</v>
      </c>
      <c r="C160" s="94" t="str">
        <f>'Resultater - Vestdanmark'!C160</f>
        <v>OC6</v>
      </c>
      <c r="D160" s="94" t="str">
        <f>'Resultater - Vestdanmark'!D160</f>
        <v>Areal-korn</v>
      </c>
      <c r="E160" s="94" t="str">
        <f>'Resultater - Vestdanmark'!E160</f>
        <v>Hektar</v>
      </c>
      <c r="F160" s="94" t="str">
        <f>'Resultater - Vestdanmark'!F160</f>
        <v>CO2 - atmosfære</v>
      </c>
      <c r="G160" s="94" t="str">
        <f>'Resultater - Vestdanmark'!G160</f>
        <v>t CO2-ækvivalenter</v>
      </c>
      <c r="H160" s="252">
        <f>'Resultater - Vestdanmark'!H160+'Resultater - Østdanmark'!H160</f>
        <v>55488.536199525202</v>
      </c>
      <c r="I160" s="253">
        <f>'Resultater - Vestdanmark'!I160+'Resultater - Østdanmark'!I160</f>
        <v>62386.752164542282</v>
      </c>
      <c r="J160" s="254">
        <f>'Resultater - Vestdanmark'!J160+'Resultater - Østdanmark'!J160</f>
        <v>67124.795337265707</v>
      </c>
    </row>
    <row r="161" spans="1:10" x14ac:dyDescent="0.25">
      <c r="A161" s="94" t="str">
        <f>'Resultater - Vestdanmark'!A161</f>
        <v>Kornmark</v>
      </c>
      <c r="B161" s="94" t="str">
        <f>'Resultater - Vestdanmark'!B161</f>
        <v>Økologisk</v>
      </c>
      <c r="C161" s="94" t="str">
        <f>'Resultater - Vestdanmark'!C161</f>
        <v>OC12</v>
      </c>
      <c r="D161" s="94" t="str">
        <f>'Resultater - Vestdanmark'!D161</f>
        <v>Areal-korn</v>
      </c>
      <c r="E161" s="94" t="str">
        <f>'Resultater - Vestdanmark'!E161</f>
        <v>Hektar</v>
      </c>
      <c r="F161" s="94" t="str">
        <f>'Resultater - Vestdanmark'!F161</f>
        <v>Korn</v>
      </c>
      <c r="G161" s="94" t="str">
        <f>'Resultater - Vestdanmark'!G161</f>
        <v>Ton</v>
      </c>
      <c r="H161" s="252">
        <f>'Resultater - Vestdanmark'!H161+'Resultater - Østdanmark'!H161</f>
        <v>11642.312333926018</v>
      </c>
      <c r="I161" s="253">
        <f>'Resultater - Vestdanmark'!I161+'Resultater - Østdanmark'!I161</f>
        <v>11052.604633199671</v>
      </c>
      <c r="J161" s="254">
        <f>'Resultater - Vestdanmark'!J161+'Resultater - Østdanmark'!J161</f>
        <v>0</v>
      </c>
    </row>
    <row r="162" spans="1:10" x14ac:dyDescent="0.25">
      <c r="A162" s="94" t="str">
        <f>'Resultater - Vestdanmark'!A162</f>
        <v>Kornmark</v>
      </c>
      <c r="B162" s="94" t="str">
        <f>'Resultater - Vestdanmark'!B162</f>
        <v>Økologisk</v>
      </c>
      <c r="C162" s="94" t="str">
        <f>'Resultater - Vestdanmark'!C162</f>
        <v>OC12</v>
      </c>
      <c r="D162" s="94" t="str">
        <f>'Resultater - Vestdanmark'!D162</f>
        <v>Areal-korn</v>
      </c>
      <c r="E162" s="94" t="str">
        <f>'Resultater - Vestdanmark'!E162</f>
        <v>Hektar</v>
      </c>
      <c r="F162" s="94" t="str">
        <f>'Resultater - Vestdanmark'!F162</f>
        <v>Halm</v>
      </c>
      <c r="G162" s="94" t="str">
        <f>'Resultater - Vestdanmark'!G162</f>
        <v>Ton</v>
      </c>
      <c r="H162" s="252">
        <f>'Resultater - Vestdanmark'!H162+'Resultater - Østdanmark'!H162</f>
        <v>3800.0216400126183</v>
      </c>
      <c r="I162" s="253">
        <f>'Resultater - Vestdanmark'!I162+'Resultater - Østdanmark'!I162</f>
        <v>4863.1460386078561</v>
      </c>
      <c r="J162" s="254">
        <f>'Resultater - Vestdanmark'!J162+'Resultater - Østdanmark'!J162</f>
        <v>0</v>
      </c>
    </row>
    <row r="163" spans="1:10" x14ac:dyDescent="0.25">
      <c r="A163" s="94" t="str">
        <f>'Resultater - Vestdanmark'!A163</f>
        <v>Kornmark</v>
      </c>
      <c r="B163" s="94" t="str">
        <f>'Resultater - Vestdanmark'!B163</f>
        <v>Økologisk</v>
      </c>
      <c r="C163" s="94" t="str">
        <f>'Resultater - Vestdanmark'!C163</f>
        <v>OC12</v>
      </c>
      <c r="D163" s="94" t="str">
        <f>'Resultater - Vestdanmark'!D163</f>
        <v>Areal-korn</v>
      </c>
      <c r="E163" s="94" t="str">
        <f>'Resultater - Vestdanmark'!E163</f>
        <v>Hektar</v>
      </c>
      <c r="F163" s="94" t="str">
        <f>'Resultater - Vestdanmark'!F163</f>
        <v>Gødning</v>
      </c>
      <c r="G163" s="94" t="str">
        <f>'Resultater - Vestdanmark'!G163</f>
        <v>kg N</v>
      </c>
      <c r="H163" s="252">
        <f>'Resultater - Vestdanmark'!H163+'Resultater - Østdanmark'!H163</f>
        <v>-118629.63454173651</v>
      </c>
      <c r="I163" s="253">
        <f>'Resultater - Vestdanmark'!I163+'Resultater - Østdanmark'!I163</f>
        <v>-105253.07764798784</v>
      </c>
      <c r="J163" s="254">
        <f>'Resultater - Vestdanmark'!J163+'Resultater - Østdanmark'!J163</f>
        <v>0</v>
      </c>
    </row>
    <row r="164" spans="1:10" x14ac:dyDescent="0.25">
      <c r="A164" s="94" t="str">
        <f>'Resultater - Vestdanmark'!A164</f>
        <v>Kornmark</v>
      </c>
      <c r="B164" s="94" t="str">
        <f>'Resultater - Vestdanmark'!B164</f>
        <v>Økologisk</v>
      </c>
      <c r="C164" s="94" t="str">
        <f>'Resultater - Vestdanmark'!C164</f>
        <v>OC12</v>
      </c>
      <c r="D164" s="94" t="str">
        <f>'Resultater - Vestdanmark'!D164</f>
        <v>Areal-korn</v>
      </c>
      <c r="E164" s="94" t="str">
        <f>'Resultater - Vestdanmark'!E164</f>
        <v>Hektar</v>
      </c>
      <c r="F164" s="94" t="str">
        <f>'Resultater - Vestdanmark'!F164</f>
        <v>CO2 - atmosfære</v>
      </c>
      <c r="G164" s="94" t="str">
        <f>'Resultater - Vestdanmark'!G164</f>
        <v>t CO2-ækvivalenter</v>
      </c>
      <c r="H164" s="252">
        <f>'Resultater - Vestdanmark'!H164+'Resultater - Østdanmark'!H164</f>
        <v>72508.724428055051</v>
      </c>
      <c r="I164" s="253">
        <f>'Resultater - Vestdanmark'!I164+'Resultater - Østdanmark'!I164</f>
        <v>64332.714433994217</v>
      </c>
      <c r="J164" s="254">
        <f>'Resultater - Vestdanmark'!J164+'Resultater - Østdanmark'!J164</f>
        <v>0</v>
      </c>
    </row>
    <row r="165" spans="1:10" x14ac:dyDescent="0.25">
      <c r="A165" s="94" t="str">
        <f>'Resultater - Vestdanmark'!A165</f>
        <v>Grøntsager på land</v>
      </c>
      <c r="B165" s="94" t="str">
        <f>'Resultater - Vestdanmark'!B165</f>
        <v>Konventionel</v>
      </c>
      <c r="C165" s="94" t="str">
        <f>'Resultater - Vestdanmark'!C165</f>
        <v>JB1-10</v>
      </c>
      <c r="D165" s="94" t="str">
        <f>'Resultater - Vestdanmark'!D165</f>
        <v>Areal-grøntsager</v>
      </c>
      <c r="E165" s="94" t="str">
        <f>'Resultater - Vestdanmark'!E165</f>
        <v>Hektar</v>
      </c>
      <c r="F165" s="94" t="str">
        <f>'Resultater - Vestdanmark'!F165</f>
        <v>Grøntsager</v>
      </c>
      <c r="G165" s="94" t="str">
        <f>'Resultater - Vestdanmark'!G165</f>
        <v>Ton</v>
      </c>
      <c r="H165" s="252">
        <f>'Resultater - Vestdanmark'!H165+'Resultater - Østdanmark'!H165</f>
        <v>229792.23730502045</v>
      </c>
      <c r="I165" s="253">
        <f>'Resultater - Vestdanmark'!I165+'Resultater - Østdanmark'!I165</f>
        <v>228039.91094763356</v>
      </c>
      <c r="J165" s="254">
        <f>'Resultater - Vestdanmark'!J165+'Resultater - Østdanmark'!J165</f>
        <v>221527.33903683536</v>
      </c>
    </row>
    <row r="166" spans="1:10" x14ac:dyDescent="0.25">
      <c r="A166" s="94" t="str">
        <f>'Resultater - Vestdanmark'!A166</f>
        <v>Grøntsager på land</v>
      </c>
      <c r="B166" s="94" t="str">
        <f>'Resultater - Vestdanmark'!B166</f>
        <v>Konventionel</v>
      </c>
      <c r="C166" s="94" t="str">
        <f>'Resultater - Vestdanmark'!C166</f>
        <v>JB1-10</v>
      </c>
      <c r="D166" s="94" t="str">
        <f>'Resultater - Vestdanmark'!D166</f>
        <v>Areal-grøntsager</v>
      </c>
      <c r="E166" s="94" t="str">
        <f>'Resultater - Vestdanmark'!E166</f>
        <v>Hektar</v>
      </c>
      <c r="F166" s="94" t="str">
        <f>'Resultater - Vestdanmark'!F166</f>
        <v>Gødning</v>
      </c>
      <c r="G166" s="94" t="str">
        <f>'Resultater - Vestdanmark'!G166</f>
        <v>kg N</v>
      </c>
      <c r="H166" s="252">
        <f>'Resultater - Vestdanmark'!H166+'Resultater - Østdanmark'!H166</f>
        <v>-2229300.7257745154</v>
      </c>
      <c r="I166" s="253">
        <f>'Resultater - Vestdanmark'!I166+'Resultater - Østdanmark'!I166</f>
        <v>-2068662.9257874237</v>
      </c>
      <c r="J166" s="254">
        <f>'Resultater - Vestdanmark'!J166+'Resultater - Østdanmark'!J166</f>
        <v>-1871671.8687104834</v>
      </c>
    </row>
    <row r="167" spans="1:10" x14ac:dyDescent="0.25">
      <c r="A167" s="94" t="str">
        <f>'Resultater - Vestdanmark'!A167</f>
        <v>Grøntsager på land</v>
      </c>
      <c r="B167" s="94" t="str">
        <f>'Resultater - Vestdanmark'!B167</f>
        <v>Konventionel</v>
      </c>
      <c r="C167" s="94" t="str">
        <f>'Resultater - Vestdanmark'!C167</f>
        <v>JB1-10</v>
      </c>
      <c r="D167" s="94" t="str">
        <f>'Resultater - Vestdanmark'!D167</f>
        <v>Areal-grøntsager</v>
      </c>
      <c r="E167" s="94" t="str">
        <f>'Resultater - Vestdanmark'!E167</f>
        <v>Hektar</v>
      </c>
      <c r="F167" s="94" t="str">
        <f>'Resultater - Vestdanmark'!F167</f>
        <v>CO2 - atmosfære</v>
      </c>
      <c r="G167" s="94" t="str">
        <f>'Resultater - Vestdanmark'!G167</f>
        <v>t CO2-ækvivalenter</v>
      </c>
      <c r="H167" s="252">
        <f>'Resultater - Vestdanmark'!H167+'Resultater - Østdanmark'!H167</f>
        <v>25343.742518123829</v>
      </c>
      <c r="I167" s="253">
        <f>'Resultater - Vestdanmark'!I167+'Resultater - Østdanmark'!I167</f>
        <v>23517.536212944295</v>
      </c>
      <c r="J167" s="254">
        <f>'Resultater - Vestdanmark'!J167+'Resultater - Østdanmark'!J167</f>
        <v>21278.04892834006</v>
      </c>
    </row>
    <row r="168" spans="1:10" x14ac:dyDescent="0.25">
      <c r="A168" s="94" t="str">
        <f>'Resultater - Vestdanmark'!A168</f>
        <v>Grøntsager på land</v>
      </c>
      <c r="B168" s="94" t="str">
        <f>'Resultater - Vestdanmark'!B168</f>
        <v>Konventionel</v>
      </c>
      <c r="C168" s="94" t="str">
        <f>'Resultater - Vestdanmark'!C168</f>
        <v>OC6</v>
      </c>
      <c r="D168" s="94" t="str">
        <f>'Resultater - Vestdanmark'!D168</f>
        <v>Areal-grøntsager</v>
      </c>
      <c r="E168" s="94" t="str">
        <f>'Resultater - Vestdanmark'!E168</f>
        <v>Hektar</v>
      </c>
      <c r="F168" s="94" t="str">
        <f>'Resultater - Vestdanmark'!F168</f>
        <v>Grøntsager</v>
      </c>
      <c r="G168" s="94" t="str">
        <f>'Resultater - Vestdanmark'!G168</f>
        <v>Ton</v>
      </c>
      <c r="H168" s="252">
        <f>'Resultater - Vestdanmark'!H168+'Resultater - Østdanmark'!H168</f>
        <v>2895.9534319120221</v>
      </c>
      <c r="I168" s="253">
        <f>'Resultater - Vestdanmark'!I168+'Resultater - Østdanmark'!I168</f>
        <v>2853.0798367612419</v>
      </c>
      <c r="J168" s="254">
        <f>'Resultater - Vestdanmark'!J168+'Resultater - Østdanmark'!J168</f>
        <v>2425.015781991639</v>
      </c>
    </row>
    <row r="169" spans="1:10" x14ac:dyDescent="0.25">
      <c r="A169" s="94" t="str">
        <f>'Resultater - Vestdanmark'!A169</f>
        <v>Grøntsager på land</v>
      </c>
      <c r="B169" s="94" t="str">
        <f>'Resultater - Vestdanmark'!B169</f>
        <v>Konventionel</v>
      </c>
      <c r="C169" s="94" t="str">
        <f>'Resultater - Vestdanmark'!C169</f>
        <v>OC6</v>
      </c>
      <c r="D169" s="94" t="str">
        <f>'Resultater - Vestdanmark'!D169</f>
        <v>Areal-grøntsager</v>
      </c>
      <c r="E169" s="94" t="str">
        <f>'Resultater - Vestdanmark'!E169</f>
        <v>Hektar</v>
      </c>
      <c r="F169" s="94" t="str">
        <f>'Resultater - Vestdanmark'!F169</f>
        <v>Gødning</v>
      </c>
      <c r="G169" s="94" t="str">
        <f>'Resultater - Vestdanmark'!G169</f>
        <v>kg N</v>
      </c>
      <c r="H169" s="252">
        <f>'Resultater - Vestdanmark'!H169+'Resultater - Østdanmark'!H169</f>
        <v>-22826.968918399438</v>
      </c>
      <c r="I169" s="253">
        <f>'Resultater - Vestdanmark'!I169+'Resultater - Østdanmark'!I169</f>
        <v>-21028.880962989177</v>
      </c>
      <c r="J169" s="254">
        <f>'Resultater - Vestdanmark'!J169+'Resultater - Østdanmark'!J169</f>
        <v>-16647.166417717493</v>
      </c>
    </row>
    <row r="170" spans="1:10" x14ac:dyDescent="0.25">
      <c r="A170" s="94" t="str">
        <f>'Resultater - Vestdanmark'!A170</f>
        <v>Grøntsager på land</v>
      </c>
      <c r="B170" s="94" t="str">
        <f>'Resultater - Vestdanmark'!B170</f>
        <v>Konventionel</v>
      </c>
      <c r="C170" s="94" t="str">
        <f>'Resultater - Vestdanmark'!C170</f>
        <v>OC6</v>
      </c>
      <c r="D170" s="94" t="str">
        <f>'Resultater - Vestdanmark'!D170</f>
        <v>Areal-grøntsager</v>
      </c>
      <c r="E170" s="94" t="str">
        <f>'Resultater - Vestdanmark'!E170</f>
        <v>Hektar</v>
      </c>
      <c r="F170" s="94" t="str">
        <f>'Resultater - Vestdanmark'!F170</f>
        <v>CO2 - atmosfære</v>
      </c>
      <c r="G170" s="94" t="str">
        <f>'Resultater - Vestdanmark'!G170</f>
        <v>t CO2-ækvivalenter</v>
      </c>
      <c r="H170" s="252">
        <f>'Resultater - Vestdanmark'!H170+'Resultater - Østdanmark'!H170</f>
        <v>1872.0097963032511</v>
      </c>
      <c r="I170" s="253">
        <f>'Resultater - Vestdanmark'!I170+'Resultater - Østdanmark'!I170</f>
        <v>1724.5509602582372</v>
      </c>
      <c r="J170" s="254">
        <f>'Resultater - Vestdanmark'!J170+'Resultater - Østdanmark'!J170</f>
        <v>1365.2122945477226</v>
      </c>
    </row>
    <row r="171" spans="1:10" x14ac:dyDescent="0.25">
      <c r="A171" s="94" t="str">
        <f>'Resultater - Vestdanmark'!A171</f>
        <v>Grøntsager på land</v>
      </c>
      <c r="B171" s="94" t="str">
        <f>'Resultater - Vestdanmark'!B171</f>
        <v>Konventionel</v>
      </c>
      <c r="C171" s="94" t="str">
        <f>'Resultater - Vestdanmark'!C171</f>
        <v>OC12</v>
      </c>
      <c r="D171" s="94" t="str">
        <f>'Resultater - Vestdanmark'!D171</f>
        <v>Areal-grøntsager</v>
      </c>
      <c r="E171" s="94" t="str">
        <f>'Resultater - Vestdanmark'!E171</f>
        <v>Hektar</v>
      </c>
      <c r="F171" s="94" t="str">
        <f>'Resultater - Vestdanmark'!F171</f>
        <v>Grøntsager</v>
      </c>
      <c r="G171" s="94" t="str">
        <f>'Resultater - Vestdanmark'!G171</f>
        <v>Ton</v>
      </c>
      <c r="H171" s="252">
        <f>'Resultater - Vestdanmark'!H171+'Resultater - Østdanmark'!H171</f>
        <v>873.12609941568871</v>
      </c>
      <c r="I171" s="253">
        <f>'Resultater - Vestdanmark'!I171+'Resultater - Østdanmark'!I171</f>
        <v>680.31980925286769</v>
      </c>
      <c r="J171" s="254">
        <f>'Resultater - Vestdanmark'!J171+'Resultater - Østdanmark'!J171</f>
        <v>0</v>
      </c>
    </row>
    <row r="172" spans="1:10" x14ac:dyDescent="0.25">
      <c r="A172" s="94" t="str">
        <f>'Resultater - Vestdanmark'!A172</f>
        <v>Grøntsager på land</v>
      </c>
      <c r="B172" s="94" t="str">
        <f>'Resultater - Vestdanmark'!B172</f>
        <v>Konventionel</v>
      </c>
      <c r="C172" s="94" t="str">
        <f>'Resultater - Vestdanmark'!C172</f>
        <v>OC12</v>
      </c>
      <c r="D172" s="94" t="str">
        <f>'Resultater - Vestdanmark'!D172</f>
        <v>Areal-grøntsager</v>
      </c>
      <c r="E172" s="94" t="str">
        <f>'Resultater - Vestdanmark'!E172</f>
        <v>Hektar</v>
      </c>
      <c r="F172" s="94" t="str">
        <f>'Resultater - Vestdanmark'!F172</f>
        <v>Gødning</v>
      </c>
      <c r="G172" s="94" t="str">
        <f>'Resultater - Vestdanmark'!G172</f>
        <v>kg N</v>
      </c>
      <c r="H172" s="252">
        <f>'Resultater - Vestdanmark'!H172+'Resultater - Østdanmark'!H172</f>
        <v>-5747.8555301287988</v>
      </c>
      <c r="I172" s="253">
        <f>'Resultater - Vestdanmark'!I172+'Resultater - Østdanmark'!I172</f>
        <v>-4187.815642728785</v>
      </c>
      <c r="J172" s="254">
        <f>'Resultater - Vestdanmark'!J172+'Resultater - Østdanmark'!J172</f>
        <v>0</v>
      </c>
    </row>
    <row r="173" spans="1:10" x14ac:dyDescent="0.25">
      <c r="A173" s="94" t="str">
        <f>'Resultater - Vestdanmark'!A173</f>
        <v>Grøntsager på land</v>
      </c>
      <c r="B173" s="94" t="str">
        <f>'Resultater - Vestdanmark'!B173</f>
        <v>Konventionel</v>
      </c>
      <c r="C173" s="94" t="str">
        <f>'Resultater - Vestdanmark'!C173</f>
        <v>OC12</v>
      </c>
      <c r="D173" s="94" t="str">
        <f>'Resultater - Vestdanmark'!D173</f>
        <v>Areal-grøntsager</v>
      </c>
      <c r="E173" s="94" t="str">
        <f>'Resultater - Vestdanmark'!E173</f>
        <v>Hektar</v>
      </c>
      <c r="F173" s="94" t="str">
        <f>'Resultater - Vestdanmark'!F173</f>
        <v>CO2 - atmosfære</v>
      </c>
      <c r="G173" s="94" t="str">
        <f>'Resultater - Vestdanmark'!G173</f>
        <v>t CO2-ækvivalenter</v>
      </c>
      <c r="H173" s="252">
        <f>'Resultater - Vestdanmark'!H173+'Resultater - Østdanmark'!H173</f>
        <v>1238.8653838857663</v>
      </c>
      <c r="I173" s="253">
        <f>'Resultater - Vestdanmark'!I173+'Resultater - Østdanmark'!I173</f>
        <v>902.62182246528334</v>
      </c>
      <c r="J173" s="254">
        <f>'Resultater - Vestdanmark'!J173+'Resultater - Østdanmark'!J173</f>
        <v>0</v>
      </c>
    </row>
    <row r="174" spans="1:10" x14ac:dyDescent="0.25">
      <c r="A174" s="94" t="str">
        <f>'Resultater - Vestdanmark'!A174</f>
        <v>Grøntsager på land</v>
      </c>
      <c r="B174" s="94" t="str">
        <f>'Resultater - Vestdanmark'!B174</f>
        <v>Økologisk</v>
      </c>
      <c r="C174" s="94" t="str">
        <f>'Resultater - Vestdanmark'!C174</f>
        <v>JB1-10</v>
      </c>
      <c r="D174" s="94" t="str">
        <f>'Resultater - Vestdanmark'!D174</f>
        <v>Areal-grøntsager</v>
      </c>
      <c r="E174" s="94" t="str">
        <f>'Resultater - Vestdanmark'!E174</f>
        <v>Hektar</v>
      </c>
      <c r="F174" s="94" t="str">
        <f>'Resultater - Vestdanmark'!F174</f>
        <v>Grøntsager</v>
      </c>
      <c r="G174" s="94" t="str">
        <f>'Resultater - Vestdanmark'!G174</f>
        <v>Ton</v>
      </c>
      <c r="H174" s="252">
        <f>'Resultater - Vestdanmark'!H174+'Resultater - Østdanmark'!H174</f>
        <v>16747.502556513253</v>
      </c>
      <c r="I174" s="253">
        <f>'Resultater - Vestdanmark'!I174+'Resultater - Østdanmark'!I174</f>
        <v>20286.325025919545</v>
      </c>
      <c r="J174" s="254">
        <f>'Resultater - Vestdanmark'!J174+'Resultater - Østdanmark'!J174</f>
        <v>26784.669174453724</v>
      </c>
    </row>
    <row r="175" spans="1:10" x14ac:dyDescent="0.25">
      <c r="A175" s="94" t="str">
        <f>'Resultater - Vestdanmark'!A175</f>
        <v>Grøntsager på land</v>
      </c>
      <c r="B175" s="94" t="str">
        <f>'Resultater - Vestdanmark'!B175</f>
        <v>Økologisk</v>
      </c>
      <c r="C175" s="94" t="str">
        <f>'Resultater - Vestdanmark'!C175</f>
        <v>JB1-10</v>
      </c>
      <c r="D175" s="94" t="str">
        <f>'Resultater - Vestdanmark'!D175</f>
        <v>Areal-grøntsager</v>
      </c>
      <c r="E175" s="94" t="str">
        <f>'Resultater - Vestdanmark'!E175</f>
        <v>Hektar</v>
      </c>
      <c r="F175" s="94" t="str">
        <f>'Resultater - Vestdanmark'!F175</f>
        <v>Gødning</v>
      </c>
      <c r="G175" s="94" t="str">
        <f>'Resultater - Vestdanmark'!G175</f>
        <v>kg N</v>
      </c>
      <c r="H175" s="252">
        <f>'Resultater - Vestdanmark'!H175+'Resultater - Østdanmark'!H175</f>
        <v>-162473.80695714155</v>
      </c>
      <c r="I175" s="253">
        <f>'Resultater - Vestdanmark'!I175+'Resultater - Østdanmark'!I175</f>
        <v>-184027.29727091594</v>
      </c>
      <c r="J175" s="254">
        <f>'Resultater - Vestdanmark'!J175+'Resultater - Østdanmark'!J175</f>
        <v>-226302.14412590387</v>
      </c>
    </row>
    <row r="176" spans="1:10" x14ac:dyDescent="0.25">
      <c r="A176" s="94" t="str">
        <f>'Resultater - Vestdanmark'!A176</f>
        <v>Grøntsager på land</v>
      </c>
      <c r="B176" s="94" t="str">
        <f>'Resultater - Vestdanmark'!B176</f>
        <v>Økologisk</v>
      </c>
      <c r="C176" s="94" t="str">
        <f>'Resultater - Vestdanmark'!C176</f>
        <v>JB1-10</v>
      </c>
      <c r="D176" s="94" t="str">
        <f>'Resultater - Vestdanmark'!D176</f>
        <v>Areal-grøntsager</v>
      </c>
      <c r="E176" s="94" t="str">
        <f>'Resultater - Vestdanmark'!E176</f>
        <v>Hektar</v>
      </c>
      <c r="F176" s="94" t="str">
        <f>'Resultater - Vestdanmark'!F176</f>
        <v>CO2 - atmosfære</v>
      </c>
      <c r="G176" s="94" t="str">
        <f>'Resultater - Vestdanmark'!G176</f>
        <v>t CO2-ækvivalenter</v>
      </c>
      <c r="H176" s="252">
        <f>'Resultater - Vestdanmark'!H176+'Resultater - Østdanmark'!H176</f>
        <v>3240.4892959857261</v>
      </c>
      <c r="I176" s="253">
        <f>'Resultater - Vestdanmark'!I176+'Resultater - Østdanmark'!I176</f>
        <v>3670.3669234074923</v>
      </c>
      <c r="J176" s="254">
        <f>'Resultater - Vestdanmark'!J176+'Resultater - Østdanmark'!J176</f>
        <v>4513.5255302539526</v>
      </c>
    </row>
    <row r="177" spans="1:10" x14ac:dyDescent="0.25">
      <c r="A177" s="94" t="str">
        <f>'Resultater - Vestdanmark'!A177</f>
        <v>Grøntsager på land</v>
      </c>
      <c r="B177" s="94" t="str">
        <f>'Resultater - Vestdanmark'!B177</f>
        <v>Økologisk</v>
      </c>
      <c r="C177" s="94" t="str">
        <f>'Resultater - Vestdanmark'!C177</f>
        <v>OC6</v>
      </c>
      <c r="D177" s="94" t="str">
        <f>'Resultater - Vestdanmark'!D177</f>
        <v>Areal-grøntsager</v>
      </c>
      <c r="E177" s="94" t="str">
        <f>'Resultater - Vestdanmark'!E177</f>
        <v>Hektar</v>
      </c>
      <c r="F177" s="94" t="str">
        <f>'Resultater - Vestdanmark'!F177</f>
        <v>Grøntsager</v>
      </c>
      <c r="G177" s="94" t="str">
        <f>'Resultater - Vestdanmark'!G177</f>
        <v>Ton</v>
      </c>
      <c r="H177" s="252">
        <f>'Resultater - Vestdanmark'!H177+'Resultater - Østdanmark'!H177</f>
        <v>211.06016492677367</v>
      </c>
      <c r="I177" s="253">
        <f>'Resultater - Vestdanmark'!I177+'Resultater - Østdanmark'!I177</f>
        <v>253.80866293500293</v>
      </c>
      <c r="J177" s="254">
        <f>'Resultater - Vestdanmark'!J177+'Resultater - Østdanmark'!J177</f>
        <v>293.20645364080724</v>
      </c>
    </row>
    <row r="178" spans="1:10" x14ac:dyDescent="0.25">
      <c r="A178" s="94" t="str">
        <f>'Resultater - Vestdanmark'!A178</f>
        <v>Grøntsager på land</v>
      </c>
      <c r="B178" s="94" t="str">
        <f>'Resultater - Vestdanmark'!B178</f>
        <v>Økologisk</v>
      </c>
      <c r="C178" s="94" t="str">
        <f>'Resultater - Vestdanmark'!C178</f>
        <v>OC6</v>
      </c>
      <c r="D178" s="94" t="str">
        <f>'Resultater - Vestdanmark'!D178</f>
        <v>Areal-grøntsager</v>
      </c>
      <c r="E178" s="94" t="str">
        <f>'Resultater - Vestdanmark'!E178</f>
        <v>Hektar</v>
      </c>
      <c r="F178" s="94" t="str">
        <f>'Resultater - Vestdanmark'!F178</f>
        <v>Gødning</v>
      </c>
      <c r="G178" s="94" t="str">
        <f>'Resultater - Vestdanmark'!G178</f>
        <v>kg N</v>
      </c>
      <c r="H178" s="252">
        <f>'Resultater - Vestdanmark'!H178+'Resultater - Østdanmark'!H178</f>
        <v>-1663.6537630768387</v>
      </c>
      <c r="I178" s="253">
        <f>'Resultater - Vestdanmark'!I178+'Resultater - Østdanmark'!I178</f>
        <v>-1870.7195261294996</v>
      </c>
      <c r="J178" s="254">
        <f>'Resultater - Vestdanmark'!J178+'Resultater - Østdanmark'!J178</f>
        <v>-2012.7937577785692</v>
      </c>
    </row>
    <row r="179" spans="1:10" x14ac:dyDescent="0.25">
      <c r="A179" s="94" t="str">
        <f>'Resultater - Vestdanmark'!A179</f>
        <v>Grøntsager på land</v>
      </c>
      <c r="B179" s="94" t="str">
        <f>'Resultater - Vestdanmark'!B179</f>
        <v>Økologisk</v>
      </c>
      <c r="C179" s="94" t="str">
        <f>'Resultater - Vestdanmark'!C179</f>
        <v>OC6</v>
      </c>
      <c r="D179" s="94" t="str">
        <f>'Resultater - Vestdanmark'!D179</f>
        <v>Areal-grøntsager</v>
      </c>
      <c r="E179" s="94" t="str">
        <f>'Resultater - Vestdanmark'!E179</f>
        <v>Hektar</v>
      </c>
      <c r="F179" s="94" t="str">
        <f>'Resultater - Vestdanmark'!F179</f>
        <v>CO2 - atmosfære</v>
      </c>
      <c r="G179" s="94" t="str">
        <f>'Resultater - Vestdanmark'!G179</f>
        <v>t CO2-ækvivalenter</v>
      </c>
      <c r="H179" s="252">
        <f>'Resultater - Vestdanmark'!H179+'Resultater - Østdanmark'!H179</f>
        <v>239.35800730941858</v>
      </c>
      <c r="I179" s="253">
        <f>'Resultater - Vestdanmark'!I179+'Resultater - Østdanmark'!I179</f>
        <v>269.14957183221043</v>
      </c>
      <c r="J179" s="254">
        <f>'Resultater - Vestdanmark'!J179+'Resultater - Østdanmark'!J179</f>
        <v>289.59048672224424</v>
      </c>
    </row>
    <row r="180" spans="1:10" x14ac:dyDescent="0.25">
      <c r="A180" s="94" t="str">
        <f>'Resultater - Vestdanmark'!A180</f>
        <v>Grøntsager på land</v>
      </c>
      <c r="B180" s="94" t="str">
        <f>'Resultater - Vestdanmark'!B180</f>
        <v>Økologisk</v>
      </c>
      <c r="C180" s="94" t="str">
        <f>'Resultater - Vestdanmark'!C180</f>
        <v>OC12</v>
      </c>
      <c r="D180" s="94" t="str">
        <f>'Resultater - Vestdanmark'!D180</f>
        <v>Areal-grøntsager</v>
      </c>
      <c r="E180" s="94" t="str">
        <f>'Resultater - Vestdanmark'!E180</f>
        <v>Hektar</v>
      </c>
      <c r="F180" s="94" t="str">
        <f>'Resultater - Vestdanmark'!F180</f>
        <v>Grøntsager</v>
      </c>
      <c r="G180" s="94" t="str">
        <f>'Resultater - Vestdanmark'!G180</f>
        <v>Ton</v>
      </c>
      <c r="H180" s="252">
        <f>'Resultater - Vestdanmark'!H180+'Resultater - Østdanmark'!H180</f>
        <v>63.63435838223252</v>
      </c>
      <c r="I180" s="253">
        <f>'Resultater - Vestdanmark'!I180+'Resultater - Østdanmark'!I180</f>
        <v>60.520935632379377</v>
      </c>
      <c r="J180" s="254">
        <f>'Resultater - Vestdanmark'!J180+'Resultater - Østdanmark'!J180</f>
        <v>0</v>
      </c>
    </row>
    <row r="181" spans="1:10" x14ac:dyDescent="0.25">
      <c r="A181" s="94" t="str">
        <f>'Resultater - Vestdanmark'!A181</f>
        <v>Grøntsager på land</v>
      </c>
      <c r="B181" s="94" t="str">
        <f>'Resultater - Vestdanmark'!B181</f>
        <v>Økologisk</v>
      </c>
      <c r="C181" s="94" t="str">
        <f>'Resultater - Vestdanmark'!C181</f>
        <v>OC12</v>
      </c>
      <c r="D181" s="94" t="str">
        <f>'Resultater - Vestdanmark'!D181</f>
        <v>Areal-grøntsager</v>
      </c>
      <c r="E181" s="94" t="str">
        <f>'Resultater - Vestdanmark'!E181</f>
        <v>Hektar</v>
      </c>
      <c r="F181" s="94" t="str">
        <f>'Resultater - Vestdanmark'!F181</f>
        <v>Gødning</v>
      </c>
      <c r="G181" s="94" t="str">
        <f>'Resultater - Vestdanmark'!G181</f>
        <v>kg N</v>
      </c>
      <c r="H181" s="252">
        <f>'Resultater - Vestdanmark'!H181+'Resultater - Østdanmark'!H181</f>
        <v>-418.90982182102539</v>
      </c>
      <c r="I181" s="253">
        <f>'Resultater - Vestdanmark'!I181+'Resultater - Østdanmark'!I181</f>
        <v>-372.54614301500573</v>
      </c>
      <c r="J181" s="254">
        <f>'Resultater - Vestdanmark'!J181+'Resultater - Østdanmark'!J181</f>
        <v>0</v>
      </c>
    </row>
    <row r="182" spans="1:10" x14ac:dyDescent="0.25">
      <c r="A182" s="94" t="str">
        <f>'Resultater - Vestdanmark'!A182</f>
        <v>Grøntsager på land</v>
      </c>
      <c r="B182" s="94" t="str">
        <f>'Resultater - Vestdanmark'!B182</f>
        <v>Økologisk</v>
      </c>
      <c r="C182" s="94" t="str">
        <f>'Resultater - Vestdanmark'!C182</f>
        <v>OC12</v>
      </c>
      <c r="D182" s="94" t="str">
        <f>'Resultater - Vestdanmark'!D182</f>
        <v>Areal-grøntsager</v>
      </c>
      <c r="E182" s="94" t="str">
        <f>'Resultater - Vestdanmark'!E182</f>
        <v>Hektar</v>
      </c>
      <c r="F182" s="94" t="str">
        <f>'Resultater - Vestdanmark'!F182</f>
        <v>CO2 - atmosfære</v>
      </c>
      <c r="G182" s="94" t="str">
        <f>'Resultater - Vestdanmark'!G182</f>
        <v>t CO2-ækvivalenter</v>
      </c>
      <c r="H182" s="252">
        <f>'Resultater - Vestdanmark'!H182+'Resultater - Østdanmark'!H182</f>
        <v>158.40320397740001</v>
      </c>
      <c r="I182" s="253">
        <f>'Resultater - Vestdanmark'!I182+'Resultater - Østdanmark'!I182</f>
        <v>140.87161391076677</v>
      </c>
      <c r="J182" s="254">
        <f>'Resultater - Vestdanmark'!J182+'Resultater - Østdanmark'!J182</f>
        <v>0</v>
      </c>
    </row>
    <row r="183" spans="1:10" x14ac:dyDescent="0.25">
      <c r="A183" s="94" t="str">
        <f>'Resultater - Vestdanmark'!A183</f>
        <v>Grøntsager i drivhus</v>
      </c>
      <c r="B183" s="94" t="str">
        <f>'Resultater - Vestdanmark'!B183</f>
        <v>Konventionel</v>
      </c>
      <c r="C183" s="94" t="str">
        <f>'Resultater - Vestdanmark'!C183</f>
        <v/>
      </c>
      <c r="D183" s="94" t="str">
        <f>'Resultater - Vestdanmark'!D183</f>
        <v>Areal-grøntsager</v>
      </c>
      <c r="E183" s="94" t="str">
        <f>'Resultater - Vestdanmark'!E183</f>
        <v>Hektar</v>
      </c>
      <c r="F183" s="94" t="str">
        <f>'Resultater - Vestdanmark'!F183</f>
        <v>Grøntsager</v>
      </c>
      <c r="G183" s="94" t="str">
        <f>'Resultater - Vestdanmark'!G183</f>
        <v>Ton</v>
      </c>
      <c r="H183" s="252">
        <f>'Resultater - Vestdanmark'!H183+'Resultater - Østdanmark'!H183</f>
        <v>27718.750814801697</v>
      </c>
      <c r="I183" s="253">
        <f>'Resultater - Vestdanmark'!I183+'Resultater - Østdanmark'!I183</f>
        <v>27786.788554228151</v>
      </c>
      <c r="J183" s="254">
        <f>'Resultater - Vestdanmark'!J183+'Resultater - Østdanmark'!J183</f>
        <v>28634.829415677737</v>
      </c>
    </row>
    <row r="184" spans="1:10" x14ac:dyDescent="0.25">
      <c r="A184" s="94" t="str">
        <f>'Resultater - Vestdanmark'!A184</f>
        <v>Grøntsager i drivhus</v>
      </c>
      <c r="B184" s="94" t="str">
        <f>'Resultater - Vestdanmark'!B184</f>
        <v>Konventionel</v>
      </c>
      <c r="C184" s="94" t="str">
        <f>'Resultater - Vestdanmark'!C184</f>
        <v/>
      </c>
      <c r="D184" s="94" t="str">
        <f>'Resultater - Vestdanmark'!D184</f>
        <v>Areal-grøntsager</v>
      </c>
      <c r="E184" s="94" t="str">
        <f>'Resultater - Vestdanmark'!E184</f>
        <v>Hektar</v>
      </c>
      <c r="F184" s="94" t="str">
        <f>'Resultater - Vestdanmark'!F184</f>
        <v>Gødning</v>
      </c>
      <c r="G184" s="94" t="str">
        <f>'Resultater - Vestdanmark'!G184</f>
        <v>kg N</v>
      </c>
      <c r="H184" s="252">
        <f>'Resultater - Vestdanmark'!H184+'Resultater - Østdanmark'!H184</f>
        <v>-23717015.446220245</v>
      </c>
      <c r="I184" s="253">
        <f>'Resultater - Vestdanmark'!I184+'Resultater - Østdanmark'!I184</f>
        <v>-21993711.976096697</v>
      </c>
      <c r="J184" s="254">
        <f>'Resultater - Vestdanmark'!J184+'Resultater - Østdanmark'!J184</f>
        <v>-19831831.798266262</v>
      </c>
    </row>
    <row r="185" spans="1:10" x14ac:dyDescent="0.25">
      <c r="A185" s="94" t="str">
        <f>'Resultater - Vestdanmark'!A185</f>
        <v>Grøntsager i drivhus</v>
      </c>
      <c r="B185" s="94" t="str">
        <f>'Resultater - Vestdanmark'!B185</f>
        <v>Konventionel</v>
      </c>
      <c r="C185" s="94" t="str">
        <f>'Resultater - Vestdanmark'!C185</f>
        <v/>
      </c>
      <c r="D185" s="94" t="str">
        <f>'Resultater - Vestdanmark'!D185</f>
        <v>Areal-grøntsager</v>
      </c>
      <c r="E185" s="94" t="str">
        <f>'Resultater - Vestdanmark'!E185</f>
        <v>Hektar</v>
      </c>
      <c r="F185" s="94" t="str">
        <f>'Resultater - Vestdanmark'!F185</f>
        <v>CO2 - atmosfære</v>
      </c>
      <c r="G185" s="94" t="str">
        <f>'Resultater - Vestdanmark'!G185</f>
        <v>t CO2-ækvivalenter</v>
      </c>
      <c r="H185" s="252">
        <f>'Resultater - Vestdanmark'!H185+'Resultater - Østdanmark'!H185</f>
        <v>5135.7375651082511</v>
      </c>
      <c r="I185" s="253">
        <f>'Resultater - Vestdanmark'!I185+'Resultater - Østdanmark'!I185</f>
        <v>4762.5694323951029</v>
      </c>
      <c r="J185" s="254">
        <f>'Resultater - Vestdanmark'!J185+'Resultater - Østdanmark'!J185</f>
        <v>4294.4308815844815</v>
      </c>
    </row>
    <row r="186" spans="1:10" x14ac:dyDescent="0.25">
      <c r="A186" s="94" t="str">
        <f>'Resultater - Vestdanmark'!A186</f>
        <v>Grøntsager i drivhus</v>
      </c>
      <c r="B186" s="94" t="str">
        <f>'Resultater - Vestdanmark'!B186</f>
        <v>Økologisk</v>
      </c>
      <c r="C186" s="94" t="str">
        <f>'Resultater - Vestdanmark'!C186</f>
        <v/>
      </c>
      <c r="D186" s="94" t="str">
        <f>'Resultater - Vestdanmark'!D186</f>
        <v>Areal-grøntsager</v>
      </c>
      <c r="E186" s="94" t="str">
        <f>'Resultater - Vestdanmark'!E186</f>
        <v>Hektar</v>
      </c>
      <c r="F186" s="94" t="str">
        <f>'Resultater - Vestdanmark'!F186</f>
        <v>Grøntsager</v>
      </c>
      <c r="G186" s="94" t="str">
        <f>'Resultater - Vestdanmark'!G186</f>
        <v>Ton</v>
      </c>
      <c r="H186" s="252">
        <f>'Resultater - Vestdanmark'!H186+'Resultater - Østdanmark'!H186</f>
        <v>2020.1720283442451</v>
      </c>
      <c r="I186" s="253">
        <f>'Resultater - Vestdanmark'!I186+'Resultater - Østdanmark'!I186</f>
        <v>2471.8998604021463</v>
      </c>
      <c r="J186" s="254">
        <f>'Resultater - Vestdanmark'!J186+'Resultater - Østdanmark'!J186</f>
        <v>3462.2111929864905</v>
      </c>
    </row>
    <row r="187" spans="1:10" x14ac:dyDescent="0.25">
      <c r="A187" s="94" t="str">
        <f>'Resultater - Vestdanmark'!A187</f>
        <v>Grøntsager i drivhus</v>
      </c>
      <c r="B187" s="94" t="str">
        <f>'Resultater - Vestdanmark'!B187</f>
        <v>Økologisk</v>
      </c>
      <c r="C187" s="94" t="str">
        <f>'Resultater - Vestdanmark'!C187</f>
        <v/>
      </c>
      <c r="D187" s="94" t="str">
        <f>'Resultater - Vestdanmark'!D187</f>
        <v>Areal-grøntsager</v>
      </c>
      <c r="E187" s="94" t="str">
        <f>'Resultater - Vestdanmark'!E187</f>
        <v>Hektar</v>
      </c>
      <c r="F187" s="94" t="str">
        <f>'Resultater - Vestdanmark'!F187</f>
        <v>Gødning</v>
      </c>
      <c r="G187" s="94" t="str">
        <f>'Resultater - Vestdanmark'!G187</f>
        <v>kg N</v>
      </c>
      <c r="H187" s="252">
        <f>'Resultater - Vestdanmark'!H187+'Resultater - Østdanmark'!H187</f>
        <v>-1728521.3002700505</v>
      </c>
      <c r="I187" s="253">
        <f>'Resultater - Vestdanmark'!I187+'Resultater - Østdanmark'!I187</f>
        <v>-1956550.4468909148</v>
      </c>
      <c r="J187" s="254">
        <f>'Resultater - Vestdanmark'!J187+'Resultater - Østdanmark'!J187</f>
        <v>-2397848.7537903758</v>
      </c>
    </row>
    <row r="188" spans="1:10" x14ac:dyDescent="0.25">
      <c r="A188" s="94" t="str">
        <f>'Resultater - Vestdanmark'!A188</f>
        <v>Grøntsager i drivhus</v>
      </c>
      <c r="B188" s="94" t="str">
        <f>'Resultater - Vestdanmark'!B188</f>
        <v>Økologisk</v>
      </c>
      <c r="C188" s="94" t="str">
        <f>'Resultater - Vestdanmark'!C188</f>
        <v/>
      </c>
      <c r="D188" s="94" t="str">
        <f>'Resultater - Vestdanmark'!D188</f>
        <v>Areal-grøntsager</v>
      </c>
      <c r="E188" s="94" t="str">
        <f>'Resultater - Vestdanmark'!E188</f>
        <v>Hektar</v>
      </c>
      <c r="F188" s="94" t="str">
        <f>'Resultater - Vestdanmark'!F188</f>
        <v>CO2 - atmosfære</v>
      </c>
      <c r="G188" s="94" t="str">
        <f>'Resultater - Vestdanmark'!G188</f>
        <v>t CO2-ækvivalenter</v>
      </c>
      <c r="H188" s="252">
        <f>'Resultater - Vestdanmark'!H188+'Resultater - Østdanmark'!H188</f>
        <v>656.66318203887363</v>
      </c>
      <c r="I188" s="253">
        <f>'Resultater - Vestdanmark'!I188+'Resultater - Østdanmark'!I188</f>
        <v>743.29118309056537</v>
      </c>
      <c r="J188" s="254">
        <f>'Resultater - Vestdanmark'!J188+'Resultater - Østdanmark'!J188</f>
        <v>910.93988397246585</v>
      </c>
    </row>
    <row r="189" spans="1:10" x14ac:dyDescent="0.25">
      <c r="A189" s="94" t="str">
        <f>'Resultater - Vestdanmark'!A189</f>
        <v>Kartoffelmark</v>
      </c>
      <c r="B189" s="94" t="str">
        <f>'Resultater - Vestdanmark'!B189</f>
        <v>Konventionel</v>
      </c>
      <c r="C189" s="94" t="str">
        <f>'Resultater - Vestdanmark'!C189</f>
        <v>JB1-10</v>
      </c>
      <c r="D189" s="94" t="str">
        <f>'Resultater - Vestdanmark'!D189</f>
        <v>Areal-kartofler</v>
      </c>
      <c r="E189" s="94" t="str">
        <f>'Resultater - Vestdanmark'!E189</f>
        <v>Hektar</v>
      </c>
      <c r="F189" s="94" t="str">
        <f>'Resultater - Vestdanmark'!F189</f>
        <v>Kartofler</v>
      </c>
      <c r="G189" s="94" t="str">
        <f>'Resultater - Vestdanmark'!G189</f>
        <v>Ton</v>
      </c>
      <c r="H189" s="252">
        <f>'Resultater - Vestdanmark'!H189+'Resultater - Østdanmark'!H189</f>
        <v>1960428.2349329358</v>
      </c>
      <c r="I189" s="253">
        <f>'Resultater - Vestdanmark'!I189+'Resultater - Østdanmark'!I189</f>
        <v>1929754.0213010474</v>
      </c>
      <c r="J189" s="254">
        <f>'Resultater - Vestdanmark'!J189+'Resultater - Østdanmark'!J189</f>
        <v>1858478.0384564616</v>
      </c>
    </row>
    <row r="190" spans="1:10" x14ac:dyDescent="0.25">
      <c r="A190" s="94" t="str">
        <f>'Resultater - Vestdanmark'!A190</f>
        <v>Kartoffelmark</v>
      </c>
      <c r="B190" s="94" t="str">
        <f>'Resultater - Vestdanmark'!B190</f>
        <v>Konventionel</v>
      </c>
      <c r="C190" s="94" t="str">
        <f>'Resultater - Vestdanmark'!C190</f>
        <v>JB1-10</v>
      </c>
      <c r="D190" s="94" t="str">
        <f>'Resultater - Vestdanmark'!D190</f>
        <v>Areal-kartofler</v>
      </c>
      <c r="E190" s="94" t="str">
        <f>'Resultater - Vestdanmark'!E190</f>
        <v>Hektar</v>
      </c>
      <c r="F190" s="94" t="str">
        <f>'Resultater - Vestdanmark'!F190</f>
        <v>Gødning</v>
      </c>
      <c r="G190" s="94" t="str">
        <f>'Resultater - Vestdanmark'!G190</f>
        <v>kg N</v>
      </c>
      <c r="H190" s="252">
        <f>'Resultater - Vestdanmark'!H190+'Resultater - Østdanmark'!H190</f>
        <v>-6923899.3970784517</v>
      </c>
      <c r="I190" s="253">
        <f>'Resultater - Vestdanmark'!I190+'Resultater - Østdanmark'!I190</f>
        <v>-6369685.31485264</v>
      </c>
      <c r="J190" s="254">
        <f>'Resultater - Vestdanmark'!J190+'Resultater - Østdanmark'!J190</f>
        <v>-5707677.0670986176</v>
      </c>
    </row>
    <row r="191" spans="1:10" x14ac:dyDescent="0.25">
      <c r="A191" s="94" t="str">
        <f>'Resultater - Vestdanmark'!A191</f>
        <v>Kartoffelmark</v>
      </c>
      <c r="B191" s="94" t="str">
        <f>'Resultater - Vestdanmark'!B191</f>
        <v>Konventionel</v>
      </c>
      <c r="C191" s="94" t="str">
        <f>'Resultater - Vestdanmark'!C191</f>
        <v>JB1-10</v>
      </c>
      <c r="D191" s="94" t="str">
        <f>'Resultater - Vestdanmark'!D191</f>
        <v>Areal-kartofler</v>
      </c>
      <c r="E191" s="94" t="str">
        <f>'Resultater - Vestdanmark'!E191</f>
        <v>Hektar</v>
      </c>
      <c r="F191" s="94" t="str">
        <f>'Resultater - Vestdanmark'!F191</f>
        <v>CO2 - atmosfære</v>
      </c>
      <c r="G191" s="94" t="str">
        <f>'Resultater - Vestdanmark'!G191</f>
        <v>t CO2-ækvivalenter</v>
      </c>
      <c r="H191" s="252">
        <f>'Resultater - Vestdanmark'!H191+'Resultater - Østdanmark'!H191</f>
        <v>104952.20706782168</v>
      </c>
      <c r="I191" s="253">
        <f>'Resultater - Vestdanmark'!I191+'Resultater - Østdanmark'!I191</f>
        <v>96551.450820235332</v>
      </c>
      <c r="J191" s="254">
        <f>'Resultater - Vestdanmark'!J191+'Resultater - Østdanmark'!J191</f>
        <v>86516.75465925374</v>
      </c>
    </row>
    <row r="192" spans="1:10" x14ac:dyDescent="0.25">
      <c r="A192" s="94" t="str">
        <f>'Resultater - Vestdanmark'!A192</f>
        <v>Kartoffelmark</v>
      </c>
      <c r="B192" s="94" t="str">
        <f>'Resultater - Vestdanmark'!B192</f>
        <v>Konventionel</v>
      </c>
      <c r="C192" s="94" t="str">
        <f>'Resultater - Vestdanmark'!C192</f>
        <v>OC6</v>
      </c>
      <c r="D192" s="94" t="str">
        <f>'Resultater - Vestdanmark'!D192</f>
        <v>Areal-kartofler</v>
      </c>
      <c r="E192" s="94" t="str">
        <f>'Resultater - Vestdanmark'!E192</f>
        <v>Hektar</v>
      </c>
      <c r="F192" s="94" t="str">
        <f>'Resultater - Vestdanmark'!F192</f>
        <v>Kartofler</v>
      </c>
      <c r="G192" s="94" t="str">
        <f>'Resultater - Vestdanmark'!G192</f>
        <v>Ton</v>
      </c>
      <c r="H192" s="252">
        <f>'Resultater - Vestdanmark'!H192+'Resultater - Østdanmark'!H192</f>
        <v>74529.950322797784</v>
      </c>
      <c r="I192" s="253">
        <f>'Resultater - Vestdanmark'!I192+'Resultater - Østdanmark'!I192</f>
        <v>73436.893210249807</v>
      </c>
      <c r="J192" s="254">
        <f>'Resultater - Vestdanmark'!J192+'Resultater - Østdanmark'!J192</f>
        <v>62481.653866743494</v>
      </c>
    </row>
    <row r="193" spans="1:10" x14ac:dyDescent="0.25">
      <c r="A193" s="94" t="str">
        <f>'Resultater - Vestdanmark'!A193</f>
        <v>Kartoffelmark</v>
      </c>
      <c r="B193" s="94" t="str">
        <f>'Resultater - Vestdanmark'!B193</f>
        <v>Konventionel</v>
      </c>
      <c r="C193" s="94" t="str">
        <f>'Resultater - Vestdanmark'!C193</f>
        <v>OC6</v>
      </c>
      <c r="D193" s="94" t="str">
        <f>'Resultater - Vestdanmark'!D193</f>
        <v>Areal-kartofler</v>
      </c>
      <c r="E193" s="94" t="str">
        <f>'Resultater - Vestdanmark'!E193</f>
        <v>Hektar</v>
      </c>
      <c r="F193" s="94" t="str">
        <f>'Resultater - Vestdanmark'!F193</f>
        <v>Gødning</v>
      </c>
      <c r="G193" s="94" t="str">
        <f>'Resultater - Vestdanmark'!G193</f>
        <v>kg N</v>
      </c>
      <c r="H193" s="252">
        <f>'Resultater - Vestdanmark'!H193+'Resultater - Østdanmark'!H193</f>
        <v>-175484.74661777477</v>
      </c>
      <c r="I193" s="253">
        <f>'Resultater - Vestdanmark'!I193+'Resultater - Østdanmark'!I193</f>
        <v>-161599.14513676637</v>
      </c>
      <c r="J193" s="254">
        <f>'Resultater - Vestdanmark'!J193+'Resultater - Østdanmark'!J193</f>
        <v>-127927.29517026256</v>
      </c>
    </row>
    <row r="194" spans="1:10" x14ac:dyDescent="0.25">
      <c r="A194" s="94" t="str">
        <f>'Resultater - Vestdanmark'!A194</f>
        <v>Kartoffelmark</v>
      </c>
      <c r="B194" s="94" t="str">
        <f>'Resultater - Vestdanmark'!B194</f>
        <v>Konventionel</v>
      </c>
      <c r="C194" s="94" t="str">
        <f>'Resultater - Vestdanmark'!C194</f>
        <v>OC6</v>
      </c>
      <c r="D194" s="94" t="str">
        <f>'Resultater - Vestdanmark'!D194</f>
        <v>Areal-kartofler</v>
      </c>
      <c r="E194" s="94" t="str">
        <f>'Resultater - Vestdanmark'!E194</f>
        <v>Hektar</v>
      </c>
      <c r="F194" s="94" t="str">
        <f>'Resultater - Vestdanmark'!F194</f>
        <v>CO2 - atmosfære</v>
      </c>
      <c r="G194" s="94" t="str">
        <f>'Resultater - Vestdanmark'!G194</f>
        <v>t CO2-ækvivalenter</v>
      </c>
      <c r="H194" s="252">
        <f>'Resultater - Vestdanmark'!H194+'Resultater - Østdanmark'!H194</f>
        <v>23385.82028389235</v>
      </c>
      <c r="I194" s="253">
        <f>'Resultater - Vestdanmark'!I194+'Resultater - Østdanmark'!I194</f>
        <v>21535.367825617432</v>
      </c>
      <c r="J194" s="254">
        <f>'Resultater - Vestdanmark'!J194+'Resultater - Østdanmark'!J194</f>
        <v>17048.118380182816</v>
      </c>
    </row>
    <row r="195" spans="1:10" x14ac:dyDescent="0.25">
      <c r="A195" s="94" t="str">
        <f>'Resultater - Vestdanmark'!A195</f>
        <v>Kartoffelmark</v>
      </c>
      <c r="B195" s="94" t="str">
        <f>'Resultater - Vestdanmark'!B195</f>
        <v>Konventionel</v>
      </c>
      <c r="C195" s="94" t="str">
        <f>'Resultater - Vestdanmark'!C195</f>
        <v>OC12</v>
      </c>
      <c r="D195" s="94" t="str">
        <f>'Resultater - Vestdanmark'!D195</f>
        <v>Areal-kartofler</v>
      </c>
      <c r="E195" s="94" t="str">
        <f>'Resultater - Vestdanmark'!E195</f>
        <v>Hektar</v>
      </c>
      <c r="F195" s="94" t="str">
        <f>'Resultater - Vestdanmark'!F195</f>
        <v>Kartofler</v>
      </c>
      <c r="G195" s="94" t="str">
        <f>'Resultater - Vestdanmark'!G195</f>
        <v>Ton</v>
      </c>
      <c r="H195" s="252">
        <f>'Resultater - Vestdanmark'!H195+'Resultater - Østdanmark'!H195</f>
        <v>74479.88306993802</v>
      </c>
      <c r="I195" s="253">
        <f>'Resultater - Vestdanmark'!I195+'Resultater - Østdanmark'!I195</f>
        <v>57656.782174057706</v>
      </c>
      <c r="J195" s="254">
        <f>'Resultater - Vestdanmark'!J195+'Resultater - Østdanmark'!J195</f>
        <v>0</v>
      </c>
    </row>
    <row r="196" spans="1:10" x14ac:dyDescent="0.25">
      <c r="A196" s="94" t="str">
        <f>'Resultater - Vestdanmark'!A196</f>
        <v>Kartoffelmark</v>
      </c>
      <c r="B196" s="94" t="str">
        <f>'Resultater - Vestdanmark'!B196</f>
        <v>Konventionel</v>
      </c>
      <c r="C196" s="94" t="str">
        <f>'Resultater - Vestdanmark'!C196</f>
        <v>OC12</v>
      </c>
      <c r="D196" s="94" t="str">
        <f>'Resultater - Vestdanmark'!D196</f>
        <v>Areal-kartofler</v>
      </c>
      <c r="E196" s="94" t="str">
        <f>'Resultater - Vestdanmark'!E196</f>
        <v>Hektar</v>
      </c>
      <c r="F196" s="94" t="str">
        <f>'Resultater - Vestdanmark'!F196</f>
        <v>Gødning</v>
      </c>
      <c r="G196" s="94" t="str">
        <f>'Resultater - Vestdanmark'!G196</f>
        <v>kg N</v>
      </c>
      <c r="H196" s="252">
        <f>'Resultater - Vestdanmark'!H196+'Resultater - Østdanmark'!H196</f>
        <v>-112735.83895599192</v>
      </c>
      <c r="I196" s="253">
        <f>'Resultater - Vestdanmark'!I196+'Resultater - Østdanmark'!I196</f>
        <v>-81562.33266636332</v>
      </c>
      <c r="J196" s="254">
        <f>'Resultater - Vestdanmark'!J196+'Resultater - Østdanmark'!J196</f>
        <v>0</v>
      </c>
    </row>
    <row r="197" spans="1:10" x14ac:dyDescent="0.25">
      <c r="A197" s="94" t="str">
        <f>'Resultater - Vestdanmark'!A197</f>
        <v>Kartoffelmark</v>
      </c>
      <c r="B197" s="94" t="str">
        <f>'Resultater - Vestdanmark'!B197</f>
        <v>Konventionel</v>
      </c>
      <c r="C197" s="94" t="str">
        <f>'Resultater - Vestdanmark'!C197</f>
        <v>OC12</v>
      </c>
      <c r="D197" s="94" t="str">
        <f>'Resultater - Vestdanmark'!D197</f>
        <v>Areal-kartofler</v>
      </c>
      <c r="E197" s="94" t="str">
        <f>'Resultater - Vestdanmark'!E197</f>
        <v>Hektar</v>
      </c>
      <c r="F197" s="94" t="str">
        <f>'Resultater - Vestdanmark'!F197</f>
        <v>CO2 - atmosfære</v>
      </c>
      <c r="G197" s="94" t="str">
        <f>'Resultater - Vestdanmark'!G197</f>
        <v>t CO2-ækvivalenter</v>
      </c>
      <c r="H197" s="252">
        <f>'Resultater - Vestdanmark'!H197+'Resultater - Østdanmark'!H197</f>
        <v>51296.929124309347</v>
      </c>
      <c r="I197" s="253">
        <f>'Resultater - Vestdanmark'!I197+'Resultater - Østdanmark'!I197</f>
        <v>37112.396880578723</v>
      </c>
      <c r="J197" s="254">
        <f>'Resultater - Vestdanmark'!J197+'Resultater - Østdanmark'!J197</f>
        <v>0</v>
      </c>
    </row>
    <row r="198" spans="1:10" x14ac:dyDescent="0.25">
      <c r="A198" s="94" t="str">
        <f>'Resultater - Vestdanmark'!A198</f>
        <v>Kartoffelmark</v>
      </c>
      <c r="B198" s="94" t="str">
        <f>'Resultater - Vestdanmark'!B198</f>
        <v>Økologisk</v>
      </c>
      <c r="C198" s="94" t="str">
        <f>'Resultater - Vestdanmark'!C198</f>
        <v>JB1-10</v>
      </c>
      <c r="D198" s="94" t="str">
        <f>'Resultater - Vestdanmark'!D198</f>
        <v>Areal-kartofler</v>
      </c>
      <c r="E198" s="94" t="str">
        <f>'Resultater - Vestdanmark'!E198</f>
        <v>Hektar</v>
      </c>
      <c r="F198" s="94" t="str">
        <f>'Resultater - Vestdanmark'!F198</f>
        <v>Kartofler</v>
      </c>
      <c r="G198" s="94" t="str">
        <f>'Resultater - Vestdanmark'!G198</f>
        <v>Ton</v>
      </c>
      <c r="H198" s="252">
        <f>'Resultater - Vestdanmark'!H198+'Resultater - Østdanmark'!H198</f>
        <v>142878.09397503437</v>
      </c>
      <c r="I198" s="253">
        <f>'Resultater - Vestdanmark'!I198+'Resultater - Østdanmark'!I198</f>
        <v>171670.02536313943</v>
      </c>
      <c r="J198" s="254">
        <f>'Resultater - Vestdanmark'!J198+'Resultater - Østdanmark'!J198</f>
        <v>224706.89010428119</v>
      </c>
    </row>
    <row r="199" spans="1:10" x14ac:dyDescent="0.25">
      <c r="A199" s="94" t="str">
        <f>'Resultater - Vestdanmark'!A199</f>
        <v>Kartoffelmark</v>
      </c>
      <c r="B199" s="94" t="str">
        <f>'Resultater - Vestdanmark'!B199</f>
        <v>Økologisk</v>
      </c>
      <c r="C199" s="94" t="str">
        <f>'Resultater - Vestdanmark'!C199</f>
        <v>JB1-10</v>
      </c>
      <c r="D199" s="94" t="str">
        <f>'Resultater - Vestdanmark'!D199</f>
        <v>Areal-kartofler</v>
      </c>
      <c r="E199" s="94" t="str">
        <f>'Resultater - Vestdanmark'!E199</f>
        <v>Hektar</v>
      </c>
      <c r="F199" s="94" t="str">
        <f>'Resultater - Vestdanmark'!F199</f>
        <v>Gødning</v>
      </c>
      <c r="G199" s="94" t="str">
        <f>'Resultater - Vestdanmark'!G199</f>
        <v>kg N</v>
      </c>
      <c r="H199" s="252">
        <f>'Resultater - Vestdanmark'!H199+'Resultater - Østdanmark'!H199</f>
        <v>-504621.14914566139</v>
      </c>
      <c r="I199" s="253">
        <f>'Resultater - Vestdanmark'!I199+'Resultater - Østdanmark'!I199</f>
        <v>-566644.26009007019</v>
      </c>
      <c r="J199" s="254">
        <f>'Resultater - Vestdanmark'!J199+'Resultater - Østdanmark'!J199</f>
        <v>-690110.0453855599</v>
      </c>
    </row>
    <row r="200" spans="1:10" x14ac:dyDescent="0.25">
      <c r="A200" s="94" t="str">
        <f>'Resultater - Vestdanmark'!A200</f>
        <v>Kartoffelmark</v>
      </c>
      <c r="B200" s="94" t="str">
        <f>'Resultater - Vestdanmark'!B200</f>
        <v>Økologisk</v>
      </c>
      <c r="C200" s="94" t="str">
        <f>'Resultater - Vestdanmark'!C200</f>
        <v>JB1-10</v>
      </c>
      <c r="D200" s="94" t="str">
        <f>'Resultater - Vestdanmark'!D200</f>
        <v>Areal-kartofler</v>
      </c>
      <c r="E200" s="94" t="str">
        <f>'Resultater - Vestdanmark'!E200</f>
        <v>Hektar</v>
      </c>
      <c r="F200" s="94" t="str">
        <f>'Resultater - Vestdanmark'!F200</f>
        <v>CO2 - atmosfære</v>
      </c>
      <c r="G200" s="94" t="str">
        <f>'Resultater - Vestdanmark'!G200</f>
        <v>t CO2-ækvivalenter</v>
      </c>
      <c r="H200" s="252">
        <f>'Resultater - Vestdanmark'!H200+'Resultater - Østdanmark'!H200</f>
        <v>13419.348123117323</v>
      </c>
      <c r="I200" s="253">
        <f>'Resultater - Vestdanmark'!I200+'Resultater - Østdanmark'!I200</f>
        <v>15068.723538418235</v>
      </c>
      <c r="J200" s="254">
        <f>'Resultater - Vestdanmark'!J200+'Resultater - Østdanmark'!J200</f>
        <v>18352.038867114425</v>
      </c>
    </row>
    <row r="201" spans="1:10" x14ac:dyDescent="0.25">
      <c r="A201" s="94" t="str">
        <f>'Resultater - Vestdanmark'!A201</f>
        <v>Kartoffelmark</v>
      </c>
      <c r="B201" s="94" t="str">
        <f>'Resultater - Vestdanmark'!B201</f>
        <v>Økologisk</v>
      </c>
      <c r="C201" s="94" t="str">
        <f>'Resultater - Vestdanmark'!C201</f>
        <v>OC6</v>
      </c>
      <c r="D201" s="94" t="str">
        <f>'Resultater - Vestdanmark'!D201</f>
        <v>Areal-kartofler</v>
      </c>
      <c r="E201" s="94" t="str">
        <f>'Resultater - Vestdanmark'!E201</f>
        <v>Hektar</v>
      </c>
      <c r="F201" s="94" t="str">
        <f>'Resultater - Vestdanmark'!F201</f>
        <v>Kartofler</v>
      </c>
      <c r="G201" s="94" t="str">
        <f>'Resultater - Vestdanmark'!G201</f>
        <v>Ton</v>
      </c>
      <c r="H201" s="252">
        <f>'Resultater - Vestdanmark'!H201+'Resultater - Østdanmark'!H201</f>
        <v>5431.8220154279852</v>
      </c>
      <c r="I201" s="253">
        <f>'Resultater - Vestdanmark'!I201+'Resultater - Østdanmark'!I201</f>
        <v>6532.912060726846</v>
      </c>
      <c r="J201" s="254">
        <f>'Resultater - Vestdanmark'!J201+'Resultater - Østdanmark'!J201</f>
        <v>7554.5999675244411</v>
      </c>
    </row>
    <row r="202" spans="1:10" x14ac:dyDescent="0.25">
      <c r="A202" s="94" t="str">
        <f>'Resultater - Vestdanmark'!A202</f>
        <v>Kartoffelmark</v>
      </c>
      <c r="B202" s="94" t="str">
        <f>'Resultater - Vestdanmark'!B202</f>
        <v>Økologisk</v>
      </c>
      <c r="C202" s="94" t="str">
        <f>'Resultater - Vestdanmark'!C202</f>
        <v>OC6</v>
      </c>
      <c r="D202" s="94" t="str">
        <f>'Resultater - Vestdanmark'!D202</f>
        <v>Areal-kartofler</v>
      </c>
      <c r="E202" s="94" t="str">
        <f>'Resultater - Vestdanmark'!E202</f>
        <v>Hektar</v>
      </c>
      <c r="F202" s="94" t="str">
        <f>'Resultater - Vestdanmark'!F202</f>
        <v>Gødning</v>
      </c>
      <c r="G202" s="94" t="str">
        <f>'Resultater - Vestdanmark'!G202</f>
        <v>kg N</v>
      </c>
      <c r="H202" s="252">
        <f>'Resultater - Vestdanmark'!H202+'Resultater - Østdanmark'!H202</f>
        <v>-12789.514898665619</v>
      </c>
      <c r="I202" s="253">
        <f>'Resultater - Vestdanmark'!I202+'Resultater - Østdanmark'!I202</f>
        <v>-14375.785223438348</v>
      </c>
      <c r="J202" s="254">
        <f>'Resultater - Vestdanmark'!J202+'Resultater - Østdanmark'!J202</f>
        <v>-15467.572961495382</v>
      </c>
    </row>
    <row r="203" spans="1:10" x14ac:dyDescent="0.25">
      <c r="A203" s="94" t="str">
        <f>'Resultater - Vestdanmark'!A203</f>
        <v>Kartoffelmark</v>
      </c>
      <c r="B203" s="94" t="str">
        <f>'Resultater - Vestdanmark'!B203</f>
        <v>Økologisk</v>
      </c>
      <c r="C203" s="94" t="str">
        <f>'Resultater - Vestdanmark'!C203</f>
        <v>OC6</v>
      </c>
      <c r="D203" s="94" t="str">
        <f>'Resultater - Vestdanmark'!D203</f>
        <v>Areal-kartofler</v>
      </c>
      <c r="E203" s="94" t="str">
        <f>'Resultater - Vestdanmark'!E203</f>
        <v>Hektar</v>
      </c>
      <c r="F203" s="94" t="str">
        <f>'Resultater - Vestdanmark'!F203</f>
        <v>CO2 - atmosfære</v>
      </c>
      <c r="G203" s="94" t="str">
        <f>'Resultater - Vestdanmark'!G203</f>
        <v>t CO2-ækvivalenter</v>
      </c>
      <c r="H203" s="252">
        <f>'Resultater - Vestdanmark'!H203+'Resultater - Østdanmark'!H203</f>
        <v>2990.1463942669939</v>
      </c>
      <c r="I203" s="253">
        <f>'Resultater - Vestdanmark'!I203+'Resultater - Østdanmark'!I203</f>
        <v>3361.0111635356689</v>
      </c>
      <c r="J203" s="254">
        <f>'Resultater - Vestdanmark'!J203+'Resultater - Østdanmark'!J203</f>
        <v>3616.267535190294</v>
      </c>
    </row>
    <row r="204" spans="1:10" x14ac:dyDescent="0.25">
      <c r="A204" s="94" t="str">
        <f>'Resultater - Vestdanmark'!A204</f>
        <v>Kartoffelmark</v>
      </c>
      <c r="B204" s="94" t="str">
        <f>'Resultater - Vestdanmark'!B204</f>
        <v>Økologisk</v>
      </c>
      <c r="C204" s="94" t="str">
        <f>'Resultater - Vestdanmark'!C204</f>
        <v>OC12</v>
      </c>
      <c r="D204" s="94" t="str">
        <f>'Resultater - Vestdanmark'!D204</f>
        <v>Areal-kartofler</v>
      </c>
      <c r="E204" s="94" t="str">
        <f>'Resultater - Vestdanmark'!E204</f>
        <v>Hektar</v>
      </c>
      <c r="F204" s="94" t="str">
        <f>'Resultater - Vestdanmark'!F204</f>
        <v>Kartofler</v>
      </c>
      <c r="G204" s="94" t="str">
        <f>'Resultater - Vestdanmark'!G204</f>
        <v>Ton</v>
      </c>
      <c r="H204" s="252">
        <f>'Resultater - Vestdanmark'!H204+'Resultater - Østdanmark'!H204</f>
        <v>5428.1730608109774</v>
      </c>
      <c r="I204" s="253">
        <f>'Resultater - Vestdanmark'!I204+'Resultater - Østdanmark'!I204</f>
        <v>5129.1206801083699</v>
      </c>
      <c r="J204" s="254">
        <f>'Resultater - Vestdanmark'!J204+'Resultater - Østdanmark'!J204</f>
        <v>0</v>
      </c>
    </row>
    <row r="205" spans="1:10" x14ac:dyDescent="0.25">
      <c r="A205" s="94" t="str">
        <f>'Resultater - Vestdanmark'!A205</f>
        <v>Kartoffelmark</v>
      </c>
      <c r="B205" s="94" t="str">
        <f>'Resultater - Vestdanmark'!B205</f>
        <v>Økologisk</v>
      </c>
      <c r="C205" s="94" t="str">
        <f>'Resultater - Vestdanmark'!C205</f>
        <v>OC12</v>
      </c>
      <c r="D205" s="94" t="str">
        <f>'Resultater - Vestdanmark'!D205</f>
        <v>Areal-kartofler</v>
      </c>
      <c r="E205" s="94" t="str">
        <f>'Resultater - Vestdanmark'!E205</f>
        <v>Hektar</v>
      </c>
      <c r="F205" s="94" t="str">
        <f>'Resultater - Vestdanmark'!F205</f>
        <v>Gødning</v>
      </c>
      <c r="G205" s="94" t="str">
        <f>'Resultater - Vestdanmark'!G205</f>
        <v>kg N</v>
      </c>
      <c r="H205" s="252">
        <f>'Resultater - Vestdanmark'!H205+'Resultater - Østdanmark'!H205</f>
        <v>-8216.3077972908159</v>
      </c>
      <c r="I205" s="253">
        <f>'Resultater - Vestdanmark'!I205+'Resultater - Østdanmark'!I205</f>
        <v>-7255.7473973140532</v>
      </c>
      <c r="J205" s="254">
        <f>'Resultater - Vestdanmark'!J205+'Resultater - Østdanmark'!J205</f>
        <v>0</v>
      </c>
    </row>
    <row r="206" spans="1:10" x14ac:dyDescent="0.25">
      <c r="A206" s="94" t="str">
        <f>'Resultater - Vestdanmark'!A206</f>
        <v>Kartoffelmark</v>
      </c>
      <c r="B206" s="94" t="str">
        <f>'Resultater - Vestdanmark'!B206</f>
        <v>Økologisk</v>
      </c>
      <c r="C206" s="94" t="str">
        <f>'Resultater - Vestdanmark'!C206</f>
        <v>OC12</v>
      </c>
      <c r="D206" s="94" t="str">
        <f>'Resultater - Vestdanmark'!D206</f>
        <v>Areal-kartofler</v>
      </c>
      <c r="E206" s="94" t="str">
        <f>'Resultater - Vestdanmark'!E206</f>
        <v>Hektar</v>
      </c>
      <c r="F206" s="94" t="str">
        <f>'Resultater - Vestdanmark'!F206</f>
        <v>CO2 - atmosfære</v>
      </c>
      <c r="G206" s="94" t="str">
        <f>'Resultater - Vestdanmark'!G206</f>
        <v>t CO2-ækvivalenter</v>
      </c>
      <c r="H206" s="252">
        <f>'Resultater - Vestdanmark'!H206+'Resultater - Østdanmark'!H206</f>
        <v>6558.9030359423223</v>
      </c>
      <c r="I206" s="253">
        <f>'Resultater - Vestdanmark'!I206+'Resultater - Østdanmark'!I206</f>
        <v>5792.1081836741359</v>
      </c>
      <c r="J206" s="254">
        <f>'Resultater - Vestdanmark'!J206+'Resultater - Østdanmark'!J206</f>
        <v>0</v>
      </c>
    </row>
    <row r="207" spans="1:10" x14ac:dyDescent="0.25">
      <c r="A207" s="94" t="str">
        <f>'Resultater - Vestdanmark'!A207</f>
        <v>Græsmark</v>
      </c>
      <c r="B207" s="94" t="str">
        <f>'Resultater - Vestdanmark'!B207</f>
        <v>Konventionel</v>
      </c>
      <c r="C207" s="94" t="str">
        <f>'Resultater - Vestdanmark'!C207</f>
        <v>JB1-10</v>
      </c>
      <c r="D207" s="94" t="str">
        <f>'Resultater - Vestdanmark'!D207</f>
        <v>Areal-græs</v>
      </c>
      <c r="E207" s="94" t="str">
        <f>'Resultater - Vestdanmark'!E207</f>
        <v>Hektar</v>
      </c>
      <c r="F207" s="94" t="str">
        <f>'Resultater - Vestdanmark'!F207</f>
        <v>Græs</v>
      </c>
      <c r="G207" s="94" t="str">
        <f>'Resultater - Vestdanmark'!G207</f>
        <v>Ton</v>
      </c>
      <c r="H207" s="252">
        <f>'Resultater - Vestdanmark'!H207+'Resultater - Østdanmark'!H207</f>
        <v>10615606.672639394</v>
      </c>
      <c r="I207" s="253">
        <f>'Resultater - Vestdanmark'!I207+'Resultater - Østdanmark'!I207</f>
        <v>10468569.318699561</v>
      </c>
      <c r="J207" s="254">
        <f>'Resultater - Vestdanmark'!J207+'Resultater - Østdanmark'!J207</f>
        <v>10102631.319359099</v>
      </c>
    </row>
    <row r="208" spans="1:10" x14ac:dyDescent="0.25">
      <c r="A208" s="94" t="str">
        <f>'Resultater - Vestdanmark'!A208</f>
        <v>Græsmark</v>
      </c>
      <c r="B208" s="94" t="str">
        <f>'Resultater - Vestdanmark'!B208</f>
        <v>Konventionel</v>
      </c>
      <c r="C208" s="94" t="str">
        <f>'Resultater - Vestdanmark'!C208</f>
        <v>JB1-10</v>
      </c>
      <c r="D208" s="94" t="str">
        <f>'Resultater - Vestdanmark'!D208</f>
        <v>Areal-græs</v>
      </c>
      <c r="E208" s="94" t="str">
        <f>'Resultater - Vestdanmark'!E208</f>
        <v>Hektar</v>
      </c>
      <c r="F208" s="94" t="str">
        <f>'Resultater - Vestdanmark'!F208</f>
        <v>Gødning</v>
      </c>
      <c r="G208" s="94" t="str">
        <f>'Resultater - Vestdanmark'!G208</f>
        <v>kg N</v>
      </c>
      <c r="H208" s="252">
        <f>'Resultater - Vestdanmark'!H208+'Resultater - Østdanmark'!H208</f>
        <v>-33160399.72307751</v>
      </c>
      <c r="I208" s="253">
        <f>'Resultater - Vestdanmark'!I208+'Resultater - Østdanmark'!I208</f>
        <v>-30561769.342299268</v>
      </c>
      <c r="J208" s="254">
        <f>'Resultater - Vestdanmark'!J208+'Resultater - Østdanmark'!J208</f>
        <v>-27441737.28161262</v>
      </c>
    </row>
    <row r="209" spans="1:10" x14ac:dyDescent="0.25">
      <c r="A209" s="94" t="str">
        <f>'Resultater - Vestdanmark'!A209</f>
        <v>Græsmark</v>
      </c>
      <c r="B209" s="94" t="str">
        <f>'Resultater - Vestdanmark'!B209</f>
        <v>Konventionel</v>
      </c>
      <c r="C209" s="94" t="str">
        <f>'Resultater - Vestdanmark'!C209</f>
        <v>JB1-10</v>
      </c>
      <c r="D209" s="94" t="str">
        <f>'Resultater - Vestdanmark'!D209</f>
        <v>Areal-græs</v>
      </c>
      <c r="E209" s="94" t="str">
        <f>'Resultater - Vestdanmark'!E209</f>
        <v>Hektar</v>
      </c>
      <c r="F209" s="94" t="str">
        <f>'Resultater - Vestdanmark'!F209</f>
        <v>CO2 - atmosfære</v>
      </c>
      <c r="G209" s="94" t="str">
        <f>'Resultater - Vestdanmark'!G209</f>
        <v>t CO2-ækvivalenter</v>
      </c>
      <c r="H209" s="252">
        <f>'Resultater - Vestdanmark'!H209+'Resultater - Østdanmark'!H209</f>
        <v>486429.76821888878</v>
      </c>
      <c r="I209" s="253">
        <f>'Resultater - Vestdanmark'!I209+'Resultater - Østdanmark'!I209</f>
        <v>448310.46976758499</v>
      </c>
      <c r="J209" s="254">
        <f>'Resultater - Vestdanmark'!J209+'Resultater - Østdanmark'!J209</f>
        <v>402542.73220140894</v>
      </c>
    </row>
    <row r="210" spans="1:10" x14ac:dyDescent="0.25">
      <c r="A210" s="94" t="str">
        <f>'Resultater - Vestdanmark'!A210</f>
        <v>Græsmark</v>
      </c>
      <c r="B210" s="94" t="str">
        <f>'Resultater - Vestdanmark'!B210</f>
        <v>Konventionel</v>
      </c>
      <c r="C210" s="94" t="str">
        <f>'Resultater - Vestdanmark'!C210</f>
        <v>OC6</v>
      </c>
      <c r="D210" s="94" t="str">
        <f>'Resultater - Vestdanmark'!D210</f>
        <v>Areal-græs</v>
      </c>
      <c r="E210" s="94" t="str">
        <f>'Resultater - Vestdanmark'!E210</f>
        <v>Hektar</v>
      </c>
      <c r="F210" s="94" t="str">
        <f>'Resultater - Vestdanmark'!F210</f>
        <v>Græs</v>
      </c>
      <c r="G210" s="94" t="str">
        <f>'Resultater - Vestdanmark'!G210</f>
        <v>Ton</v>
      </c>
      <c r="H210" s="252">
        <f>'Resultater - Vestdanmark'!H210+'Resultater - Østdanmark'!H210</f>
        <v>1227820.3144178872</v>
      </c>
      <c r="I210" s="253">
        <f>'Resultater - Vestdanmark'!I210+'Resultater - Østdanmark'!I210</f>
        <v>1209901.8841760147</v>
      </c>
      <c r="J210" s="254">
        <f>'Resultater - Vestdanmark'!J210+'Resultater - Østdanmark'!J210</f>
        <v>1029409.9795776121</v>
      </c>
    </row>
    <row r="211" spans="1:10" x14ac:dyDescent="0.25">
      <c r="A211" s="94" t="str">
        <f>'Resultater - Vestdanmark'!A211</f>
        <v>Græsmark</v>
      </c>
      <c r="B211" s="94" t="str">
        <f>'Resultater - Vestdanmark'!B211</f>
        <v>Konventionel</v>
      </c>
      <c r="C211" s="94" t="str">
        <f>'Resultater - Vestdanmark'!C211</f>
        <v>OC6</v>
      </c>
      <c r="D211" s="94" t="str">
        <f>'Resultater - Vestdanmark'!D211</f>
        <v>Areal-græs</v>
      </c>
      <c r="E211" s="94" t="str">
        <f>'Resultater - Vestdanmark'!E211</f>
        <v>Hektar</v>
      </c>
      <c r="F211" s="94" t="str">
        <f>'Resultater - Vestdanmark'!F211</f>
        <v>Gødning</v>
      </c>
      <c r="G211" s="94" t="str">
        <f>'Resultater - Vestdanmark'!G211</f>
        <v>kg N</v>
      </c>
      <c r="H211" s="252">
        <f>'Resultater - Vestdanmark'!H211+'Resultater - Østdanmark'!H211</f>
        <v>-2680650.2901102607</v>
      </c>
      <c r="I211" s="253">
        <f>'Resultater - Vestdanmark'!I211+'Resultater - Østdanmark'!I211</f>
        <v>-2468719.3534237449</v>
      </c>
      <c r="J211" s="254">
        <f>'Resultater - Vestdanmark'!J211+'Resultater - Østdanmark'!J211</f>
        <v>-1954320.9164299341</v>
      </c>
    </row>
    <row r="212" spans="1:10" x14ac:dyDescent="0.25">
      <c r="A212" s="94" t="str">
        <f>'Resultater - Vestdanmark'!A212</f>
        <v>Græsmark</v>
      </c>
      <c r="B212" s="94" t="str">
        <f>'Resultater - Vestdanmark'!B212</f>
        <v>Konventionel</v>
      </c>
      <c r="C212" s="94" t="str">
        <f>'Resultater - Vestdanmark'!C212</f>
        <v>OC6</v>
      </c>
      <c r="D212" s="94" t="str">
        <f>'Resultater - Vestdanmark'!D212</f>
        <v>Areal-græs</v>
      </c>
      <c r="E212" s="94" t="str">
        <f>'Resultater - Vestdanmark'!E212</f>
        <v>Hektar</v>
      </c>
      <c r="F212" s="94" t="str">
        <f>'Resultater - Vestdanmark'!F212</f>
        <v>CO2 - atmosfære</v>
      </c>
      <c r="G212" s="94" t="str">
        <f>'Resultater - Vestdanmark'!G212</f>
        <v>t CO2-ækvivalenter</v>
      </c>
      <c r="H212" s="252">
        <f>'Resultater - Vestdanmark'!H212+'Resultater - Østdanmark'!H212</f>
        <v>329754.92419657321</v>
      </c>
      <c r="I212" s="253">
        <f>'Resultater - Vestdanmark'!I212+'Resultater - Østdanmark'!I212</f>
        <v>303684.6567619142</v>
      </c>
      <c r="J212" s="254">
        <f>'Resultater - Vestdanmark'!J212+'Resultater - Østdanmark'!J212</f>
        <v>240406.94455024303</v>
      </c>
    </row>
    <row r="213" spans="1:10" x14ac:dyDescent="0.25">
      <c r="A213" s="94" t="str">
        <f>'Resultater - Vestdanmark'!A213</f>
        <v>Græsmark</v>
      </c>
      <c r="B213" s="94" t="str">
        <f>'Resultater - Vestdanmark'!B213</f>
        <v>Konventionel</v>
      </c>
      <c r="C213" s="94" t="str">
        <f>'Resultater - Vestdanmark'!C213</f>
        <v>OC12</v>
      </c>
      <c r="D213" s="94" t="str">
        <f>'Resultater - Vestdanmark'!D213</f>
        <v>Areal-græs</v>
      </c>
      <c r="E213" s="94" t="str">
        <f>'Resultater - Vestdanmark'!E213</f>
        <v>Hektar</v>
      </c>
      <c r="F213" s="94" t="str">
        <f>'Resultater - Vestdanmark'!F213</f>
        <v>Græs</v>
      </c>
      <c r="G213" s="94" t="str">
        <f>'Resultater - Vestdanmark'!G213</f>
        <v>Ton</v>
      </c>
      <c r="H213" s="252">
        <f>'Resultater - Vestdanmark'!H213+'Resultater - Østdanmark'!H213</f>
        <v>1475854.3420564069</v>
      </c>
      <c r="I213" s="253">
        <f>'Resultater - Vestdanmark'!I213+'Resultater - Østdanmark'!I213</f>
        <v>1144038.219048728</v>
      </c>
      <c r="J213" s="254">
        <f>'Resultater - Vestdanmark'!J213+'Resultater - Østdanmark'!J213</f>
        <v>0</v>
      </c>
    </row>
    <row r="214" spans="1:10" x14ac:dyDescent="0.25">
      <c r="A214" s="94" t="str">
        <f>'Resultater - Vestdanmark'!A214</f>
        <v>Græsmark</v>
      </c>
      <c r="B214" s="94" t="str">
        <f>'Resultater - Vestdanmark'!B214</f>
        <v>Konventionel</v>
      </c>
      <c r="C214" s="94" t="str">
        <f>'Resultater - Vestdanmark'!C214</f>
        <v>OC12</v>
      </c>
      <c r="D214" s="94" t="str">
        <f>'Resultater - Vestdanmark'!D214</f>
        <v>Areal-græs</v>
      </c>
      <c r="E214" s="94" t="str">
        <f>'Resultater - Vestdanmark'!E214</f>
        <v>Hektar</v>
      </c>
      <c r="F214" s="94" t="str">
        <f>'Resultater - Vestdanmark'!F214</f>
        <v>Gødning</v>
      </c>
      <c r="G214" s="94" t="str">
        <f>'Resultater - Vestdanmark'!G214</f>
        <v>kg N</v>
      </c>
      <c r="H214" s="252">
        <f>'Resultater - Vestdanmark'!H214+'Resultater - Østdanmark'!H214</f>
        <v>-2230735.0998434206</v>
      </c>
      <c r="I214" s="253">
        <f>'Resultater - Vestdanmark'!I214+'Resultater - Østdanmark'!I214</f>
        <v>-1616074.0587088903</v>
      </c>
      <c r="J214" s="254">
        <f>'Resultater - Vestdanmark'!J214+'Resultater - Østdanmark'!J214</f>
        <v>0</v>
      </c>
    </row>
    <row r="215" spans="1:10" x14ac:dyDescent="0.25">
      <c r="A215" s="94" t="str">
        <f>'Resultater - Vestdanmark'!A215</f>
        <v>Græsmark</v>
      </c>
      <c r="B215" s="94" t="str">
        <f>'Resultater - Vestdanmark'!B215</f>
        <v>Konventionel</v>
      </c>
      <c r="C215" s="94" t="str">
        <f>'Resultater - Vestdanmark'!C215</f>
        <v>OC12</v>
      </c>
      <c r="D215" s="94" t="str">
        <f>'Resultater - Vestdanmark'!D215</f>
        <v>Areal-græs</v>
      </c>
      <c r="E215" s="94" t="str">
        <f>'Resultater - Vestdanmark'!E215</f>
        <v>Hektar</v>
      </c>
      <c r="F215" s="94" t="str">
        <f>'Resultater - Vestdanmark'!F215</f>
        <v>CO2 - atmosfære</v>
      </c>
      <c r="G215" s="94" t="str">
        <f>'Resultater - Vestdanmark'!G215</f>
        <v>t CO2-ækvivalenter</v>
      </c>
      <c r="H215" s="252">
        <f>'Resultater - Vestdanmark'!H215+'Resultater - Østdanmark'!H215</f>
        <v>870022.68593914213</v>
      </c>
      <c r="I215" s="253">
        <f>'Resultater - Vestdanmark'!I215+'Resultater - Østdanmark'!I215</f>
        <v>630294.96121398301</v>
      </c>
      <c r="J215" s="254">
        <f>'Resultater - Vestdanmark'!J215+'Resultater - Østdanmark'!J215</f>
        <v>0</v>
      </c>
    </row>
    <row r="216" spans="1:10" x14ac:dyDescent="0.25">
      <c r="A216" s="94" t="str">
        <f>'Resultater - Vestdanmark'!A216</f>
        <v>Græsmark</v>
      </c>
      <c r="B216" s="94" t="str">
        <f>'Resultater - Vestdanmark'!B216</f>
        <v>Økologisk</v>
      </c>
      <c r="C216" s="94" t="str">
        <f>'Resultater - Vestdanmark'!C216</f>
        <v>JB1-10</v>
      </c>
      <c r="D216" s="94" t="str">
        <f>'Resultater - Vestdanmark'!D216</f>
        <v>Areal-græs</v>
      </c>
      <c r="E216" s="94" t="str">
        <f>'Resultater - Vestdanmark'!E216</f>
        <v>Hektar</v>
      </c>
      <c r="F216" s="94" t="str">
        <f>'Resultater - Vestdanmark'!F216</f>
        <v>Græs</v>
      </c>
      <c r="G216" s="94" t="str">
        <f>'Resultater - Vestdanmark'!G216</f>
        <v>Ton</v>
      </c>
      <c r="H216" s="252">
        <f>'Resultater - Vestdanmark'!H216+'Resultater - Østdanmark'!H216</f>
        <v>1058715.4844797079</v>
      </c>
      <c r="I216" s="253">
        <f>'Resultater - Vestdanmark'!I216+'Resultater - Østdanmark'!I216</f>
        <v>1274381.9066578776</v>
      </c>
      <c r="J216" s="254">
        <f>'Resultater - Vestdanmark'!J216+'Resultater - Østdanmark'!J216</f>
        <v>1671526.2728394154</v>
      </c>
    </row>
    <row r="217" spans="1:10" x14ac:dyDescent="0.25">
      <c r="A217" s="94" t="str">
        <f>'Resultater - Vestdanmark'!A217</f>
        <v>Græsmark</v>
      </c>
      <c r="B217" s="94" t="str">
        <f>'Resultater - Vestdanmark'!B217</f>
        <v>Økologisk</v>
      </c>
      <c r="C217" s="94" t="str">
        <f>'Resultater - Vestdanmark'!C217</f>
        <v>JB1-10</v>
      </c>
      <c r="D217" s="94" t="str">
        <f>'Resultater - Vestdanmark'!D217</f>
        <v>Areal-græs</v>
      </c>
      <c r="E217" s="94" t="str">
        <f>'Resultater - Vestdanmark'!E217</f>
        <v>Hektar</v>
      </c>
      <c r="F217" s="94" t="str">
        <f>'Resultater - Vestdanmark'!F217</f>
        <v>Gødning</v>
      </c>
      <c r="G217" s="94" t="str">
        <f>'Resultater - Vestdanmark'!G217</f>
        <v>kg N</v>
      </c>
      <c r="H217" s="252">
        <f>'Resultater - Vestdanmark'!H217+'Resultater - Østdanmark'!H217</f>
        <v>-3307152.3598217401</v>
      </c>
      <c r="I217" s="253">
        <f>'Resultater - Vestdanmark'!I217+'Resultater - Østdanmark'!I217</f>
        <v>-3720409.6089527323</v>
      </c>
      <c r="J217" s="254">
        <f>'Resultater - Vestdanmark'!J217+'Resultater - Østdanmark'!J217</f>
        <v>-4540360.168412271</v>
      </c>
    </row>
    <row r="218" spans="1:10" x14ac:dyDescent="0.25">
      <c r="A218" s="94" t="str">
        <f>'Resultater - Vestdanmark'!A218</f>
        <v>Græsmark</v>
      </c>
      <c r="B218" s="94" t="str">
        <f>'Resultater - Vestdanmark'!B218</f>
        <v>Økologisk</v>
      </c>
      <c r="C218" s="94" t="str">
        <f>'Resultater - Vestdanmark'!C218</f>
        <v>JB1-10</v>
      </c>
      <c r="D218" s="94" t="str">
        <f>'Resultater - Vestdanmark'!D218</f>
        <v>Areal-græs</v>
      </c>
      <c r="E218" s="94" t="str">
        <f>'Resultater - Vestdanmark'!E218</f>
        <v>Hektar</v>
      </c>
      <c r="F218" s="94" t="str">
        <f>'Resultater - Vestdanmark'!F218</f>
        <v>CO2 - atmosfære</v>
      </c>
      <c r="G218" s="94" t="str">
        <f>'Resultater - Vestdanmark'!G218</f>
        <v>t CO2-ækvivalenter</v>
      </c>
      <c r="H218" s="252">
        <f>'Resultater - Vestdanmark'!H218+'Resultater - Østdanmark'!H218</f>
        <v>62195.646757178984</v>
      </c>
      <c r="I218" s="253">
        <f>'Resultater - Vestdanmark'!I218+'Resultater - Østdanmark'!I218</f>
        <v>69967.529963727138</v>
      </c>
      <c r="J218" s="254">
        <f>'Resultater - Vestdanmark'!J218+'Resultater - Østdanmark'!J218</f>
        <v>85387.852285147383</v>
      </c>
    </row>
    <row r="219" spans="1:10" x14ac:dyDescent="0.25">
      <c r="A219" s="94" t="str">
        <f>'Resultater - Vestdanmark'!A219</f>
        <v>Græsmark</v>
      </c>
      <c r="B219" s="94" t="str">
        <f>'Resultater - Vestdanmark'!B219</f>
        <v>Økologisk</v>
      </c>
      <c r="C219" s="94" t="str">
        <f>'Resultater - Vestdanmark'!C219</f>
        <v>OC6</v>
      </c>
      <c r="D219" s="94" t="str">
        <f>'Resultater - Vestdanmark'!D219</f>
        <v>Areal-græs</v>
      </c>
      <c r="E219" s="94" t="str">
        <f>'Resultater - Vestdanmark'!E219</f>
        <v>Hektar</v>
      </c>
      <c r="F219" s="94" t="str">
        <f>'Resultater - Vestdanmark'!F219</f>
        <v>Græs</v>
      </c>
      <c r="G219" s="94" t="str">
        <f>'Resultater - Vestdanmark'!G219</f>
        <v>Ton</v>
      </c>
      <c r="H219" s="252">
        <f>'Resultater - Vestdanmark'!H219+'Resultater - Østdanmark'!H219</f>
        <v>122452.95244249655</v>
      </c>
      <c r="I219" s="253">
        <f>'Resultater - Vestdanmark'!I219+'Resultater - Østdanmark'!I219</f>
        <v>147286.32185402815</v>
      </c>
      <c r="J219" s="254">
        <f>'Resultater - Vestdanmark'!J219+'Resultater - Østdanmark'!J219</f>
        <v>170320.56025738674</v>
      </c>
    </row>
    <row r="220" spans="1:10" x14ac:dyDescent="0.25">
      <c r="A220" s="94" t="str">
        <f>'Resultater - Vestdanmark'!A220</f>
        <v>Græsmark</v>
      </c>
      <c r="B220" s="94" t="str">
        <f>'Resultater - Vestdanmark'!B220</f>
        <v>Økologisk</v>
      </c>
      <c r="C220" s="94" t="str">
        <f>'Resultater - Vestdanmark'!C220</f>
        <v>OC6</v>
      </c>
      <c r="D220" s="94" t="str">
        <f>'Resultater - Vestdanmark'!D220</f>
        <v>Areal-græs</v>
      </c>
      <c r="E220" s="94" t="str">
        <f>'Resultater - Vestdanmark'!E220</f>
        <v>Hektar</v>
      </c>
      <c r="F220" s="94" t="str">
        <f>'Resultater - Vestdanmark'!F220</f>
        <v>Gødning</v>
      </c>
      <c r="G220" s="94" t="str">
        <f>'Resultater - Vestdanmark'!G220</f>
        <v>kg N</v>
      </c>
      <c r="H220" s="252">
        <f>'Resultater - Vestdanmark'!H220+'Resultater - Østdanmark'!H220</f>
        <v>-267346.56417984271</v>
      </c>
      <c r="I220" s="253">
        <f>'Resultater - Vestdanmark'!I220+'Resultater - Østdanmark'!I220</f>
        <v>-300527.33863065939</v>
      </c>
      <c r="J220" s="254">
        <f>'Resultater - Vestdanmark'!J220+'Resultater - Østdanmark'!J220</f>
        <v>-323351.27890022547</v>
      </c>
    </row>
    <row r="221" spans="1:10" x14ac:dyDescent="0.25">
      <c r="A221" s="94" t="str">
        <f>'Resultater - Vestdanmark'!A221</f>
        <v>Græsmark</v>
      </c>
      <c r="B221" s="94" t="str">
        <f>'Resultater - Vestdanmark'!B221</f>
        <v>Økologisk</v>
      </c>
      <c r="C221" s="94" t="str">
        <f>'Resultater - Vestdanmark'!C221</f>
        <v>OC6</v>
      </c>
      <c r="D221" s="94" t="str">
        <f>'Resultater - Vestdanmark'!D221</f>
        <v>Areal-græs</v>
      </c>
      <c r="E221" s="94" t="str">
        <f>'Resultater - Vestdanmark'!E221</f>
        <v>Hektar</v>
      </c>
      <c r="F221" s="94" t="str">
        <f>'Resultater - Vestdanmark'!F221</f>
        <v>CO2 - atmosfære</v>
      </c>
      <c r="G221" s="94" t="str">
        <f>'Resultater - Vestdanmark'!G221</f>
        <v>t CO2-ækvivalenter</v>
      </c>
      <c r="H221" s="252">
        <f>'Resultater - Vestdanmark'!H221+'Resultater - Østdanmark'!H221</f>
        <v>42162.963950309473</v>
      </c>
      <c r="I221" s="253">
        <f>'Resultater - Vestdanmark'!I221+'Resultater - Østdanmark'!I221</f>
        <v>47395.871286541522</v>
      </c>
      <c r="J221" s="254">
        <f>'Resultater - Vestdanmark'!J221+'Resultater - Østdanmark'!J221</f>
        <v>50995.412480354593</v>
      </c>
    </row>
    <row r="222" spans="1:10" x14ac:dyDescent="0.25">
      <c r="A222" s="94" t="str">
        <f>'Resultater - Vestdanmark'!A222</f>
        <v>Græsmark</v>
      </c>
      <c r="B222" s="94" t="str">
        <f>'Resultater - Vestdanmark'!B222</f>
        <v>Økologisk</v>
      </c>
      <c r="C222" s="94" t="str">
        <f>'Resultater - Vestdanmark'!C222</f>
        <v>OC12</v>
      </c>
      <c r="D222" s="94" t="str">
        <f>'Resultater - Vestdanmark'!D222</f>
        <v>Areal-græs</v>
      </c>
      <c r="E222" s="94" t="str">
        <f>'Resultater - Vestdanmark'!E222</f>
        <v>Hektar</v>
      </c>
      <c r="F222" s="94" t="str">
        <f>'Resultater - Vestdanmark'!F222</f>
        <v>Græs</v>
      </c>
      <c r="G222" s="94" t="str">
        <f>'Resultater - Vestdanmark'!G222</f>
        <v>Ton</v>
      </c>
      <c r="H222" s="252">
        <f>'Resultater - Vestdanmark'!H222+'Resultater - Østdanmark'!H222</f>
        <v>147189.87740935557</v>
      </c>
      <c r="I222" s="253">
        <f>'Resultater - Vestdanmark'!I222+'Resultater - Østdanmark'!I222</f>
        <v>139268.46759055613</v>
      </c>
      <c r="J222" s="254">
        <f>'Resultater - Vestdanmark'!J222+'Resultater - Østdanmark'!J222</f>
        <v>0</v>
      </c>
    </row>
    <row r="223" spans="1:10" x14ac:dyDescent="0.25">
      <c r="A223" s="94" t="str">
        <f>'Resultater - Vestdanmark'!A223</f>
        <v>Græsmark</v>
      </c>
      <c r="B223" s="94" t="str">
        <f>'Resultater - Vestdanmark'!B223</f>
        <v>Økologisk</v>
      </c>
      <c r="C223" s="94" t="str">
        <f>'Resultater - Vestdanmark'!C223</f>
        <v>OC12</v>
      </c>
      <c r="D223" s="94" t="str">
        <f>'Resultater - Vestdanmark'!D223</f>
        <v>Areal-græs</v>
      </c>
      <c r="E223" s="94" t="str">
        <f>'Resultater - Vestdanmark'!E223</f>
        <v>Hektar</v>
      </c>
      <c r="F223" s="94" t="str">
        <f>'Resultater - Vestdanmark'!F223</f>
        <v>Gødning</v>
      </c>
      <c r="G223" s="94" t="str">
        <f>'Resultater - Vestdanmark'!G223</f>
        <v>kg N</v>
      </c>
      <c r="H223" s="252">
        <f>'Resultater - Vestdanmark'!H223+'Resultater - Østdanmark'!H223</f>
        <v>-222475.63090894136</v>
      </c>
      <c r="I223" s="253">
        <f>'Resultater - Vestdanmark'!I223+'Resultater - Østdanmark'!I223</f>
        <v>-196731.32760930192</v>
      </c>
      <c r="J223" s="254">
        <f>'Resultater - Vestdanmark'!J223+'Resultater - Østdanmark'!J223</f>
        <v>0</v>
      </c>
    </row>
    <row r="224" spans="1:10" x14ac:dyDescent="0.25">
      <c r="A224" s="94" t="str">
        <f>'Resultater - Vestdanmark'!A224</f>
        <v>Græsmark</v>
      </c>
      <c r="B224" s="94" t="str">
        <f>'Resultater - Vestdanmark'!B224</f>
        <v>Økologisk</v>
      </c>
      <c r="C224" s="94" t="str">
        <f>'Resultater - Vestdanmark'!C224</f>
        <v>OC12</v>
      </c>
      <c r="D224" s="94" t="str">
        <f>'Resultater - Vestdanmark'!D224</f>
        <v>Areal-græs</v>
      </c>
      <c r="E224" s="94" t="str">
        <f>'Resultater - Vestdanmark'!E224</f>
        <v>Hektar</v>
      </c>
      <c r="F224" s="94" t="str">
        <f>'Resultater - Vestdanmark'!F224</f>
        <v>CO2 - atmosfære</v>
      </c>
      <c r="G224" s="94" t="str">
        <f>'Resultater - Vestdanmark'!G224</f>
        <v>t CO2-ækvivalenter</v>
      </c>
      <c r="H224" s="252">
        <f>'Resultater - Vestdanmark'!H224+'Resultater - Østdanmark'!H224</f>
        <v>111242.41808542692</v>
      </c>
      <c r="I224" s="253">
        <f>'Resultater - Vestdanmark'!I224+'Resultater - Østdanmark'!I224</f>
        <v>98369.733831084057</v>
      </c>
      <c r="J224" s="254">
        <f>'Resultater - Vestdanmark'!J224+'Resultater - Østdanmark'!J224</f>
        <v>0</v>
      </c>
    </row>
    <row r="225" spans="1:10" x14ac:dyDescent="0.25">
      <c r="A225" s="94" t="str">
        <f>'Resultater - Vestdanmark'!A225</f>
        <v>Bælgsædsmark</v>
      </c>
      <c r="B225" s="94" t="str">
        <f>'Resultater - Vestdanmark'!B225</f>
        <v>Konventionel</v>
      </c>
      <c r="C225" s="94" t="str">
        <f>'Resultater - Vestdanmark'!C225</f>
        <v>JB1-10</v>
      </c>
      <c r="D225" s="94" t="str">
        <f>'Resultater - Vestdanmark'!D225</f>
        <v>Areal-bælgsæd</v>
      </c>
      <c r="E225" s="94" t="str">
        <f>'Resultater - Vestdanmark'!E225</f>
        <v>Hektar</v>
      </c>
      <c r="F225" s="94" t="str">
        <f>'Resultater - Vestdanmark'!F225</f>
        <v>Bælgsæd</v>
      </c>
      <c r="G225" s="94" t="str">
        <f>'Resultater - Vestdanmark'!G225</f>
        <v>Ton</v>
      </c>
      <c r="H225" s="252">
        <f>'Resultater - Vestdanmark'!H225+'Resultater - Østdanmark'!H225</f>
        <v>252636.14136845001</v>
      </c>
      <c r="I225" s="253">
        <f>'Resultater - Vestdanmark'!I225+'Resultater - Østdanmark'!I225</f>
        <v>249007.92235285492</v>
      </c>
      <c r="J225" s="254">
        <f>'Resultater - Vestdanmark'!J225+'Resultater - Østdanmark'!J225</f>
        <v>240163.71925998089</v>
      </c>
    </row>
    <row r="226" spans="1:10" x14ac:dyDescent="0.25">
      <c r="A226" s="94" t="str">
        <f>'Resultater - Vestdanmark'!A226</f>
        <v>Bælgsædsmark</v>
      </c>
      <c r="B226" s="94" t="str">
        <f>'Resultater - Vestdanmark'!B226</f>
        <v>Konventionel</v>
      </c>
      <c r="C226" s="94" t="str">
        <f>'Resultater - Vestdanmark'!C226</f>
        <v>JB1-10</v>
      </c>
      <c r="D226" s="94" t="str">
        <f>'Resultater - Vestdanmark'!D226</f>
        <v>Areal-bælgsæd</v>
      </c>
      <c r="E226" s="94" t="str">
        <f>'Resultater - Vestdanmark'!E226</f>
        <v>Hektar</v>
      </c>
      <c r="F226" s="94" t="str">
        <f>'Resultater - Vestdanmark'!F226</f>
        <v>Halm</v>
      </c>
      <c r="G226" s="94" t="str">
        <f>'Resultater - Vestdanmark'!G226</f>
        <v>Ton</v>
      </c>
      <c r="H226" s="252">
        <f>'Resultater - Vestdanmark'!H226+'Resultater - Østdanmark'!H226</f>
        <v>75002.300218044285</v>
      </c>
      <c r="I226" s="253">
        <f>'Resultater - Vestdanmark'!I226+'Resultater - Østdanmark'!I226</f>
        <v>99654.776800696956</v>
      </c>
      <c r="J226" s="254">
        <f>'Resultater - Vestdanmark'!J226+'Resultater - Østdanmark'!J226</f>
        <v>108129.67038909864</v>
      </c>
    </row>
    <row r="227" spans="1:10" x14ac:dyDescent="0.25">
      <c r="A227" s="94" t="str">
        <f>'Resultater - Vestdanmark'!A227</f>
        <v>Bælgsædsmark</v>
      </c>
      <c r="B227" s="94" t="str">
        <f>'Resultater - Vestdanmark'!B227</f>
        <v>Konventionel</v>
      </c>
      <c r="C227" s="94" t="str">
        <f>'Resultater - Vestdanmark'!C227</f>
        <v>JB1-10</v>
      </c>
      <c r="D227" s="94" t="str">
        <f>'Resultater - Vestdanmark'!D227</f>
        <v>Areal-bælgsæd</v>
      </c>
      <c r="E227" s="94" t="str">
        <f>'Resultater - Vestdanmark'!E227</f>
        <v>Hektar</v>
      </c>
      <c r="F227" s="94" t="str">
        <f>'Resultater - Vestdanmark'!F227</f>
        <v>Gødning</v>
      </c>
      <c r="G227" s="94" t="str">
        <f>'Resultater - Vestdanmark'!G227</f>
        <v>kg N</v>
      </c>
      <c r="H227" s="252">
        <f>'Resultater - Vestdanmark'!H227+'Resultater - Østdanmark'!H227</f>
        <v>0</v>
      </c>
      <c r="I227" s="253">
        <f>'Resultater - Vestdanmark'!I227+'Resultater - Østdanmark'!I227</f>
        <v>0</v>
      </c>
      <c r="J227" s="254">
        <f>'Resultater - Vestdanmark'!J227+'Resultater - Østdanmark'!J227</f>
        <v>0</v>
      </c>
    </row>
    <row r="228" spans="1:10" x14ac:dyDescent="0.25">
      <c r="A228" s="94" t="str">
        <f>'Resultater - Vestdanmark'!A228</f>
        <v>Bælgsædsmark</v>
      </c>
      <c r="B228" s="94" t="str">
        <f>'Resultater - Vestdanmark'!B228</f>
        <v>Konventionel</v>
      </c>
      <c r="C228" s="94" t="str">
        <f>'Resultater - Vestdanmark'!C228</f>
        <v>JB1-10</v>
      </c>
      <c r="D228" s="94" t="str">
        <f>'Resultater - Vestdanmark'!D228</f>
        <v>Areal-bælgsæd</v>
      </c>
      <c r="E228" s="94" t="str">
        <f>'Resultater - Vestdanmark'!E228</f>
        <v>Hektar</v>
      </c>
      <c r="F228" s="94" t="str">
        <f>'Resultater - Vestdanmark'!F228</f>
        <v>CO2 - atmosfære</v>
      </c>
      <c r="G228" s="94" t="str">
        <f>'Resultater - Vestdanmark'!G228</f>
        <v>t CO2-ækvivalenter</v>
      </c>
      <c r="H228" s="252">
        <f>'Resultater - Vestdanmark'!H228+'Resultater - Østdanmark'!H228</f>
        <v>148812.79058360241</v>
      </c>
      <c r="I228" s="253">
        <f>'Resultater - Vestdanmark'!I228+'Resultater - Østdanmark'!I228</f>
        <v>137080.02288338169</v>
      </c>
      <c r="J228" s="254">
        <f>'Resultater - Vestdanmark'!J228+'Resultater - Østdanmark'!J228</f>
        <v>123013.94362599189</v>
      </c>
    </row>
    <row r="229" spans="1:10" x14ac:dyDescent="0.25">
      <c r="A229" s="94" t="str">
        <f>'Resultater - Vestdanmark'!A229</f>
        <v>Bælgsædsmark</v>
      </c>
      <c r="B229" s="94" t="str">
        <f>'Resultater - Vestdanmark'!B229</f>
        <v>Konventionel</v>
      </c>
      <c r="C229" s="94" t="str">
        <f>'Resultater - Vestdanmark'!C229</f>
        <v>OC6</v>
      </c>
      <c r="D229" s="94" t="str">
        <f>'Resultater - Vestdanmark'!D229</f>
        <v>Areal-bælgsæd</v>
      </c>
      <c r="E229" s="94" t="str">
        <f>'Resultater - Vestdanmark'!E229</f>
        <v>Hektar</v>
      </c>
      <c r="F229" s="94" t="str">
        <f>'Resultater - Vestdanmark'!F229</f>
        <v>Bælgsæd</v>
      </c>
      <c r="G229" s="94" t="str">
        <f>'Resultater - Vestdanmark'!G229</f>
        <v>Ton</v>
      </c>
      <c r="H229" s="252">
        <f>'Resultater - Vestdanmark'!H229+'Resultater - Østdanmark'!H229</f>
        <v>9551.9923536804617</v>
      </c>
      <c r="I229" s="253">
        <f>'Resultater - Vestdanmark'!I229+'Resultater - Østdanmark'!I229</f>
        <v>9412.3935221729789</v>
      </c>
      <c r="J229" s="254">
        <f>'Resultater - Vestdanmark'!J229+'Resultater - Østdanmark'!J229</f>
        <v>8008.2624468638014</v>
      </c>
    </row>
    <row r="230" spans="1:10" x14ac:dyDescent="0.25">
      <c r="A230" s="94" t="str">
        <f>'Resultater - Vestdanmark'!A230</f>
        <v>Bælgsædsmark</v>
      </c>
      <c r="B230" s="94" t="str">
        <f>'Resultater - Vestdanmark'!B230</f>
        <v>Konventionel</v>
      </c>
      <c r="C230" s="94" t="str">
        <f>'Resultater - Vestdanmark'!C230</f>
        <v>OC6</v>
      </c>
      <c r="D230" s="94" t="str">
        <f>'Resultater - Vestdanmark'!D230</f>
        <v>Areal-bælgsæd</v>
      </c>
      <c r="E230" s="94" t="str">
        <f>'Resultater - Vestdanmark'!E230</f>
        <v>Hektar</v>
      </c>
      <c r="F230" s="94" t="str">
        <f>'Resultater - Vestdanmark'!F230</f>
        <v>Halm</v>
      </c>
      <c r="G230" s="94" t="str">
        <f>'Resultater - Vestdanmark'!G230</f>
        <v>Ton</v>
      </c>
      <c r="H230" s="252">
        <f>'Resultater - Vestdanmark'!H230+'Resultater - Østdanmark'!H230</f>
        <v>2835.7834881049771</v>
      </c>
      <c r="I230" s="253">
        <f>'Resultater - Vestdanmark'!I230+'Resultater - Østdanmark'!I230</f>
        <v>3766.9081640033201</v>
      </c>
      <c r="J230" s="254">
        <f>'Resultater - Vestdanmark'!J230+'Resultater - Østdanmark'!J230</f>
        <v>3605.5853125400508</v>
      </c>
    </row>
    <row r="231" spans="1:10" x14ac:dyDescent="0.25">
      <c r="A231" s="94" t="str">
        <f>'Resultater - Vestdanmark'!A231</f>
        <v>Bælgsædsmark</v>
      </c>
      <c r="B231" s="94" t="str">
        <f>'Resultater - Vestdanmark'!B231</f>
        <v>Konventionel</v>
      </c>
      <c r="C231" s="94" t="str">
        <f>'Resultater - Vestdanmark'!C231</f>
        <v>OC6</v>
      </c>
      <c r="D231" s="94" t="str">
        <f>'Resultater - Vestdanmark'!D231</f>
        <v>Areal-bælgsæd</v>
      </c>
      <c r="E231" s="94" t="str">
        <f>'Resultater - Vestdanmark'!E231</f>
        <v>Hektar</v>
      </c>
      <c r="F231" s="94" t="str">
        <f>'Resultater - Vestdanmark'!F231</f>
        <v>Gødning</v>
      </c>
      <c r="G231" s="94" t="str">
        <f>'Resultater - Vestdanmark'!G231</f>
        <v>kg N</v>
      </c>
      <c r="H231" s="252">
        <f>'Resultater - Vestdanmark'!H231+'Resultater - Østdanmark'!H231</f>
        <v>0</v>
      </c>
      <c r="I231" s="253">
        <f>'Resultater - Vestdanmark'!I231+'Resultater - Østdanmark'!I231</f>
        <v>0</v>
      </c>
      <c r="J231" s="254">
        <f>'Resultater - Vestdanmark'!J231+'Resultater - Østdanmark'!J231</f>
        <v>0</v>
      </c>
    </row>
    <row r="232" spans="1:10" x14ac:dyDescent="0.25">
      <c r="A232" s="94" t="str">
        <f>'Resultater - Vestdanmark'!A232</f>
        <v>Bælgsædsmark</v>
      </c>
      <c r="B232" s="94" t="str">
        <f>'Resultater - Vestdanmark'!B232</f>
        <v>Konventionel</v>
      </c>
      <c r="C232" s="94" t="str">
        <f>'Resultater - Vestdanmark'!C232</f>
        <v>OC6</v>
      </c>
      <c r="D232" s="94" t="str">
        <f>'Resultater - Vestdanmark'!D232</f>
        <v>Areal-bælgsæd</v>
      </c>
      <c r="E232" s="94" t="str">
        <f>'Resultater - Vestdanmark'!E232</f>
        <v>Hektar</v>
      </c>
      <c r="F232" s="94" t="str">
        <f>'Resultater - Vestdanmark'!F232</f>
        <v>CO2 - atmosfære</v>
      </c>
      <c r="G232" s="94" t="str">
        <f>'Resultater - Vestdanmark'!G232</f>
        <v>t CO2-ækvivalenter</v>
      </c>
      <c r="H232" s="252">
        <f>'Resultater - Vestdanmark'!H232+'Resultater - Østdanmark'!H232</f>
        <v>32977.664576989635</v>
      </c>
      <c r="I232" s="253">
        <f>'Resultater - Vestdanmark'!I232+'Resultater - Østdanmark'!I232</f>
        <v>30369.82076596174</v>
      </c>
      <c r="J232" s="254">
        <f>'Resultater - Vestdanmark'!J232+'Resultater - Østdanmark'!J232</f>
        <v>24041.767189467817</v>
      </c>
    </row>
    <row r="233" spans="1:10" x14ac:dyDescent="0.25">
      <c r="A233" s="94" t="str">
        <f>'Resultater - Vestdanmark'!A233</f>
        <v>Bælgsædsmark</v>
      </c>
      <c r="B233" s="94" t="str">
        <f>'Resultater - Vestdanmark'!B233</f>
        <v>Konventionel</v>
      </c>
      <c r="C233" s="94" t="str">
        <f>'Resultater - Vestdanmark'!C233</f>
        <v>OC12</v>
      </c>
      <c r="D233" s="94" t="str">
        <f>'Resultater - Vestdanmark'!D233</f>
        <v>Areal-bælgsæd</v>
      </c>
      <c r="E233" s="94" t="str">
        <f>'Resultater - Vestdanmark'!E233</f>
        <v>Hektar</v>
      </c>
      <c r="F233" s="94" t="str">
        <f>'Resultater - Vestdanmark'!F233</f>
        <v>Bælgsæd</v>
      </c>
      <c r="G233" s="94" t="str">
        <f>'Resultater - Vestdanmark'!G233</f>
        <v>Ton</v>
      </c>
      <c r="H233" s="252">
        <f>'Resultater - Vestdanmark'!H233+'Resultater - Østdanmark'!H233</f>
        <v>3796.4815039591263</v>
      </c>
      <c r="I233" s="253">
        <f>'Resultater - Vestdanmark'!I233+'Resultater - Østdanmark'!I233</f>
        <v>2941.7727077958366</v>
      </c>
      <c r="J233" s="254">
        <f>'Resultater - Vestdanmark'!J233+'Resultater - Østdanmark'!J233</f>
        <v>0</v>
      </c>
    </row>
    <row r="234" spans="1:10" x14ac:dyDescent="0.25">
      <c r="A234" s="94" t="str">
        <f>'Resultater - Vestdanmark'!A234</f>
        <v>Bælgsædsmark</v>
      </c>
      <c r="B234" s="94" t="str">
        <f>'Resultater - Vestdanmark'!B234</f>
        <v>Konventionel</v>
      </c>
      <c r="C234" s="94" t="str">
        <f>'Resultater - Vestdanmark'!C234</f>
        <v>OC12</v>
      </c>
      <c r="D234" s="94" t="str">
        <f>'Resultater - Vestdanmark'!D234</f>
        <v>Areal-bælgsæd</v>
      </c>
      <c r="E234" s="94" t="str">
        <f>'Resultater - Vestdanmark'!E234</f>
        <v>Hektar</v>
      </c>
      <c r="F234" s="94" t="str">
        <f>'Resultater - Vestdanmark'!F234</f>
        <v>Halm</v>
      </c>
      <c r="G234" s="94" t="str">
        <f>'Resultater - Vestdanmark'!G234</f>
        <v>Ton</v>
      </c>
      <c r="H234" s="252">
        <f>'Resultater - Vestdanmark'!H234+'Resultater - Østdanmark'!H234</f>
        <v>1127.0946587048945</v>
      </c>
      <c r="I234" s="253">
        <f>'Resultater - Vestdanmark'!I234+'Resultater - Østdanmark'!I234</f>
        <v>1177.3187769437845</v>
      </c>
      <c r="J234" s="254">
        <f>'Resultater - Vestdanmark'!J234+'Resultater - Østdanmark'!J234</f>
        <v>0</v>
      </c>
    </row>
    <row r="235" spans="1:10" x14ac:dyDescent="0.25">
      <c r="A235" s="94" t="str">
        <f>'Resultater - Vestdanmark'!A235</f>
        <v>Bælgsædsmark</v>
      </c>
      <c r="B235" s="94" t="str">
        <f>'Resultater - Vestdanmark'!B235</f>
        <v>Konventionel</v>
      </c>
      <c r="C235" s="94" t="str">
        <f>'Resultater - Vestdanmark'!C235</f>
        <v>OC12</v>
      </c>
      <c r="D235" s="94" t="str">
        <f>'Resultater - Vestdanmark'!D235</f>
        <v>Areal-bælgsæd</v>
      </c>
      <c r="E235" s="94" t="str">
        <f>'Resultater - Vestdanmark'!E235</f>
        <v>Hektar</v>
      </c>
      <c r="F235" s="94" t="str">
        <f>'Resultater - Vestdanmark'!F235</f>
        <v>Gødning</v>
      </c>
      <c r="G235" s="94" t="str">
        <f>'Resultater - Vestdanmark'!G235</f>
        <v>kg N</v>
      </c>
      <c r="H235" s="252">
        <f>'Resultater - Vestdanmark'!H235+'Resultater - Østdanmark'!H235</f>
        <v>0</v>
      </c>
      <c r="I235" s="253">
        <f>'Resultater - Vestdanmark'!I235+'Resultater - Østdanmark'!I235</f>
        <v>0</v>
      </c>
      <c r="J235" s="254">
        <f>'Resultater - Vestdanmark'!J235+'Resultater - Østdanmark'!J235</f>
        <v>0</v>
      </c>
    </row>
    <row r="236" spans="1:10" x14ac:dyDescent="0.25">
      <c r="A236" s="94" t="str">
        <f>'Resultater - Vestdanmark'!A236</f>
        <v>Bælgsædsmark</v>
      </c>
      <c r="B236" s="94" t="str">
        <f>'Resultater - Vestdanmark'!B236</f>
        <v>Konventionel</v>
      </c>
      <c r="C236" s="94" t="str">
        <f>'Resultater - Vestdanmark'!C236</f>
        <v>OC12</v>
      </c>
      <c r="D236" s="94" t="str">
        <f>'Resultater - Vestdanmark'!D236</f>
        <v>Areal-bælgsæd</v>
      </c>
      <c r="E236" s="94" t="str">
        <f>'Resultater - Vestdanmark'!E236</f>
        <v>Hektar</v>
      </c>
      <c r="F236" s="94" t="str">
        <f>'Resultater - Vestdanmark'!F236</f>
        <v>CO2 - atmosfære</v>
      </c>
      <c r="G236" s="94" t="str">
        <f>'Resultater - Vestdanmark'!G236</f>
        <v>t CO2-ækvivalenter</v>
      </c>
      <c r="H236" s="252">
        <f>'Resultater - Vestdanmark'!H236+'Resultater - Østdanmark'!H236</f>
        <v>28769.864955948491</v>
      </c>
      <c r="I236" s="253">
        <f>'Resultater - Vestdanmark'!I236+'Resultater - Østdanmark'!I236</f>
        <v>20834.441920533969</v>
      </c>
      <c r="J236" s="254">
        <f>'Resultater - Vestdanmark'!J236+'Resultater - Østdanmark'!J236</f>
        <v>0</v>
      </c>
    </row>
    <row r="237" spans="1:10" x14ac:dyDescent="0.25">
      <c r="A237" s="94" t="str">
        <f>'Resultater - Vestdanmark'!A237</f>
        <v>Bælgsædsmark</v>
      </c>
      <c r="B237" s="94" t="str">
        <f>'Resultater - Vestdanmark'!B237</f>
        <v>Økologisk</v>
      </c>
      <c r="C237" s="94" t="str">
        <f>'Resultater - Vestdanmark'!C237</f>
        <v>JB1-10</v>
      </c>
      <c r="D237" s="94" t="str">
        <f>'Resultater - Vestdanmark'!D237</f>
        <v>Areal-bælgsæd</v>
      </c>
      <c r="E237" s="94" t="str">
        <f>'Resultater - Vestdanmark'!E237</f>
        <v>Hektar</v>
      </c>
      <c r="F237" s="94" t="str">
        <f>'Resultater - Vestdanmark'!F237</f>
        <v>Bælgsæd</v>
      </c>
      <c r="G237" s="94" t="str">
        <f>'Resultater - Vestdanmark'!G237</f>
        <v>Ton</v>
      </c>
      <c r="H237" s="252">
        <f>'Resultater - Vestdanmark'!H237+'Resultater - Østdanmark'!H237</f>
        <v>18412.390570964348</v>
      </c>
      <c r="I237" s="253">
        <f>'Resultater - Vestdanmark'!I237+'Resultater - Østdanmark'!I237</f>
        <v>22151.629624337791</v>
      </c>
      <c r="J237" s="254">
        <f>'Resultater - Vestdanmark'!J237+'Resultater - Østdanmark'!J237</f>
        <v>29037.976965070418</v>
      </c>
    </row>
    <row r="238" spans="1:10" x14ac:dyDescent="0.25">
      <c r="A238" s="94" t="str">
        <f>'Resultater - Vestdanmark'!A238</f>
        <v>Bælgsædsmark</v>
      </c>
      <c r="B238" s="94" t="str">
        <f>'Resultater - Vestdanmark'!B238</f>
        <v>Økologisk</v>
      </c>
      <c r="C238" s="94" t="str">
        <f>'Resultater - Vestdanmark'!C238</f>
        <v>JB1-10</v>
      </c>
      <c r="D238" s="94" t="str">
        <f>'Resultater - Vestdanmark'!D238</f>
        <v>Areal-bælgsæd</v>
      </c>
      <c r="E238" s="94" t="str">
        <f>'Resultater - Vestdanmark'!E238</f>
        <v>Hektar</v>
      </c>
      <c r="F238" s="94" t="str">
        <f>'Resultater - Vestdanmark'!F238</f>
        <v>Halm</v>
      </c>
      <c r="G238" s="94" t="str">
        <f>'Resultater - Vestdanmark'!G238</f>
        <v>Ton</v>
      </c>
      <c r="H238" s="252">
        <f>'Resultater - Vestdanmark'!H238+'Resultater - Østdanmark'!H238</f>
        <v>5466.2473779684478</v>
      </c>
      <c r="I238" s="253">
        <f>'Resultater - Vestdanmark'!I238+'Resultater - Østdanmark'!I238</f>
        <v>8865.2428610562201</v>
      </c>
      <c r="J238" s="254">
        <f>'Resultater - Vestdanmark'!J238+'Resultater - Østdanmark'!J238</f>
        <v>13073.860147045561</v>
      </c>
    </row>
    <row r="239" spans="1:10" x14ac:dyDescent="0.25">
      <c r="A239" s="94" t="str">
        <f>'Resultater - Vestdanmark'!A239</f>
        <v>Bælgsædsmark</v>
      </c>
      <c r="B239" s="94" t="str">
        <f>'Resultater - Vestdanmark'!B239</f>
        <v>Økologisk</v>
      </c>
      <c r="C239" s="94" t="str">
        <f>'Resultater - Vestdanmark'!C239</f>
        <v>JB1-10</v>
      </c>
      <c r="D239" s="94" t="str">
        <f>'Resultater - Vestdanmark'!D239</f>
        <v>Areal-bælgsæd</v>
      </c>
      <c r="E239" s="94" t="str">
        <f>'Resultater - Vestdanmark'!E239</f>
        <v>Hektar</v>
      </c>
      <c r="F239" s="94" t="str">
        <f>'Resultater - Vestdanmark'!F239</f>
        <v>Gødning</v>
      </c>
      <c r="G239" s="94" t="str">
        <f>'Resultater - Vestdanmark'!G239</f>
        <v>kg N</v>
      </c>
      <c r="H239" s="252">
        <f>'Resultater - Vestdanmark'!H239+'Resultater - Østdanmark'!H239</f>
        <v>0</v>
      </c>
      <c r="I239" s="253">
        <f>'Resultater - Vestdanmark'!I239+'Resultater - Østdanmark'!I239</f>
        <v>0</v>
      </c>
      <c r="J239" s="254">
        <f>'Resultater - Vestdanmark'!J239+'Resultater - Østdanmark'!J239</f>
        <v>0</v>
      </c>
    </row>
    <row r="240" spans="1:10" x14ac:dyDescent="0.25">
      <c r="A240" s="94" t="str">
        <f>'Resultater - Vestdanmark'!A240</f>
        <v>Bælgsædsmark</v>
      </c>
      <c r="B240" s="94" t="str">
        <f>'Resultater - Vestdanmark'!B240</f>
        <v>Økologisk</v>
      </c>
      <c r="C240" s="94" t="str">
        <f>'Resultater - Vestdanmark'!C240</f>
        <v>JB1-10</v>
      </c>
      <c r="D240" s="94" t="str">
        <f>'Resultater - Vestdanmark'!D240</f>
        <v>Areal-bælgsæd</v>
      </c>
      <c r="E240" s="94" t="str">
        <f>'Resultater - Vestdanmark'!E240</f>
        <v>Hektar</v>
      </c>
      <c r="F240" s="94" t="str">
        <f>'Resultater - Vestdanmark'!F240</f>
        <v>CO2 - atmosfære</v>
      </c>
      <c r="G240" s="94" t="str">
        <f>'Resultater - Vestdanmark'!G240</f>
        <v>t CO2-ækvivalenter</v>
      </c>
      <c r="H240" s="252">
        <f>'Resultater - Vestdanmark'!H240+'Resultater - Østdanmark'!H240</f>
        <v>19027.428748815582</v>
      </c>
      <c r="I240" s="253">
        <f>'Resultater - Vestdanmark'!I240+'Resultater - Østdanmark'!I240</f>
        <v>21393.992010701189</v>
      </c>
      <c r="J240" s="254">
        <f>'Resultater - Vestdanmark'!J240+'Resultater - Østdanmark'!J240</f>
        <v>26093.866829755858</v>
      </c>
    </row>
    <row r="241" spans="1:10" x14ac:dyDescent="0.25">
      <c r="A241" s="94" t="str">
        <f>'Resultater - Vestdanmark'!A241</f>
        <v>Bælgsædsmark</v>
      </c>
      <c r="B241" s="94" t="str">
        <f>'Resultater - Vestdanmark'!B241</f>
        <v>Økologisk</v>
      </c>
      <c r="C241" s="94" t="str">
        <f>'Resultater - Vestdanmark'!C241</f>
        <v>OC6</v>
      </c>
      <c r="D241" s="94" t="str">
        <f>'Resultater - Vestdanmark'!D241</f>
        <v>Areal-bælgsæd</v>
      </c>
      <c r="E241" s="94" t="str">
        <f>'Resultater - Vestdanmark'!E241</f>
        <v>Hektar</v>
      </c>
      <c r="F241" s="94" t="str">
        <f>'Resultater - Vestdanmark'!F241</f>
        <v>Bælgsæd</v>
      </c>
      <c r="G241" s="94" t="str">
        <f>'Resultater - Vestdanmark'!G241</f>
        <v>Ton</v>
      </c>
      <c r="H241" s="252">
        <f>'Resultater - Vestdanmark'!H241+'Resultater - Østdanmark'!H241</f>
        <v>696.15935785818442</v>
      </c>
      <c r="I241" s="253">
        <f>'Resultater - Vestdanmark'!I241+'Resultater - Østdanmark'!I241</f>
        <v>837.32217518059031</v>
      </c>
      <c r="J241" s="254">
        <f>'Resultater - Vestdanmark'!J241+'Resultater - Østdanmark'!J241</f>
        <v>968.27173221171392</v>
      </c>
    </row>
    <row r="242" spans="1:10" x14ac:dyDescent="0.25">
      <c r="A242" s="94" t="str">
        <f>'Resultater - Vestdanmark'!A242</f>
        <v>Bælgsædsmark</v>
      </c>
      <c r="B242" s="94" t="str">
        <f>'Resultater - Vestdanmark'!B242</f>
        <v>Økologisk</v>
      </c>
      <c r="C242" s="94" t="str">
        <f>'Resultater - Vestdanmark'!C242</f>
        <v>OC6</v>
      </c>
      <c r="D242" s="94" t="str">
        <f>'Resultater - Vestdanmark'!D242</f>
        <v>Areal-bælgsæd</v>
      </c>
      <c r="E242" s="94" t="str">
        <f>'Resultater - Vestdanmark'!E242</f>
        <v>Hektar</v>
      </c>
      <c r="F242" s="94" t="str">
        <f>'Resultater - Vestdanmark'!F242</f>
        <v>Halm</v>
      </c>
      <c r="G242" s="94" t="str">
        <f>'Resultater - Vestdanmark'!G242</f>
        <v>Ton</v>
      </c>
      <c r="H242" s="252">
        <f>'Resultater - Vestdanmark'!H242+'Resultater - Østdanmark'!H242</f>
        <v>206.67491545293632</v>
      </c>
      <c r="I242" s="253">
        <f>'Resultater - Vestdanmark'!I242+'Resultater - Østdanmark'!I242</f>
        <v>335.10240834688494</v>
      </c>
      <c r="J242" s="254">
        <f>'Resultater - Vestdanmark'!J242+'Resultater - Østdanmark'!J242</f>
        <v>435.94804233438788</v>
      </c>
    </row>
    <row r="243" spans="1:10" x14ac:dyDescent="0.25">
      <c r="A243" s="94" t="str">
        <f>'Resultater - Vestdanmark'!A243</f>
        <v>Bælgsædsmark</v>
      </c>
      <c r="B243" s="94" t="str">
        <f>'Resultater - Vestdanmark'!B243</f>
        <v>Økologisk</v>
      </c>
      <c r="C243" s="94" t="str">
        <f>'Resultater - Vestdanmark'!C243</f>
        <v>OC6</v>
      </c>
      <c r="D243" s="94" t="str">
        <f>'Resultater - Vestdanmark'!D243</f>
        <v>Areal-bælgsæd</v>
      </c>
      <c r="E243" s="94" t="str">
        <f>'Resultater - Vestdanmark'!E243</f>
        <v>Hektar</v>
      </c>
      <c r="F243" s="94" t="str">
        <f>'Resultater - Vestdanmark'!F243</f>
        <v>Gødning</v>
      </c>
      <c r="G243" s="94" t="str">
        <f>'Resultater - Vestdanmark'!G243</f>
        <v>kg N</v>
      </c>
      <c r="H243" s="252">
        <f>'Resultater - Vestdanmark'!H243+'Resultater - Østdanmark'!H243</f>
        <v>0</v>
      </c>
      <c r="I243" s="253">
        <f>'Resultater - Vestdanmark'!I243+'Resultater - Østdanmark'!I243</f>
        <v>0</v>
      </c>
      <c r="J243" s="254">
        <f>'Resultater - Vestdanmark'!J243+'Resultater - Østdanmark'!J243</f>
        <v>0</v>
      </c>
    </row>
    <row r="244" spans="1:10" x14ac:dyDescent="0.25">
      <c r="A244" s="94" t="str">
        <f>'Resultater - Vestdanmark'!A244</f>
        <v>Bælgsædsmark</v>
      </c>
      <c r="B244" s="94" t="str">
        <f>'Resultater - Vestdanmark'!B244</f>
        <v>Økologisk</v>
      </c>
      <c r="C244" s="94" t="str">
        <f>'Resultater - Vestdanmark'!C244</f>
        <v>OC6</v>
      </c>
      <c r="D244" s="94" t="str">
        <f>'Resultater - Vestdanmark'!D244</f>
        <v>Areal-bælgsæd</v>
      </c>
      <c r="E244" s="94" t="str">
        <f>'Resultater - Vestdanmark'!E244</f>
        <v>Hektar</v>
      </c>
      <c r="F244" s="94" t="str">
        <f>'Resultater - Vestdanmark'!F244</f>
        <v>CO2 - atmosfære</v>
      </c>
      <c r="G244" s="94" t="str">
        <f>'Resultater - Vestdanmark'!G244</f>
        <v>t CO2-ækvivalenter</v>
      </c>
      <c r="H244" s="252">
        <f>'Resultater - Vestdanmark'!H244+'Resultater - Østdanmark'!H244</f>
        <v>4216.5741303567183</v>
      </c>
      <c r="I244" s="253">
        <f>'Resultater - Vestdanmark'!I244+'Resultater - Østdanmark'!I244</f>
        <v>4739.798616652989</v>
      </c>
      <c r="J244" s="254">
        <f>'Resultater - Vestdanmark'!J244+'Resultater - Østdanmark'!J244</f>
        <v>5099.7687977658998</v>
      </c>
    </row>
    <row r="245" spans="1:10" x14ac:dyDescent="0.25">
      <c r="A245" s="94" t="str">
        <f>'Resultater - Vestdanmark'!A245</f>
        <v>Bælgsædsmark</v>
      </c>
      <c r="B245" s="94" t="str">
        <f>'Resultater - Vestdanmark'!B245</f>
        <v>Økologisk</v>
      </c>
      <c r="C245" s="94" t="str">
        <f>'Resultater - Vestdanmark'!C245</f>
        <v>OC12</v>
      </c>
      <c r="D245" s="94" t="str">
        <f>'Resultater - Vestdanmark'!D245</f>
        <v>Areal-bælgsæd</v>
      </c>
      <c r="E245" s="94" t="str">
        <f>'Resultater - Vestdanmark'!E245</f>
        <v>Hektar</v>
      </c>
      <c r="F245" s="94" t="str">
        <f>'Resultater - Vestdanmark'!F245</f>
        <v>Bælgsæd</v>
      </c>
      <c r="G245" s="94" t="str">
        <f>'Resultater - Vestdanmark'!G245</f>
        <v>Ton</v>
      </c>
      <c r="H245" s="252">
        <f>'Resultater - Vestdanmark'!H245+'Resultater - Østdanmark'!H245</f>
        <v>276.69160820656509</v>
      </c>
      <c r="I245" s="253">
        <f>'Resultater - Vestdanmark'!I245+'Resultater - Østdanmark'!I245</f>
        <v>261.69873972819607</v>
      </c>
      <c r="J245" s="254">
        <f>'Resultater - Vestdanmark'!J245+'Resultater - Østdanmark'!J245</f>
        <v>0</v>
      </c>
    </row>
    <row r="246" spans="1:10" x14ac:dyDescent="0.25">
      <c r="A246" s="94" t="str">
        <f>'Resultater - Vestdanmark'!A246</f>
        <v>Bælgsædsmark</v>
      </c>
      <c r="B246" s="94" t="str">
        <f>'Resultater - Vestdanmark'!B246</f>
        <v>Økologisk</v>
      </c>
      <c r="C246" s="94" t="str">
        <f>'Resultater - Vestdanmark'!C246</f>
        <v>OC12</v>
      </c>
      <c r="D246" s="94" t="str">
        <f>'Resultater - Vestdanmark'!D246</f>
        <v>Areal-bælgsæd</v>
      </c>
      <c r="E246" s="94" t="str">
        <f>'Resultater - Vestdanmark'!E246</f>
        <v>Hektar</v>
      </c>
      <c r="F246" s="94" t="str">
        <f>'Resultater - Vestdanmark'!F246</f>
        <v>Halm</v>
      </c>
      <c r="G246" s="94" t="str">
        <f>'Resultater - Vestdanmark'!G246</f>
        <v>Ton</v>
      </c>
      <c r="H246" s="252">
        <f>'Resultater - Vestdanmark'!H246+'Resultater - Østdanmark'!H246</f>
        <v>82.143856987810693</v>
      </c>
      <c r="I246" s="253">
        <f>'Resultater - Vestdanmark'!I246+'Resultater - Østdanmark'!I246</f>
        <v>104.73373397205111</v>
      </c>
      <c r="J246" s="254">
        <f>'Resultater - Vestdanmark'!J246+'Resultater - Østdanmark'!J246</f>
        <v>0</v>
      </c>
    </row>
    <row r="247" spans="1:10" x14ac:dyDescent="0.25">
      <c r="A247" s="94" t="str">
        <f>'Resultater - Vestdanmark'!A247</f>
        <v>Bælgsædsmark</v>
      </c>
      <c r="B247" s="94" t="str">
        <f>'Resultater - Vestdanmark'!B247</f>
        <v>Økologisk</v>
      </c>
      <c r="C247" s="94" t="str">
        <f>'Resultater - Vestdanmark'!C247</f>
        <v>OC12</v>
      </c>
      <c r="D247" s="94" t="str">
        <f>'Resultater - Vestdanmark'!D247</f>
        <v>Areal-bælgsæd</v>
      </c>
      <c r="E247" s="94" t="str">
        <f>'Resultater - Vestdanmark'!E247</f>
        <v>Hektar</v>
      </c>
      <c r="F247" s="94" t="str">
        <f>'Resultater - Vestdanmark'!F247</f>
        <v>Gødning</v>
      </c>
      <c r="G247" s="94" t="str">
        <f>'Resultater - Vestdanmark'!G247</f>
        <v>kg N</v>
      </c>
      <c r="H247" s="252">
        <f>'Resultater - Vestdanmark'!H247+'Resultater - Østdanmark'!H247</f>
        <v>0</v>
      </c>
      <c r="I247" s="253">
        <f>'Resultater - Vestdanmark'!I247+'Resultater - Østdanmark'!I247</f>
        <v>0</v>
      </c>
      <c r="J247" s="254">
        <f>'Resultater - Vestdanmark'!J247+'Resultater - Østdanmark'!J247</f>
        <v>0</v>
      </c>
    </row>
    <row r="248" spans="1:10" x14ac:dyDescent="0.25">
      <c r="A248" s="94" t="str">
        <f>'Resultater - Vestdanmark'!A248</f>
        <v>Bælgsædsmark</v>
      </c>
      <c r="B248" s="94" t="str">
        <f>'Resultater - Vestdanmark'!B248</f>
        <v>Økologisk</v>
      </c>
      <c r="C248" s="94" t="str">
        <f>'Resultater - Vestdanmark'!C248</f>
        <v>OC12</v>
      </c>
      <c r="D248" s="94" t="str">
        <f>'Resultater - Vestdanmark'!D248</f>
        <v>Areal-bælgsæd</v>
      </c>
      <c r="E248" s="94" t="str">
        <f>'Resultater - Vestdanmark'!E248</f>
        <v>Hektar</v>
      </c>
      <c r="F248" s="94" t="str">
        <f>'Resultater - Vestdanmark'!F248</f>
        <v>CO2 - atmosfære</v>
      </c>
      <c r="G248" s="94" t="str">
        <f>'Resultater - Vestdanmark'!G248</f>
        <v>t CO2-ækvivalenter</v>
      </c>
      <c r="H248" s="252">
        <f>'Resultater - Vestdanmark'!H248+'Resultater - Østdanmark'!H248</f>
        <v>3678.55849900765</v>
      </c>
      <c r="I248" s="253">
        <f>'Resultater - Vestdanmark'!I248+'Resultater - Østdanmark'!I248</f>
        <v>3251.6181032047243</v>
      </c>
      <c r="J248" s="254">
        <f>'Resultater - Vestdanmark'!J248+'Resultater - Østdanmark'!J248</f>
        <v>0</v>
      </c>
    </row>
    <row r="249" spans="1:10" x14ac:dyDescent="0.25">
      <c r="A249" s="94" t="str">
        <f>'Resultater - Vestdanmark'!A249</f>
        <v>Roemark</v>
      </c>
      <c r="B249" s="94" t="str">
        <f>'Resultater - Vestdanmark'!B249</f>
        <v>Konventionel</v>
      </c>
      <c r="C249" s="94" t="str">
        <f>'Resultater - Vestdanmark'!C249</f>
        <v>JB1-10</v>
      </c>
      <c r="D249" s="94" t="str">
        <f>'Resultater - Vestdanmark'!D249</f>
        <v>Areal-roer</v>
      </c>
      <c r="E249" s="94" t="str">
        <f>'Resultater - Vestdanmark'!E249</f>
        <v>Hektar</v>
      </c>
      <c r="F249" s="94" t="str">
        <f>'Resultater - Vestdanmark'!F249</f>
        <v>Roer</v>
      </c>
      <c r="G249" s="94" t="str">
        <f>'Resultater - Vestdanmark'!G249</f>
        <v>Ton</v>
      </c>
      <c r="H249" s="252">
        <f>'Resultater - Vestdanmark'!H249+'Resultater - Østdanmark'!H249</f>
        <v>2410176.5834804205</v>
      </c>
      <c r="I249" s="253">
        <f>'Resultater - Vestdanmark'!I249+'Resultater - Østdanmark'!I249</f>
        <v>2429762.9168085223</v>
      </c>
      <c r="J249" s="254">
        <f>'Resultater - Vestdanmark'!J249+'Resultater - Østdanmark'!J249</f>
        <v>2402305.3588413168</v>
      </c>
    </row>
    <row r="250" spans="1:10" x14ac:dyDescent="0.25">
      <c r="A250" s="94" t="str">
        <f>'Resultater - Vestdanmark'!A250</f>
        <v>Roemark</v>
      </c>
      <c r="B250" s="94" t="str">
        <f>'Resultater - Vestdanmark'!B250</f>
        <v>Konventionel</v>
      </c>
      <c r="C250" s="94" t="str">
        <f>'Resultater - Vestdanmark'!C250</f>
        <v>JB1-10</v>
      </c>
      <c r="D250" s="94" t="str">
        <f>'Resultater - Vestdanmark'!D250</f>
        <v>Areal-roer</v>
      </c>
      <c r="E250" s="94" t="str">
        <f>'Resultater - Vestdanmark'!E250</f>
        <v>Hektar</v>
      </c>
      <c r="F250" s="94" t="str">
        <f>'Resultater - Vestdanmark'!F250</f>
        <v>Gødning</v>
      </c>
      <c r="G250" s="94" t="str">
        <f>'Resultater - Vestdanmark'!G250</f>
        <v>kg N</v>
      </c>
      <c r="H250" s="252">
        <f>'Resultater - Vestdanmark'!H250+'Resultater - Østdanmark'!H250</f>
        <v>-4004417.1927958126</v>
      </c>
      <c r="I250" s="253">
        <f>'Resultater - Vestdanmark'!I250+'Resultater - Østdanmark'!I250</f>
        <v>-3772859.0135299582</v>
      </c>
      <c r="J250" s="254">
        <f>'Resultater - Vestdanmark'!J250+'Resultater - Østdanmark'!J250</f>
        <v>-3470729.9573075604</v>
      </c>
    </row>
    <row r="251" spans="1:10" x14ac:dyDescent="0.25">
      <c r="A251" s="94" t="str">
        <f>'Resultater - Vestdanmark'!A251</f>
        <v>Roemark</v>
      </c>
      <c r="B251" s="94" t="str">
        <f>'Resultater - Vestdanmark'!B251</f>
        <v>Konventionel</v>
      </c>
      <c r="C251" s="94" t="str">
        <f>'Resultater - Vestdanmark'!C251</f>
        <v>JB1-10</v>
      </c>
      <c r="D251" s="94" t="str">
        <f>'Resultater - Vestdanmark'!D251</f>
        <v>Areal-roer</v>
      </c>
      <c r="E251" s="94" t="str">
        <f>'Resultater - Vestdanmark'!E251</f>
        <v>Hektar</v>
      </c>
      <c r="F251" s="94" t="str">
        <f>'Resultater - Vestdanmark'!F251</f>
        <v>CO2 - atmosfære</v>
      </c>
      <c r="G251" s="94" t="str">
        <f>'Resultater - Vestdanmark'!G251</f>
        <v>t CO2-ækvivalenter</v>
      </c>
      <c r="H251" s="252">
        <f>'Resultater - Vestdanmark'!H251+'Resultater - Østdanmark'!H251</f>
        <v>67443.117157939108</v>
      </c>
      <c r="I251" s="253">
        <f>'Resultater - Vestdanmark'!I251+'Resultater - Østdanmark'!I251</f>
        <v>63543.172506517163</v>
      </c>
      <c r="J251" s="254">
        <f>'Resultater - Vestdanmark'!J251+'Resultater - Østdanmark'!J251</f>
        <v>58454.660407357434</v>
      </c>
    </row>
    <row r="252" spans="1:10" x14ac:dyDescent="0.25">
      <c r="A252" s="94" t="str">
        <f>'Resultater - Vestdanmark'!A252</f>
        <v>Roemark</v>
      </c>
      <c r="B252" s="94" t="str">
        <f>'Resultater - Vestdanmark'!B252</f>
        <v>Konventionel</v>
      </c>
      <c r="C252" s="94" t="str">
        <f>'Resultater - Vestdanmark'!C252</f>
        <v>OC6</v>
      </c>
      <c r="D252" s="94" t="str">
        <f>'Resultater - Vestdanmark'!D252</f>
        <v>Areal-roer</v>
      </c>
      <c r="E252" s="94" t="str">
        <f>'Resultater - Vestdanmark'!E252</f>
        <v>Hektar</v>
      </c>
      <c r="F252" s="94" t="str">
        <f>'Resultater - Vestdanmark'!F252</f>
        <v>Roer</v>
      </c>
      <c r="G252" s="94" t="str">
        <f>'Resultater - Vestdanmark'!G252</f>
        <v>Ton</v>
      </c>
      <c r="H252" s="252">
        <f>'Resultater - Vestdanmark'!H252+'Resultater - Østdanmark'!H252</f>
        <v>16302.299566350639</v>
      </c>
      <c r="I252" s="253">
        <f>'Resultater - Vestdanmark'!I252+'Resultater - Østdanmark'!I252</f>
        <v>16086.185807030666</v>
      </c>
      <c r="J252" s="254">
        <f>'Resultater - Vestdanmark'!J252+'Resultater - Østdanmark'!J252</f>
        <v>13686.465340430939</v>
      </c>
    </row>
    <row r="253" spans="1:10" x14ac:dyDescent="0.25">
      <c r="A253" s="94" t="str">
        <f>'Resultater - Vestdanmark'!A253</f>
        <v>Roemark</v>
      </c>
      <c r="B253" s="94" t="str">
        <f>'Resultater - Vestdanmark'!B253</f>
        <v>Konventionel</v>
      </c>
      <c r="C253" s="94" t="str">
        <f>'Resultater - Vestdanmark'!C253</f>
        <v>OC6</v>
      </c>
      <c r="D253" s="94" t="str">
        <f>'Resultater - Vestdanmark'!D253</f>
        <v>Areal-roer</v>
      </c>
      <c r="E253" s="94" t="str">
        <f>'Resultater - Vestdanmark'!E253</f>
        <v>Hektar</v>
      </c>
      <c r="F253" s="94" t="str">
        <f>'Resultater - Vestdanmark'!F253</f>
        <v>Gødning</v>
      </c>
      <c r="G253" s="94" t="str">
        <f>'Resultater - Vestdanmark'!G253</f>
        <v>kg N</v>
      </c>
      <c r="H253" s="252">
        <f>'Resultater - Vestdanmark'!H253+'Resultater - Østdanmark'!H253</f>
        <v>-17555.516386431049</v>
      </c>
      <c r="I253" s="253">
        <f>'Resultater - Vestdanmark'!I253+'Resultater - Østdanmark'!I253</f>
        <v>-16189.522597752701</v>
      </c>
      <c r="J253" s="254">
        <f>'Resultater - Vestdanmark'!J253+'Resultater - Østdanmark'!J253</f>
        <v>-12816.168267941794</v>
      </c>
    </row>
    <row r="254" spans="1:10" x14ac:dyDescent="0.25">
      <c r="A254" s="94" t="str">
        <f>'Resultater - Vestdanmark'!A254</f>
        <v>Roemark</v>
      </c>
      <c r="B254" s="94" t="str">
        <f>'Resultater - Vestdanmark'!B254</f>
        <v>Konventionel</v>
      </c>
      <c r="C254" s="94" t="str">
        <f>'Resultater - Vestdanmark'!C254</f>
        <v>OC6</v>
      </c>
      <c r="D254" s="94" t="str">
        <f>'Resultater - Vestdanmark'!D254</f>
        <v>Areal-roer</v>
      </c>
      <c r="E254" s="94" t="str">
        <f>'Resultater - Vestdanmark'!E254</f>
        <v>Hektar</v>
      </c>
      <c r="F254" s="94" t="str">
        <f>'Resultater - Vestdanmark'!F254</f>
        <v>CO2 - atmosfære</v>
      </c>
      <c r="G254" s="94" t="str">
        <f>'Resultater - Vestdanmark'!G254</f>
        <v>t CO2-ækvivalenter</v>
      </c>
      <c r="H254" s="252">
        <f>'Resultater - Vestdanmark'!H254+'Resultater - Østdanmark'!H254</f>
        <v>2673.7376430017921</v>
      </c>
      <c r="I254" s="253">
        <f>'Resultater - Vestdanmark'!I254+'Resultater - Østdanmark'!I254</f>
        <v>2465.6942603691468</v>
      </c>
      <c r="J254" s="254">
        <f>'Resultater - Vestdanmark'!J254+'Resultater - Østdanmark'!J254</f>
        <v>1951.9261514589587</v>
      </c>
    </row>
    <row r="255" spans="1:10" x14ac:dyDescent="0.25">
      <c r="A255" s="94" t="str">
        <f>'Resultater - Vestdanmark'!A255</f>
        <v>Roemark</v>
      </c>
      <c r="B255" s="94" t="str">
        <f>'Resultater - Vestdanmark'!B255</f>
        <v>Konventionel</v>
      </c>
      <c r="C255" s="94" t="str">
        <f>'Resultater - Vestdanmark'!C255</f>
        <v>OC12</v>
      </c>
      <c r="D255" s="94" t="str">
        <f>'Resultater - Vestdanmark'!D255</f>
        <v>Areal-roer</v>
      </c>
      <c r="E255" s="94" t="str">
        <f>'Resultater - Vestdanmark'!E255</f>
        <v>Hektar</v>
      </c>
      <c r="F255" s="94" t="str">
        <f>'Resultater - Vestdanmark'!F255</f>
        <v>Roer</v>
      </c>
      <c r="G255" s="94" t="str">
        <f>'Resultater - Vestdanmark'!G255</f>
        <v>Ton</v>
      </c>
      <c r="H255" s="252">
        <f>'Resultater - Vestdanmark'!H255+'Resultater - Østdanmark'!H255</f>
        <v>7000.5878814400912</v>
      </c>
      <c r="I255" s="253">
        <f>'Resultater - Vestdanmark'!I255+'Resultater - Østdanmark'!I255</f>
        <v>5556.3292584998599</v>
      </c>
      <c r="J255" s="254">
        <f>'Resultater - Vestdanmark'!J255+'Resultater - Østdanmark'!J255</f>
        <v>0</v>
      </c>
    </row>
    <row r="256" spans="1:10" x14ac:dyDescent="0.25">
      <c r="A256" s="94" t="str">
        <f>'Resultater - Vestdanmark'!A256</f>
        <v>Roemark</v>
      </c>
      <c r="B256" s="94" t="str">
        <f>'Resultater - Vestdanmark'!B256</f>
        <v>Konventionel</v>
      </c>
      <c r="C256" s="94" t="str">
        <f>'Resultater - Vestdanmark'!C256</f>
        <v>OC12</v>
      </c>
      <c r="D256" s="94" t="str">
        <f>'Resultater - Vestdanmark'!D256</f>
        <v>Areal-roer</v>
      </c>
      <c r="E256" s="94" t="str">
        <f>'Resultater - Vestdanmark'!E256</f>
        <v>Hektar</v>
      </c>
      <c r="F256" s="94" t="str">
        <f>'Resultater - Vestdanmark'!F256</f>
        <v>Gødning</v>
      </c>
      <c r="G256" s="94" t="str">
        <f>'Resultater - Vestdanmark'!G256</f>
        <v>kg N</v>
      </c>
      <c r="H256" s="252">
        <f>'Resultater - Vestdanmark'!H256+'Resultater - Østdanmark'!H256</f>
        <v>-4615.5602634927654</v>
      </c>
      <c r="I256" s="253">
        <f>'Resultater - Vestdanmark'!I256+'Resultater - Østdanmark'!I256</f>
        <v>-3423.68743972637</v>
      </c>
      <c r="J256" s="254">
        <f>'Resultater - Vestdanmark'!J256+'Resultater - Østdanmark'!J256</f>
        <v>0</v>
      </c>
    </row>
    <row r="257" spans="1:10" x14ac:dyDescent="0.25">
      <c r="A257" s="94" t="str">
        <f>'Resultater - Vestdanmark'!A257</f>
        <v>Roemark</v>
      </c>
      <c r="B257" s="94" t="str">
        <f>'Resultater - Vestdanmark'!B257</f>
        <v>Konventionel</v>
      </c>
      <c r="C257" s="94" t="str">
        <f>'Resultater - Vestdanmark'!C257</f>
        <v>OC12</v>
      </c>
      <c r="D257" s="94" t="str">
        <f>'Resultater - Vestdanmark'!D257</f>
        <v>Areal-roer</v>
      </c>
      <c r="E257" s="94" t="str">
        <f>'Resultater - Vestdanmark'!E257</f>
        <v>Hektar</v>
      </c>
      <c r="F257" s="94" t="str">
        <f>'Resultater - Vestdanmark'!F257</f>
        <v>CO2 - atmosfære</v>
      </c>
      <c r="G257" s="94" t="str">
        <f>'Resultater - Vestdanmark'!G257</f>
        <v>t CO2-ækvivalenter</v>
      </c>
      <c r="H257" s="252">
        <f>'Resultater - Vestdanmark'!H257+'Resultater - Østdanmark'!H257</f>
        <v>2520.2001766035514</v>
      </c>
      <c r="I257" s="253">
        <f>'Resultater - Vestdanmark'!I257+'Resultater - Østdanmark'!I257</f>
        <v>1869.4106885529741</v>
      </c>
      <c r="J257" s="254">
        <f>'Resultater - Vestdanmark'!J257+'Resultater - Østdanmark'!J257</f>
        <v>0</v>
      </c>
    </row>
    <row r="258" spans="1:10" x14ac:dyDescent="0.25">
      <c r="A258" s="94" t="str">
        <f>'Resultater - Vestdanmark'!A258</f>
        <v>Roemark</v>
      </c>
      <c r="B258" s="94" t="str">
        <f>'Resultater - Vestdanmark'!B258</f>
        <v>Økologisk</v>
      </c>
      <c r="C258" s="94" t="str">
        <f>'Resultater - Vestdanmark'!C258</f>
        <v>JB1-10</v>
      </c>
      <c r="D258" s="94" t="str">
        <f>'Resultater - Vestdanmark'!D258</f>
        <v>Areal-roer</v>
      </c>
      <c r="E258" s="94" t="str">
        <f>'Resultater - Vestdanmark'!E258</f>
        <v>Hektar</v>
      </c>
      <c r="F258" s="94" t="str">
        <f>'Resultater - Vestdanmark'!F258</f>
        <v>Roer</v>
      </c>
      <c r="G258" s="94" t="str">
        <f>'Resultater - Vestdanmark'!G258</f>
        <v>Ton</v>
      </c>
      <c r="H258" s="252">
        <f>'Resultater - Vestdanmark'!H258+'Resultater - Østdanmark'!H258</f>
        <v>175656.2317634254</v>
      </c>
      <c r="I258" s="253">
        <f>'Resultater - Vestdanmark'!I258+'Resultater - Østdanmark'!I258</f>
        <v>216150.58548949801</v>
      </c>
      <c r="J258" s="254">
        <f>'Resultater - Vestdanmark'!J258+'Resultater - Østdanmark'!J258</f>
        <v>290460.55702354101</v>
      </c>
    </row>
    <row r="259" spans="1:10" x14ac:dyDescent="0.25">
      <c r="A259" s="94" t="str">
        <f>'Resultater - Vestdanmark'!A259</f>
        <v>Roemark</v>
      </c>
      <c r="B259" s="94" t="str">
        <f>'Resultater - Vestdanmark'!B259</f>
        <v>Økologisk</v>
      </c>
      <c r="C259" s="94" t="str">
        <f>'Resultater - Vestdanmark'!C259</f>
        <v>JB1-10</v>
      </c>
      <c r="D259" s="94" t="str">
        <f>'Resultater - Vestdanmark'!D259</f>
        <v>Areal-roer</v>
      </c>
      <c r="E259" s="94" t="str">
        <f>'Resultater - Vestdanmark'!E259</f>
        <v>Hektar</v>
      </c>
      <c r="F259" s="94" t="str">
        <f>'Resultater - Vestdanmark'!F259</f>
        <v>Gødning</v>
      </c>
      <c r="G259" s="94" t="str">
        <f>'Resultater - Vestdanmark'!G259</f>
        <v>kg N</v>
      </c>
      <c r="H259" s="252">
        <f>'Resultater - Vestdanmark'!H259+'Resultater - Østdanmark'!H259</f>
        <v>-291846.18227409676</v>
      </c>
      <c r="I259" s="253">
        <f>'Resultater - Vestdanmark'!I259+'Resultater - Østdanmark'!I259</f>
        <v>-335631.79316893662</v>
      </c>
      <c r="J259" s="254">
        <f>'Resultater - Vestdanmark'!J259+'Resultater - Østdanmark'!J259</f>
        <v>-419642.80392900499</v>
      </c>
    </row>
    <row r="260" spans="1:10" x14ac:dyDescent="0.25">
      <c r="A260" s="94" t="str">
        <f>'Resultater - Vestdanmark'!A260</f>
        <v>Roemark</v>
      </c>
      <c r="B260" s="94" t="str">
        <f>'Resultater - Vestdanmark'!B260</f>
        <v>Økologisk</v>
      </c>
      <c r="C260" s="94" t="str">
        <f>'Resultater - Vestdanmark'!C260</f>
        <v>JB1-10</v>
      </c>
      <c r="D260" s="94" t="str">
        <f>'Resultater - Vestdanmark'!D260</f>
        <v>Areal-roer</v>
      </c>
      <c r="E260" s="94" t="str">
        <f>'Resultater - Vestdanmark'!E260</f>
        <v>Hektar</v>
      </c>
      <c r="F260" s="94" t="str">
        <f>'Resultater - Vestdanmark'!F260</f>
        <v>CO2 - atmosfære</v>
      </c>
      <c r="G260" s="94" t="str">
        <f>'Resultater - Vestdanmark'!G260</f>
        <v>t CO2-ækvivalenter</v>
      </c>
      <c r="H260" s="252">
        <f>'Resultater - Vestdanmark'!H260+'Resultater - Østdanmark'!H260</f>
        <v>8623.3790878329964</v>
      </c>
      <c r="I260" s="253">
        <f>'Resultater - Vestdanmark'!I260+'Resultater - Østdanmark'!I260</f>
        <v>9917.1425299188631</v>
      </c>
      <c r="J260" s="254">
        <f>'Resultater - Vestdanmark'!J260+'Resultater - Østdanmark'!J260</f>
        <v>12399.473419742486</v>
      </c>
    </row>
    <row r="261" spans="1:10" x14ac:dyDescent="0.25">
      <c r="A261" s="94" t="str">
        <f>'Resultater - Vestdanmark'!A261</f>
        <v>Roemark</v>
      </c>
      <c r="B261" s="94" t="str">
        <f>'Resultater - Vestdanmark'!B261</f>
        <v>Økologisk</v>
      </c>
      <c r="C261" s="94" t="str">
        <f>'Resultater - Vestdanmark'!C261</f>
        <v>OC6</v>
      </c>
      <c r="D261" s="94" t="str">
        <f>'Resultater - Vestdanmark'!D261</f>
        <v>Areal-roer</v>
      </c>
      <c r="E261" s="94" t="str">
        <f>'Resultater - Vestdanmark'!E261</f>
        <v>Hektar</v>
      </c>
      <c r="F261" s="94" t="str">
        <f>'Resultater - Vestdanmark'!F261</f>
        <v>Roer</v>
      </c>
      <c r="G261" s="94" t="str">
        <f>'Resultater - Vestdanmark'!G261</f>
        <v>Ton</v>
      </c>
      <c r="H261" s="252">
        <f>'Resultater - Vestdanmark'!H261+'Resultater - Østdanmark'!H261</f>
        <v>1188.1289240510705</v>
      </c>
      <c r="I261" s="253">
        <f>'Resultater - Vestdanmark'!I261+'Resultater - Østdanmark'!I261</f>
        <v>1431.0196506948091</v>
      </c>
      <c r="J261" s="254">
        <f>'Resultater - Vestdanmark'!J261+'Resultater - Østdanmark'!J261</f>
        <v>1654.8180820702864</v>
      </c>
    </row>
    <row r="262" spans="1:10" x14ac:dyDescent="0.25">
      <c r="A262" s="94" t="str">
        <f>'Resultater - Vestdanmark'!A262</f>
        <v>Roemark</v>
      </c>
      <c r="B262" s="94" t="str">
        <f>'Resultater - Vestdanmark'!B262</f>
        <v>Økologisk</v>
      </c>
      <c r="C262" s="94" t="str">
        <f>'Resultater - Vestdanmark'!C262</f>
        <v>OC6</v>
      </c>
      <c r="D262" s="94" t="str">
        <f>'Resultater - Vestdanmark'!D262</f>
        <v>Areal-roer</v>
      </c>
      <c r="E262" s="94" t="str">
        <f>'Resultater - Vestdanmark'!E262</f>
        <v>Hektar</v>
      </c>
      <c r="F262" s="94" t="str">
        <f>'Resultater - Vestdanmark'!F262</f>
        <v>Gødning</v>
      </c>
      <c r="G262" s="94" t="str">
        <f>'Resultater - Vestdanmark'!G262</f>
        <v>kg N</v>
      </c>
      <c r="H262" s="252">
        <f>'Resultater - Vestdanmark'!H262+'Resultater - Østdanmark'!H262</f>
        <v>-1279.4646982456652</v>
      </c>
      <c r="I262" s="253">
        <f>'Resultater - Vestdanmark'!I262+'Resultater - Østdanmark'!I262</f>
        <v>-1440.2124438116418</v>
      </c>
      <c r="J262" s="254">
        <f>'Resultater - Vestdanmark'!J262+'Resultater - Østdanmark'!J262</f>
        <v>-1549.5912542147807</v>
      </c>
    </row>
    <row r="263" spans="1:10" x14ac:dyDescent="0.25">
      <c r="A263" s="94" t="str">
        <f>'Resultater - Vestdanmark'!A263</f>
        <v>Roemark</v>
      </c>
      <c r="B263" s="94" t="str">
        <f>'Resultater - Vestdanmark'!B263</f>
        <v>Økologisk</v>
      </c>
      <c r="C263" s="94" t="str">
        <f>'Resultater - Vestdanmark'!C263</f>
        <v>OC6</v>
      </c>
      <c r="D263" s="94" t="str">
        <f>'Resultater - Vestdanmark'!D263</f>
        <v>Areal-roer</v>
      </c>
      <c r="E263" s="94" t="str">
        <f>'Resultater - Vestdanmark'!E263</f>
        <v>Hektar</v>
      </c>
      <c r="F263" s="94" t="str">
        <f>'Resultater - Vestdanmark'!F263</f>
        <v>CO2 - atmosfære</v>
      </c>
      <c r="G263" s="94" t="str">
        <f>'Resultater - Vestdanmark'!G263</f>
        <v>t CO2-ækvivalenter</v>
      </c>
      <c r="H263" s="252">
        <f>'Resultater - Vestdanmark'!H263+'Resultater - Østdanmark'!H263</f>
        <v>341.86814383177432</v>
      </c>
      <c r="I263" s="253">
        <f>'Resultater - Vestdanmark'!I263+'Resultater - Østdanmark'!I263</f>
        <v>384.81933543333508</v>
      </c>
      <c r="J263" s="254">
        <f>'Resultater - Vestdanmark'!J263+'Resultater - Østdanmark'!J263</f>
        <v>414.04494121856703</v>
      </c>
    </row>
    <row r="264" spans="1:10" x14ac:dyDescent="0.25">
      <c r="A264" s="94" t="str">
        <f>'Resultater - Vestdanmark'!A264</f>
        <v>Roemark</v>
      </c>
      <c r="B264" s="94" t="str">
        <f>'Resultater - Vestdanmark'!B264</f>
        <v>Økologisk</v>
      </c>
      <c r="C264" s="94" t="str">
        <f>'Resultater - Vestdanmark'!C264</f>
        <v>OC12</v>
      </c>
      <c r="D264" s="94" t="str">
        <f>'Resultater - Vestdanmark'!D264</f>
        <v>Areal-roer</v>
      </c>
      <c r="E264" s="94" t="str">
        <f>'Resultater - Vestdanmark'!E264</f>
        <v>Hektar</v>
      </c>
      <c r="F264" s="94" t="str">
        <f>'Resultater - Vestdanmark'!F264</f>
        <v>Roer</v>
      </c>
      <c r="G264" s="94" t="str">
        <f>'Resultater - Vestdanmark'!G264</f>
        <v>Ton</v>
      </c>
      <c r="H264" s="252">
        <f>'Resultater - Vestdanmark'!H264+'Resultater - Østdanmark'!H264</f>
        <v>510.210287416668</v>
      </c>
      <c r="I264" s="253">
        <f>'Resultater - Vestdanmark'!I264+'Resultater - Østdanmark'!I264</f>
        <v>494.28848143533435</v>
      </c>
      <c r="J264" s="254">
        <f>'Resultater - Vestdanmark'!J264+'Resultater - Østdanmark'!J264</f>
        <v>0</v>
      </c>
    </row>
    <row r="265" spans="1:10" x14ac:dyDescent="0.25">
      <c r="A265" s="94" t="str">
        <f>'Resultater - Vestdanmark'!A265</f>
        <v>Roemark</v>
      </c>
      <c r="B265" s="94" t="str">
        <f>'Resultater - Vestdanmark'!B265</f>
        <v>Økologisk</v>
      </c>
      <c r="C265" s="94" t="str">
        <f>'Resultater - Vestdanmark'!C265</f>
        <v>OC12</v>
      </c>
      <c r="D265" s="94" t="str">
        <f>'Resultater - Vestdanmark'!D265</f>
        <v>Areal-roer</v>
      </c>
      <c r="E265" s="94" t="str">
        <f>'Resultater - Vestdanmark'!E265</f>
        <v>Hektar</v>
      </c>
      <c r="F265" s="94" t="str">
        <f>'Resultater - Vestdanmark'!F265</f>
        <v>Gødning</v>
      </c>
      <c r="G265" s="94" t="str">
        <f>'Resultater - Vestdanmark'!G265</f>
        <v>kg N</v>
      </c>
      <c r="H265" s="252">
        <f>'Resultater - Vestdanmark'!H265+'Resultater - Østdanmark'!H265</f>
        <v>-336.38693899820993</v>
      </c>
      <c r="I265" s="253">
        <f>'Resultater - Vestdanmark'!I265+'Resultater - Østdanmark'!I265</f>
        <v>-304.5696514299932</v>
      </c>
      <c r="J265" s="254">
        <f>'Resultater - Vestdanmark'!J265+'Resultater - Østdanmark'!J265</f>
        <v>0</v>
      </c>
    </row>
    <row r="266" spans="1:10" x14ac:dyDescent="0.25">
      <c r="A266" s="94" t="str">
        <f>'Resultater - Vestdanmark'!A266</f>
        <v>Roemark</v>
      </c>
      <c r="B266" s="94" t="str">
        <f>'Resultater - Vestdanmark'!B266</f>
        <v>Økologisk</v>
      </c>
      <c r="C266" s="94" t="str">
        <f>'Resultater - Vestdanmark'!C266</f>
        <v>OC12</v>
      </c>
      <c r="D266" s="94" t="str">
        <f>'Resultater - Vestdanmark'!D266</f>
        <v>Areal-roer</v>
      </c>
      <c r="E266" s="94" t="str">
        <f>'Resultater - Vestdanmark'!E266</f>
        <v>Hektar</v>
      </c>
      <c r="F266" s="94" t="str">
        <f>'Resultater - Vestdanmark'!F266</f>
        <v>CO2 - atmosfære</v>
      </c>
      <c r="G266" s="94" t="str">
        <f>'Resultater - Vestdanmark'!G266</f>
        <v>t CO2-ækvivalenter</v>
      </c>
      <c r="H266" s="252">
        <f>'Resultater - Vestdanmark'!H266+'Resultater - Østdanmark'!H266</f>
        <v>322.23661087879924</v>
      </c>
      <c r="I266" s="253">
        <f>'Resultater - Vestdanmark'!I266+'Resultater - Østdanmark'!I266</f>
        <v>291.75773751982837</v>
      </c>
      <c r="J266" s="254">
        <f>'Resultater - Vestdanmark'!J266+'Resultater - Østdanmark'!J266</f>
        <v>0</v>
      </c>
    </row>
    <row r="267" spans="1:10" x14ac:dyDescent="0.25">
      <c r="A267" s="94" t="str">
        <f>'Resultater - Vestdanmark'!A267</f>
        <v>Frugtmark</v>
      </c>
      <c r="B267" s="94" t="str">
        <f>'Resultater - Vestdanmark'!B267</f>
        <v>Konventionel</v>
      </c>
      <c r="C267" s="94" t="str">
        <f>'Resultater - Vestdanmark'!C267</f>
        <v>JB1-10</v>
      </c>
      <c r="D267" s="94" t="str">
        <f>'Resultater - Vestdanmark'!D267</f>
        <v>Areal-frugt</v>
      </c>
      <c r="E267" s="94" t="str">
        <f>'Resultater - Vestdanmark'!E267</f>
        <v>Hektar</v>
      </c>
      <c r="F267" s="94" t="str">
        <f>'Resultater - Vestdanmark'!F267</f>
        <v>Frugt</v>
      </c>
      <c r="G267" s="94" t="str">
        <f>'Resultater - Vestdanmark'!G267</f>
        <v>Ton</v>
      </c>
      <c r="H267" s="252">
        <f>'Resultater - Vestdanmark'!H267+'Resultater - Østdanmark'!H267</f>
        <v>36988.210710055057</v>
      </c>
      <c r="I267" s="253">
        <f>'Resultater - Vestdanmark'!I267+'Resultater - Østdanmark'!I267</f>
        <v>36771.492763427101</v>
      </c>
      <c r="J267" s="254">
        <f>'Resultater - Vestdanmark'!J267+'Resultater - Østdanmark'!J267</f>
        <v>35806.87360864861</v>
      </c>
    </row>
    <row r="268" spans="1:10" x14ac:dyDescent="0.25">
      <c r="A268" s="94" t="str">
        <f>'Resultater - Vestdanmark'!A268</f>
        <v>Frugtmark</v>
      </c>
      <c r="B268" s="94" t="str">
        <f>'Resultater - Vestdanmark'!B268</f>
        <v>Konventionel</v>
      </c>
      <c r="C268" s="94" t="str">
        <f>'Resultater - Vestdanmark'!C268</f>
        <v>JB1-10</v>
      </c>
      <c r="D268" s="94" t="str">
        <f>'Resultater - Vestdanmark'!D268</f>
        <v>Areal-frugt</v>
      </c>
      <c r="E268" s="94" t="str">
        <f>'Resultater - Vestdanmark'!E268</f>
        <v>Hektar</v>
      </c>
      <c r="F268" s="94" t="str">
        <f>'Resultater - Vestdanmark'!F268</f>
        <v>Gødning</v>
      </c>
      <c r="G268" s="94" t="str">
        <f>'Resultater - Vestdanmark'!G268</f>
        <v>kg N</v>
      </c>
      <c r="H268" s="252">
        <f>'Resultater - Vestdanmark'!H268+'Resultater - Østdanmark'!H268</f>
        <v>-609935.15894083725</v>
      </c>
      <c r="I268" s="253">
        <f>'Resultater - Vestdanmark'!I268+'Resultater - Østdanmark'!I268</f>
        <v>-566692.97434912913</v>
      </c>
      <c r="J268" s="254">
        <f>'Resultater - Vestdanmark'!J268+'Resultater - Østdanmark'!J268</f>
        <v>-513439.06439399865</v>
      </c>
    </row>
    <row r="269" spans="1:10" x14ac:dyDescent="0.25">
      <c r="A269" s="94" t="str">
        <f>'Resultater - Vestdanmark'!A269</f>
        <v>Frugtmark</v>
      </c>
      <c r="B269" s="94" t="str">
        <f>'Resultater - Vestdanmark'!B269</f>
        <v>Konventionel</v>
      </c>
      <c r="C269" s="94" t="str">
        <f>'Resultater - Vestdanmark'!C269</f>
        <v>JB1-10</v>
      </c>
      <c r="D269" s="94" t="str">
        <f>'Resultater - Vestdanmark'!D269</f>
        <v>Areal-frugt</v>
      </c>
      <c r="E269" s="94" t="str">
        <f>'Resultater - Vestdanmark'!E269</f>
        <v>Hektar</v>
      </c>
      <c r="F269" s="94" t="str">
        <f>'Resultater - Vestdanmark'!F269</f>
        <v>CO2 - atmosfære</v>
      </c>
      <c r="G269" s="94" t="str">
        <f>'Resultater - Vestdanmark'!G269</f>
        <v>t CO2-ækvivalenter</v>
      </c>
      <c r="H269" s="252">
        <f>'Resultater - Vestdanmark'!H269+'Resultater - Østdanmark'!H269</f>
        <v>8563.900760438235</v>
      </c>
      <c r="I269" s="253">
        <f>'Resultater - Vestdanmark'!I269+'Resultater - Østdanmark'!I269</f>
        <v>7956.7513412261833</v>
      </c>
      <c r="J269" s="254">
        <f>'Resultater - Vestdanmark'!J269+'Resultater - Østdanmark'!J269</f>
        <v>7209.0305494734839</v>
      </c>
    </row>
    <row r="270" spans="1:10" x14ac:dyDescent="0.25">
      <c r="A270" s="94" t="str">
        <f>'Resultater - Vestdanmark'!A270</f>
        <v>Frugtmark</v>
      </c>
      <c r="B270" s="94" t="str">
        <f>'Resultater - Vestdanmark'!B270</f>
        <v>Konventionel</v>
      </c>
      <c r="C270" s="94" t="str">
        <f>'Resultater - Vestdanmark'!C270</f>
        <v>OC6</v>
      </c>
      <c r="D270" s="94" t="str">
        <f>'Resultater - Vestdanmark'!D270</f>
        <v>Areal-frugt</v>
      </c>
      <c r="E270" s="94" t="str">
        <f>'Resultater - Vestdanmark'!E270</f>
        <v>Hektar</v>
      </c>
      <c r="F270" s="94" t="str">
        <f>'Resultater - Vestdanmark'!F270</f>
        <v>Frugt</v>
      </c>
      <c r="G270" s="94" t="str">
        <f>'Resultater - Vestdanmark'!G270</f>
        <v>Ton</v>
      </c>
      <c r="H270" s="252">
        <f>'Resultater - Vestdanmark'!H270+'Resultater - Østdanmark'!H270</f>
        <v>1136.9217413253709</v>
      </c>
      <c r="I270" s="253">
        <f>'Resultater - Vestdanmark'!I270+'Resultater - Østdanmark'!I270</f>
        <v>1120.7549625938482</v>
      </c>
      <c r="J270" s="254">
        <f>'Resultater - Vestdanmark'!J270+'Resultater - Østdanmark'!J270</f>
        <v>953.5619030306425</v>
      </c>
    </row>
    <row r="271" spans="1:10" x14ac:dyDescent="0.25">
      <c r="A271" s="94" t="str">
        <f>'Resultater - Vestdanmark'!A271</f>
        <v>Frugtmark</v>
      </c>
      <c r="B271" s="94" t="str">
        <f>'Resultater - Vestdanmark'!B271</f>
        <v>Konventionel</v>
      </c>
      <c r="C271" s="94" t="str">
        <f>'Resultater - Vestdanmark'!C271</f>
        <v>OC6</v>
      </c>
      <c r="D271" s="94" t="str">
        <f>'Resultater - Vestdanmark'!D271</f>
        <v>Areal-frugt</v>
      </c>
      <c r="E271" s="94" t="str">
        <f>'Resultater - Vestdanmark'!E271</f>
        <v>Hektar</v>
      </c>
      <c r="F271" s="94" t="str">
        <f>'Resultater - Vestdanmark'!F271</f>
        <v>Gødning</v>
      </c>
      <c r="G271" s="94" t="str">
        <f>'Resultater - Vestdanmark'!G271</f>
        <v>kg N</v>
      </c>
      <c r="H271" s="252">
        <f>'Resultater - Vestdanmark'!H271+'Resultater - Østdanmark'!H271</f>
        <v>-15623.188435959159</v>
      </c>
      <c r="I271" s="253">
        <f>'Resultater - Vestdanmark'!I271+'Resultater - Østdanmark'!I271</f>
        <v>-14393.486084337696</v>
      </c>
      <c r="J271" s="254">
        <f>'Resultater - Vestdanmark'!J271+'Resultater - Østdanmark'!J271</f>
        <v>-11394.365615497343</v>
      </c>
    </row>
    <row r="272" spans="1:10" x14ac:dyDescent="0.25">
      <c r="A272" s="94" t="str">
        <f>'Resultater - Vestdanmark'!A272</f>
        <v>Frugtmark</v>
      </c>
      <c r="B272" s="94" t="str">
        <f>'Resultater - Vestdanmark'!B272</f>
        <v>Konventionel</v>
      </c>
      <c r="C272" s="94" t="str">
        <f>'Resultater - Vestdanmark'!C272</f>
        <v>OC6</v>
      </c>
      <c r="D272" s="94" t="str">
        <f>'Resultater - Vestdanmark'!D272</f>
        <v>Areal-frugt</v>
      </c>
      <c r="E272" s="94" t="str">
        <f>'Resultater - Vestdanmark'!E272</f>
        <v>Hektar</v>
      </c>
      <c r="F272" s="94" t="str">
        <f>'Resultater - Vestdanmark'!F272</f>
        <v>CO2 - atmosfære</v>
      </c>
      <c r="G272" s="94" t="str">
        <f>'Resultater - Vestdanmark'!G272</f>
        <v>t CO2-ækvivalenter</v>
      </c>
      <c r="H272" s="252">
        <f>'Resultater - Vestdanmark'!H272+'Resultater - Østdanmark'!H272</f>
        <v>1189.7832867844982</v>
      </c>
      <c r="I272" s="253">
        <f>'Resultater - Vestdanmark'!I272+'Resultater - Østdanmark'!I272</f>
        <v>1096.1353536704542</v>
      </c>
      <c r="J272" s="254">
        <f>'Resultater - Vestdanmark'!J272+'Resultater - Østdanmark'!J272</f>
        <v>867.73745502727161</v>
      </c>
    </row>
    <row r="273" spans="1:10" x14ac:dyDescent="0.25">
      <c r="A273" s="94" t="str">
        <f>'Resultater - Vestdanmark'!A273</f>
        <v>Frugtmark</v>
      </c>
      <c r="B273" s="94" t="str">
        <f>'Resultater - Vestdanmark'!B273</f>
        <v>Konventionel</v>
      </c>
      <c r="C273" s="94" t="str">
        <f>'Resultater - Vestdanmark'!C273</f>
        <v>OC12</v>
      </c>
      <c r="D273" s="94" t="str">
        <f>'Resultater - Vestdanmark'!D273</f>
        <v>Areal-frugt</v>
      </c>
      <c r="E273" s="94" t="str">
        <f>'Resultater - Vestdanmark'!E273</f>
        <v>Hektar</v>
      </c>
      <c r="F273" s="94" t="str">
        <f>'Resultater - Vestdanmark'!F273</f>
        <v>Frugt</v>
      </c>
      <c r="G273" s="94" t="str">
        <f>'Resultater - Vestdanmark'!G273</f>
        <v>Ton</v>
      </c>
      <c r="H273" s="252">
        <f>'Resultater - Vestdanmark'!H273+'Resultater - Østdanmark'!H273</f>
        <v>769.15923740920027</v>
      </c>
      <c r="I273" s="253">
        <f>'Resultater - Vestdanmark'!I273+'Resultater - Østdanmark'!I273</f>
        <v>600.32803988700994</v>
      </c>
      <c r="J273" s="254">
        <f>'Resultater - Vestdanmark'!J273+'Resultater - Østdanmark'!J273</f>
        <v>0</v>
      </c>
    </row>
    <row r="274" spans="1:10" x14ac:dyDescent="0.25">
      <c r="A274" s="94" t="str">
        <f>'Resultater - Vestdanmark'!A274</f>
        <v>Frugtmark</v>
      </c>
      <c r="B274" s="94" t="str">
        <f>'Resultater - Vestdanmark'!B274</f>
        <v>Konventionel</v>
      </c>
      <c r="C274" s="94" t="str">
        <f>'Resultater - Vestdanmark'!C274</f>
        <v>OC12</v>
      </c>
      <c r="D274" s="94" t="str">
        <f>'Resultater - Vestdanmark'!D274</f>
        <v>Areal-frugt</v>
      </c>
      <c r="E274" s="94" t="str">
        <f>'Resultater - Vestdanmark'!E274</f>
        <v>Hektar</v>
      </c>
      <c r="F274" s="94" t="str">
        <f>'Resultater - Vestdanmark'!F274</f>
        <v>Gødning</v>
      </c>
      <c r="G274" s="94" t="str">
        <f>'Resultater - Vestdanmark'!G274</f>
        <v>kg N</v>
      </c>
      <c r="H274" s="252">
        <f>'Resultater - Vestdanmark'!H274+'Resultater - Østdanmark'!H274</f>
        <v>-9059.5905466336899</v>
      </c>
      <c r="I274" s="253">
        <f>'Resultater - Vestdanmark'!I274+'Resultater - Østdanmark'!I274</f>
        <v>-6608.4127548298711</v>
      </c>
      <c r="J274" s="254">
        <f>'Resultater - Vestdanmark'!J274+'Resultater - Østdanmark'!J274</f>
        <v>0</v>
      </c>
    </row>
    <row r="275" spans="1:10" x14ac:dyDescent="0.25">
      <c r="A275" s="94" t="str">
        <f>'Resultater - Vestdanmark'!A275</f>
        <v>Frugtmark</v>
      </c>
      <c r="B275" s="94" t="str">
        <f>'Resultater - Vestdanmark'!B275</f>
        <v>Konventionel</v>
      </c>
      <c r="C275" s="94" t="str">
        <f>'Resultater - Vestdanmark'!C275</f>
        <v>OC12</v>
      </c>
      <c r="D275" s="94" t="str">
        <f>'Resultater - Vestdanmark'!D275</f>
        <v>Areal-frugt</v>
      </c>
      <c r="E275" s="94" t="str">
        <f>'Resultater - Vestdanmark'!E275</f>
        <v>Hektar</v>
      </c>
      <c r="F275" s="94" t="str">
        <f>'Resultater - Vestdanmark'!F275</f>
        <v>CO2 - atmosfære</v>
      </c>
      <c r="G275" s="94" t="str">
        <f>'Resultater - Vestdanmark'!G275</f>
        <v>t CO2-ækvivalenter</v>
      </c>
      <c r="H275" s="252">
        <f>'Resultater - Vestdanmark'!H275+'Resultater - Østdanmark'!H275</f>
        <v>1844.3834346765289</v>
      </c>
      <c r="I275" s="253">
        <f>'Resultater - Vestdanmark'!I275+'Resultater - Østdanmark'!I275</f>
        <v>1345.3640042310976</v>
      </c>
      <c r="J275" s="254">
        <f>'Resultater - Vestdanmark'!J275+'Resultater - Østdanmark'!J275</f>
        <v>0</v>
      </c>
    </row>
    <row r="276" spans="1:10" x14ac:dyDescent="0.25">
      <c r="A276" s="94" t="str">
        <f>'Resultater - Vestdanmark'!A276</f>
        <v>Frugtmark</v>
      </c>
      <c r="B276" s="94" t="str">
        <f>'Resultater - Vestdanmark'!B276</f>
        <v>Økologisk</v>
      </c>
      <c r="C276" s="94" t="str">
        <f>'Resultater - Vestdanmark'!C276</f>
        <v>JB1-10</v>
      </c>
      <c r="D276" s="94" t="str">
        <f>'Resultater - Vestdanmark'!D276</f>
        <v>Areal-frugt</v>
      </c>
      <c r="E276" s="94" t="str">
        <f>'Resultater - Vestdanmark'!E276</f>
        <v>Hektar</v>
      </c>
      <c r="F276" s="94" t="str">
        <f>'Resultater - Vestdanmark'!F276</f>
        <v>Frugt</v>
      </c>
      <c r="G276" s="94" t="str">
        <f>'Resultater - Vestdanmark'!G276</f>
        <v>Ton</v>
      </c>
      <c r="H276" s="252">
        <f>'Resultater - Vestdanmark'!H276+'Resultater - Østdanmark'!H276</f>
        <v>2695.7401202602077</v>
      </c>
      <c r="I276" s="253">
        <f>'Resultater - Vestdanmark'!I276+'Resultater - Østdanmark'!I276</f>
        <v>3271.1749920759712</v>
      </c>
      <c r="J276" s="254">
        <f>'Resultater - Vestdanmark'!J276+'Resultater - Østdanmark'!J276</f>
        <v>4329.3765363184229</v>
      </c>
    </row>
    <row r="277" spans="1:10" x14ac:dyDescent="0.25">
      <c r="A277" s="94" t="str">
        <f>'Resultater - Vestdanmark'!A277</f>
        <v>Frugtmark</v>
      </c>
      <c r="B277" s="94" t="str">
        <f>'Resultater - Vestdanmark'!B277</f>
        <v>Økologisk</v>
      </c>
      <c r="C277" s="94" t="str">
        <f>'Resultater - Vestdanmark'!C277</f>
        <v>JB1-10</v>
      </c>
      <c r="D277" s="94" t="str">
        <f>'Resultater - Vestdanmark'!D277</f>
        <v>Areal-frugt</v>
      </c>
      <c r="E277" s="94" t="str">
        <f>'Resultater - Vestdanmark'!E277</f>
        <v>Hektar</v>
      </c>
      <c r="F277" s="94" t="str">
        <f>'Resultater - Vestdanmark'!F277</f>
        <v>Gødning</v>
      </c>
      <c r="G277" s="94" t="str">
        <f>'Resultater - Vestdanmark'!G277</f>
        <v>kg N</v>
      </c>
      <c r="H277" s="252">
        <f>'Resultater - Vestdanmark'!H277+'Resultater - Østdanmark'!H277</f>
        <v>-44452.722831145948</v>
      </c>
      <c r="I277" s="253">
        <f>'Resultater - Vestdanmark'!I277+'Resultater - Østdanmark'!I277</f>
        <v>-50412.744943543912</v>
      </c>
      <c r="J277" s="254">
        <f>'Resultater - Vestdanmark'!J277+'Resultater - Østdanmark'!J277</f>
        <v>-62079.450513092561</v>
      </c>
    </row>
    <row r="278" spans="1:10" x14ac:dyDescent="0.25">
      <c r="A278" s="94" t="str">
        <f>'Resultater - Vestdanmark'!A278</f>
        <v>Frugtmark</v>
      </c>
      <c r="B278" s="94" t="str">
        <f>'Resultater - Vestdanmark'!B278</f>
        <v>Økologisk</v>
      </c>
      <c r="C278" s="94" t="str">
        <f>'Resultater - Vestdanmark'!C278</f>
        <v>JB1-10</v>
      </c>
      <c r="D278" s="94" t="str">
        <f>'Resultater - Vestdanmark'!D278</f>
        <v>Areal-frugt</v>
      </c>
      <c r="E278" s="94" t="str">
        <f>'Resultater - Vestdanmark'!E278</f>
        <v>Hektar</v>
      </c>
      <c r="F278" s="94" t="str">
        <f>'Resultater - Vestdanmark'!F278</f>
        <v>CO2 - atmosfære</v>
      </c>
      <c r="G278" s="94" t="str">
        <f>'Resultater - Vestdanmark'!G278</f>
        <v>t CO2-ækvivalenter</v>
      </c>
      <c r="H278" s="252">
        <f>'Resultater - Vestdanmark'!H278+'Resultater - Østdanmark'!H278</f>
        <v>1094.9933194057135</v>
      </c>
      <c r="I278" s="253">
        <f>'Resultater - Vestdanmark'!I278+'Resultater - Østdanmark'!I278</f>
        <v>1241.8051226191153</v>
      </c>
      <c r="J278" s="254">
        <f>'Resultater - Vestdanmark'!J278+'Resultater - Østdanmark'!J278</f>
        <v>1529.1882983731634</v>
      </c>
    </row>
    <row r="279" spans="1:10" x14ac:dyDescent="0.25">
      <c r="A279" s="94" t="str">
        <f>'Resultater - Vestdanmark'!A279</f>
        <v>Frugtmark</v>
      </c>
      <c r="B279" s="94" t="str">
        <f>'Resultater - Vestdanmark'!B279</f>
        <v>Økologisk</v>
      </c>
      <c r="C279" s="94" t="str">
        <f>'Resultater - Vestdanmark'!C279</f>
        <v>OC6</v>
      </c>
      <c r="D279" s="94" t="str">
        <f>'Resultater - Vestdanmark'!D279</f>
        <v>Areal-frugt</v>
      </c>
      <c r="E279" s="94" t="str">
        <f>'Resultater - Vestdanmark'!E279</f>
        <v>Hektar</v>
      </c>
      <c r="F279" s="94" t="str">
        <f>'Resultater - Vestdanmark'!F279</f>
        <v>Frugt</v>
      </c>
      <c r="G279" s="94" t="str">
        <f>'Resultater - Vestdanmark'!G279</f>
        <v>Ton</v>
      </c>
      <c r="H279" s="252">
        <f>'Resultater - Vestdanmark'!H279+'Resultater - Østdanmark'!H279</f>
        <v>82.860065216772895</v>
      </c>
      <c r="I279" s="253">
        <f>'Resultater - Vestdanmark'!I279+'Resultater - Østdanmark'!I279</f>
        <v>99.70184320415791</v>
      </c>
      <c r="J279" s="254">
        <f>'Resultater - Vestdanmark'!J279+'Resultater - Østdanmark'!J279</f>
        <v>115.29430282097766</v>
      </c>
    </row>
    <row r="280" spans="1:10" x14ac:dyDescent="0.25">
      <c r="A280" s="94" t="str">
        <f>'Resultater - Vestdanmark'!A280</f>
        <v>Frugtmark</v>
      </c>
      <c r="B280" s="94" t="str">
        <f>'Resultater - Vestdanmark'!B280</f>
        <v>Økologisk</v>
      </c>
      <c r="C280" s="94" t="str">
        <f>'Resultater - Vestdanmark'!C280</f>
        <v>OC6</v>
      </c>
      <c r="D280" s="94" t="str">
        <f>'Resultater - Vestdanmark'!D280</f>
        <v>Areal-frugt</v>
      </c>
      <c r="E280" s="94" t="str">
        <f>'Resultater - Vestdanmark'!E280</f>
        <v>Hektar</v>
      </c>
      <c r="F280" s="94" t="str">
        <f>'Resultater - Vestdanmark'!F280</f>
        <v>Gødning</v>
      </c>
      <c r="G280" s="94" t="str">
        <f>'Resultater - Vestdanmark'!G280</f>
        <v>kg N</v>
      </c>
      <c r="H280" s="252">
        <f>'Resultater - Vestdanmark'!H280+'Resultater - Østdanmark'!H280</f>
        <v>-1138.6345828767378</v>
      </c>
      <c r="I280" s="253">
        <f>'Resultater - Vestdanmark'!I280+'Resultater - Østdanmark'!I280</f>
        <v>-1280.4378661153592</v>
      </c>
      <c r="J280" s="254">
        <f>'Resultater - Vestdanmark'!J280+'Resultater - Østdanmark'!J280</f>
        <v>-1377.6823880555876</v>
      </c>
    </row>
    <row r="281" spans="1:10" x14ac:dyDescent="0.25">
      <c r="A281" s="94" t="str">
        <f>'Resultater - Vestdanmark'!A281</f>
        <v>Frugtmark</v>
      </c>
      <c r="B281" s="94" t="str">
        <f>'Resultater - Vestdanmark'!B281</f>
        <v>Økologisk</v>
      </c>
      <c r="C281" s="94" t="str">
        <f>'Resultater - Vestdanmark'!C281</f>
        <v>OC6</v>
      </c>
      <c r="D281" s="94" t="str">
        <f>'Resultater - Vestdanmark'!D281</f>
        <v>Areal-frugt</v>
      </c>
      <c r="E281" s="94" t="str">
        <f>'Resultater - Vestdanmark'!E281</f>
        <v>Hektar</v>
      </c>
      <c r="F281" s="94" t="str">
        <f>'Resultater - Vestdanmark'!F281</f>
        <v>CO2 - atmosfære</v>
      </c>
      <c r="G281" s="94" t="str">
        <f>'Resultater - Vestdanmark'!G281</f>
        <v>t CO2-ækvivalenter</v>
      </c>
      <c r="H281" s="252">
        <f>'Resultater - Vestdanmark'!H281+'Resultater - Østdanmark'!H281</f>
        <v>152.12749271780797</v>
      </c>
      <c r="I281" s="253">
        <f>'Resultater - Vestdanmark'!I281+'Resultater - Østdanmark'!I281</f>
        <v>171.07314768267204</v>
      </c>
      <c r="J281" s="254">
        <f>'Resultater - Vestdanmark'!J281+'Resultater - Østdanmark'!J281</f>
        <v>184.06552076336061</v>
      </c>
    </row>
    <row r="282" spans="1:10" x14ac:dyDescent="0.25">
      <c r="A282" s="94" t="str">
        <f>'Resultater - Vestdanmark'!A282</f>
        <v>Frugtmark</v>
      </c>
      <c r="B282" s="94" t="str">
        <f>'Resultater - Vestdanmark'!B282</f>
        <v>Økologisk</v>
      </c>
      <c r="C282" s="94" t="str">
        <f>'Resultater - Vestdanmark'!C282</f>
        <v>OC12</v>
      </c>
      <c r="D282" s="94" t="str">
        <f>'Resultater - Vestdanmark'!D282</f>
        <v>Areal-frugt</v>
      </c>
      <c r="E282" s="94" t="str">
        <f>'Resultater - Vestdanmark'!E282</f>
        <v>Hektar</v>
      </c>
      <c r="F282" s="94" t="str">
        <f>'Resultater - Vestdanmark'!F282</f>
        <v>Frugt</v>
      </c>
      <c r="G282" s="94" t="str">
        <f>'Resultater - Vestdanmark'!G282</f>
        <v>Ton</v>
      </c>
      <c r="H282" s="252">
        <f>'Resultater - Vestdanmark'!H282+'Resultater - Østdanmark'!H282</f>
        <v>56.05714294768709</v>
      </c>
      <c r="I282" s="253">
        <f>'Resultater - Vestdanmark'!I282+'Resultater - Østdanmark'!I282</f>
        <v>53.404904820006266</v>
      </c>
      <c r="J282" s="254">
        <f>'Resultater - Vestdanmark'!J282+'Resultater - Østdanmark'!J282</f>
        <v>0</v>
      </c>
    </row>
    <row r="283" spans="1:10" x14ac:dyDescent="0.25">
      <c r="A283" s="94" t="str">
        <f>'Resultater - Vestdanmark'!A283</f>
        <v>Frugtmark</v>
      </c>
      <c r="B283" s="94" t="str">
        <f>'Resultater - Vestdanmark'!B283</f>
        <v>Økologisk</v>
      </c>
      <c r="C283" s="94" t="str">
        <f>'Resultater - Vestdanmark'!C283</f>
        <v>OC12</v>
      </c>
      <c r="D283" s="94" t="str">
        <f>'Resultater - Vestdanmark'!D283</f>
        <v>Areal-frugt</v>
      </c>
      <c r="E283" s="94" t="str">
        <f>'Resultater - Vestdanmark'!E283</f>
        <v>Hektar</v>
      </c>
      <c r="F283" s="94" t="str">
        <f>'Resultater - Vestdanmark'!F283</f>
        <v>Gødning</v>
      </c>
      <c r="G283" s="94" t="str">
        <f>'Resultater - Vestdanmark'!G283</f>
        <v>kg N</v>
      </c>
      <c r="H283" s="252">
        <f>'Resultater - Vestdanmark'!H283+'Resultater - Østdanmark'!H283</f>
        <v>-660.27259066769261</v>
      </c>
      <c r="I283" s="253">
        <f>'Resultater - Vestdanmark'!I283+'Resultater - Østdanmark'!I283</f>
        <v>-587.88134275625282</v>
      </c>
      <c r="J283" s="254">
        <f>'Resultater - Vestdanmark'!J283+'Resultater - Østdanmark'!J283</f>
        <v>0</v>
      </c>
    </row>
    <row r="284" spans="1:10" x14ac:dyDescent="0.25">
      <c r="A284" s="94" t="str">
        <f>'Resultater - Vestdanmark'!A284</f>
        <v>Frugtmark</v>
      </c>
      <c r="B284" s="94" t="str">
        <f>'Resultater - Vestdanmark'!B284</f>
        <v>Økologisk</v>
      </c>
      <c r="C284" s="94" t="str">
        <f>'Resultater - Vestdanmark'!C284</f>
        <v>OC12</v>
      </c>
      <c r="D284" s="94" t="str">
        <f>'Resultater - Vestdanmark'!D284</f>
        <v>Areal-frugt</v>
      </c>
      <c r="E284" s="94" t="str">
        <f>'Resultater - Vestdanmark'!E284</f>
        <v>Hektar</v>
      </c>
      <c r="F284" s="94" t="str">
        <f>'Resultater - Vestdanmark'!F284</f>
        <v>CO2 - atmosfære</v>
      </c>
      <c r="G284" s="94" t="str">
        <f>'Resultater - Vestdanmark'!G284</f>
        <v>t CO2-ækvivalenter</v>
      </c>
      <c r="H284" s="252">
        <f>'Resultater - Vestdanmark'!H284+'Resultater - Østdanmark'!H284</f>
        <v>235.82565887767433</v>
      </c>
      <c r="I284" s="253">
        <f>'Resultater - Vestdanmark'!I284+'Resultater - Østdanmark'!I284</f>
        <v>209.97010470658751</v>
      </c>
      <c r="J284" s="254">
        <f>'Resultater - Vestdanmark'!J284+'Resultater - Østdanmark'!J284</f>
        <v>0</v>
      </c>
    </row>
    <row r="285" spans="1:10" x14ac:dyDescent="0.25">
      <c r="A285" s="94" t="str">
        <f>'Resultater - Vestdanmark'!A285</f>
        <v>Øvrig mark</v>
      </c>
      <c r="B285" s="94" t="str">
        <f>'Resultater - Vestdanmark'!B285</f>
        <v>Konventionel</v>
      </c>
      <c r="C285" s="94" t="str">
        <f>'Resultater - Vestdanmark'!C285</f>
        <v>JB1-10</v>
      </c>
      <c r="D285" s="94" t="str">
        <f>'Resultater - Vestdanmark'!D285</f>
        <v>Areal-øvrige</v>
      </c>
      <c r="E285" s="94" t="str">
        <f>'Resultater - Vestdanmark'!E285</f>
        <v>Hektar</v>
      </c>
      <c r="F285" s="94" t="str">
        <f>'Resultater - Vestdanmark'!F285</f>
        <v>Øvrige</v>
      </c>
      <c r="G285" s="94" t="str">
        <f>'Resultater - Vestdanmark'!G285</f>
        <v>Ton</v>
      </c>
      <c r="H285" s="252">
        <f>'Resultater - Vestdanmark'!H285+'Resultater - Østdanmark'!H285</f>
        <v>1770707.1441729828</v>
      </c>
      <c r="I285" s="253">
        <f>'Resultater - Vestdanmark'!I285+'Resultater - Østdanmark'!I285</f>
        <v>1750752.0136487568</v>
      </c>
      <c r="J285" s="254">
        <f>'Resultater - Vestdanmark'!J285+'Resultater - Østdanmark'!J285</f>
        <v>1694512.9181692624</v>
      </c>
    </row>
    <row r="286" spans="1:10" x14ac:dyDescent="0.25">
      <c r="A286" s="94" t="str">
        <f>'Resultater - Vestdanmark'!A286</f>
        <v>Øvrig mark</v>
      </c>
      <c r="B286" s="94" t="str">
        <f>'Resultater - Vestdanmark'!B286</f>
        <v>Konventionel</v>
      </c>
      <c r="C286" s="94" t="str">
        <f>'Resultater - Vestdanmark'!C286</f>
        <v>JB1-10</v>
      </c>
      <c r="D286" s="94" t="str">
        <f>'Resultater - Vestdanmark'!D286</f>
        <v>Areal-øvrige</v>
      </c>
      <c r="E286" s="94" t="str">
        <f>'Resultater - Vestdanmark'!E286</f>
        <v>Hektar</v>
      </c>
      <c r="F286" s="94" t="str">
        <f>'Resultater - Vestdanmark'!F286</f>
        <v>Gødning</v>
      </c>
      <c r="G286" s="94" t="str">
        <f>'Resultater - Vestdanmark'!G286</f>
        <v>kg N</v>
      </c>
      <c r="H286" s="252">
        <f>'Resultater - Vestdanmark'!H286+'Resultater - Østdanmark'!H286</f>
        <v>-8443698.8320951127</v>
      </c>
      <c r="I286" s="253">
        <f>'Resultater - Vestdanmark'!I286+'Resultater - Østdanmark'!I286</f>
        <v>-7802375.5795964841</v>
      </c>
      <c r="J286" s="254">
        <f>'Resultater - Vestdanmark'!J286+'Resultater - Østdanmark'!J286</f>
        <v>-7026402.7346609719</v>
      </c>
    </row>
    <row r="287" spans="1:10" x14ac:dyDescent="0.25">
      <c r="A287" s="94" t="str">
        <f>'Resultater - Vestdanmark'!A287</f>
        <v>Øvrig mark</v>
      </c>
      <c r="B287" s="94" t="str">
        <f>'Resultater - Vestdanmark'!B287</f>
        <v>Konventionel</v>
      </c>
      <c r="C287" s="94" t="str">
        <f>'Resultater - Vestdanmark'!C287</f>
        <v>JB1-10</v>
      </c>
      <c r="D287" s="94" t="str">
        <f>'Resultater - Vestdanmark'!D287</f>
        <v>Areal-øvrige</v>
      </c>
      <c r="E287" s="94" t="str">
        <f>'Resultater - Vestdanmark'!E287</f>
        <v>Hektar</v>
      </c>
      <c r="F287" s="94" t="str">
        <f>'Resultater - Vestdanmark'!F287</f>
        <v>CO2 - atmosfære</v>
      </c>
      <c r="G287" s="94" t="str">
        <f>'Resultater - Vestdanmark'!G287</f>
        <v>t CO2-ækvivalenter</v>
      </c>
      <c r="H287" s="252">
        <f>'Resultater - Vestdanmark'!H287+'Resultater - Østdanmark'!H287</f>
        <v>135120.63677615169</v>
      </c>
      <c r="I287" s="253">
        <f>'Resultater - Vestdanmark'!I287+'Resultater - Østdanmark'!I287</f>
        <v>124857.83513197393</v>
      </c>
      <c r="J287" s="254">
        <f>'Resultater - Vestdanmark'!J287+'Resultater - Østdanmark'!J287</f>
        <v>112440.2978638106</v>
      </c>
    </row>
    <row r="288" spans="1:10" x14ac:dyDescent="0.25">
      <c r="A288" s="94" t="str">
        <f>'Resultater - Vestdanmark'!A288</f>
        <v>Øvrig mark</v>
      </c>
      <c r="B288" s="94" t="str">
        <f>'Resultater - Vestdanmark'!B288</f>
        <v>Konventionel</v>
      </c>
      <c r="C288" s="94" t="str">
        <f>'Resultater - Vestdanmark'!C288</f>
        <v>OC6</v>
      </c>
      <c r="D288" s="94" t="str">
        <f>'Resultater - Vestdanmark'!D288</f>
        <v>Areal-øvrige</v>
      </c>
      <c r="E288" s="94" t="str">
        <f>'Resultater - Vestdanmark'!E288</f>
        <v>Hektar</v>
      </c>
      <c r="F288" s="94" t="str">
        <f>'Resultater - Vestdanmark'!F288</f>
        <v>Øvrige</v>
      </c>
      <c r="G288" s="94" t="str">
        <f>'Resultater - Vestdanmark'!G288</f>
        <v>Ton</v>
      </c>
      <c r="H288" s="252">
        <f>'Resultater - Vestdanmark'!H288+'Resultater - Østdanmark'!H288</f>
        <v>59290.041004910265</v>
      </c>
      <c r="I288" s="253">
        <f>'Resultater - Vestdanmark'!I288+'Resultater - Østdanmark'!I288</f>
        <v>58431.353949577038</v>
      </c>
      <c r="J288" s="254">
        <f>'Resultater - Vestdanmark'!J288+'Resultater - Østdanmark'!J288</f>
        <v>49714.625344922446</v>
      </c>
    </row>
    <row r="289" spans="1:10" x14ac:dyDescent="0.25">
      <c r="A289" s="94" t="str">
        <f>'Resultater - Vestdanmark'!A289</f>
        <v>Øvrig mark</v>
      </c>
      <c r="B289" s="94" t="str">
        <f>'Resultater - Vestdanmark'!B289</f>
        <v>Konventionel</v>
      </c>
      <c r="C289" s="94" t="str">
        <f>'Resultater - Vestdanmark'!C289</f>
        <v>OC6</v>
      </c>
      <c r="D289" s="94" t="str">
        <f>'Resultater - Vestdanmark'!D289</f>
        <v>Areal-øvrige</v>
      </c>
      <c r="E289" s="94" t="str">
        <f>'Resultater - Vestdanmark'!E289</f>
        <v>Hektar</v>
      </c>
      <c r="F289" s="94" t="str">
        <f>'Resultater - Vestdanmark'!F289</f>
        <v>Gødning</v>
      </c>
      <c r="G289" s="94" t="str">
        <f>'Resultater - Vestdanmark'!G289</f>
        <v>kg N</v>
      </c>
      <c r="H289" s="252">
        <f>'Resultater - Vestdanmark'!H289+'Resultater - Østdanmark'!H289</f>
        <v>-207278.07918935828</v>
      </c>
      <c r="I289" s="253">
        <f>'Resultater - Vestdanmark'!I289+'Resultater - Østdanmark'!I289</f>
        <v>-190912.25033264939</v>
      </c>
      <c r="J289" s="254">
        <f>'Resultater - Vestdanmark'!J289+'Resultater - Østdanmark'!J289</f>
        <v>-151132.5309255445</v>
      </c>
    </row>
    <row r="290" spans="1:10" x14ac:dyDescent="0.25">
      <c r="A290" s="94" t="str">
        <f>'Resultater - Vestdanmark'!A290</f>
        <v>Øvrig mark</v>
      </c>
      <c r="B290" s="94" t="str">
        <f>'Resultater - Vestdanmark'!B290</f>
        <v>Konventionel</v>
      </c>
      <c r="C290" s="94" t="str">
        <f>'Resultater - Vestdanmark'!C290</f>
        <v>OC6</v>
      </c>
      <c r="D290" s="94" t="str">
        <f>'Resultater - Vestdanmark'!D290</f>
        <v>Areal-øvrige</v>
      </c>
      <c r="E290" s="94" t="str">
        <f>'Resultater - Vestdanmark'!E290</f>
        <v>Hektar</v>
      </c>
      <c r="F290" s="94" t="str">
        <f>'Resultater - Vestdanmark'!F290</f>
        <v>CO2 - atmosfære</v>
      </c>
      <c r="G290" s="94" t="str">
        <f>'Resultater - Vestdanmark'!G290</f>
        <v>t CO2-ækvivalenter</v>
      </c>
      <c r="H290" s="252">
        <f>'Resultater - Vestdanmark'!H290+'Resultater - Østdanmark'!H290</f>
        <v>26517.821531805323</v>
      </c>
      <c r="I290" s="253">
        <f>'Resultater - Vestdanmark'!I290+'Resultater - Østdanmark'!I290</f>
        <v>24424.082866628829</v>
      </c>
      <c r="J290" s="254">
        <f>'Resultater - Vestdanmark'!J290+'Resultater - Østdanmark'!J290</f>
        <v>19334.92194836682</v>
      </c>
    </row>
    <row r="291" spans="1:10" x14ac:dyDescent="0.25">
      <c r="A291" s="94" t="str">
        <f>'Resultater - Vestdanmark'!A291</f>
        <v>Øvrig mark</v>
      </c>
      <c r="B291" s="94" t="str">
        <f>'Resultater - Vestdanmark'!B291</f>
        <v>Konventionel</v>
      </c>
      <c r="C291" s="94" t="str">
        <f>'Resultater - Vestdanmark'!C291</f>
        <v>OC12</v>
      </c>
      <c r="D291" s="94" t="str">
        <f>'Resultater - Vestdanmark'!D291</f>
        <v>Areal-øvrige</v>
      </c>
      <c r="E291" s="94" t="str">
        <f>'Resultater - Vestdanmark'!E291</f>
        <v>Hektar</v>
      </c>
      <c r="F291" s="94" t="str">
        <f>'Resultater - Vestdanmark'!F291</f>
        <v>Øvrige</v>
      </c>
      <c r="G291" s="94" t="str">
        <f>'Resultater - Vestdanmark'!G291</f>
        <v>Ton</v>
      </c>
      <c r="H291" s="252">
        <f>'Resultater - Vestdanmark'!H291+'Resultater - Østdanmark'!H291</f>
        <v>39797.443271560704</v>
      </c>
      <c r="I291" s="253">
        <f>'Resultater - Vestdanmark'!I291+'Resultater - Østdanmark'!I291</f>
        <v>30913.169604453007</v>
      </c>
      <c r="J291" s="254">
        <f>'Resultater - Vestdanmark'!J291+'Resultater - Østdanmark'!J291</f>
        <v>0</v>
      </c>
    </row>
    <row r="292" spans="1:10" x14ac:dyDescent="0.25">
      <c r="A292" s="94" t="str">
        <f>'Resultater - Vestdanmark'!A292</f>
        <v>Øvrig mark</v>
      </c>
      <c r="B292" s="94" t="str">
        <f>'Resultater - Vestdanmark'!B292</f>
        <v>Konventionel</v>
      </c>
      <c r="C292" s="94" t="str">
        <f>'Resultater - Vestdanmark'!C292</f>
        <v>OC12</v>
      </c>
      <c r="D292" s="94" t="str">
        <f>'Resultater - Vestdanmark'!D292</f>
        <v>Areal-øvrige</v>
      </c>
      <c r="E292" s="94" t="str">
        <f>'Resultater - Vestdanmark'!E292</f>
        <v>Hektar</v>
      </c>
      <c r="F292" s="94" t="str">
        <f>'Resultater - Vestdanmark'!F292</f>
        <v>Gødning</v>
      </c>
      <c r="G292" s="94" t="str">
        <f>'Resultater - Vestdanmark'!G292</f>
        <v>kg N</v>
      </c>
      <c r="H292" s="252">
        <f>'Resultater - Vestdanmark'!H292+'Resultater - Østdanmark'!H292</f>
        <v>-102957.62524429863</v>
      </c>
      <c r="I292" s="253">
        <f>'Resultater - Vestdanmark'!I292+'Resultater - Østdanmark'!I292</f>
        <v>-74741.72268202831</v>
      </c>
      <c r="J292" s="254">
        <f>'Resultater - Vestdanmark'!J292+'Resultater - Østdanmark'!J292</f>
        <v>0</v>
      </c>
    </row>
    <row r="293" spans="1:10" x14ac:dyDescent="0.25">
      <c r="A293" s="94" t="str">
        <f>'Resultater - Vestdanmark'!A293</f>
        <v>Øvrig mark</v>
      </c>
      <c r="B293" s="94" t="str">
        <f>'Resultater - Vestdanmark'!B293</f>
        <v>Konventionel</v>
      </c>
      <c r="C293" s="94" t="str">
        <f>'Resultater - Vestdanmark'!C293</f>
        <v>OC12</v>
      </c>
      <c r="D293" s="94" t="str">
        <f>'Resultater - Vestdanmark'!D293</f>
        <v>Areal-øvrige</v>
      </c>
      <c r="E293" s="94" t="str">
        <f>'Resultater - Vestdanmark'!E293</f>
        <v>Hektar</v>
      </c>
      <c r="F293" s="94" t="str">
        <f>'Resultater - Vestdanmark'!F293</f>
        <v>CO2 - atmosfære</v>
      </c>
      <c r="G293" s="94" t="str">
        <f>'Resultater - Vestdanmark'!G293</f>
        <v>t CO2-ækvivalenter</v>
      </c>
      <c r="H293" s="252">
        <f>'Resultater - Vestdanmark'!H293+'Resultater - Østdanmark'!H293</f>
        <v>39069.861329482206</v>
      </c>
      <c r="I293" s="253">
        <f>'Resultater - Vestdanmark'!I293+'Resultater - Østdanmark'!I293</f>
        <v>28362.627185548525</v>
      </c>
      <c r="J293" s="254">
        <f>'Resultater - Vestdanmark'!J293+'Resultater - Østdanmark'!J293</f>
        <v>0</v>
      </c>
    </row>
    <row r="294" spans="1:10" x14ac:dyDescent="0.25">
      <c r="A294" s="94" t="str">
        <f>'Resultater - Vestdanmark'!A294</f>
        <v>Øvrig mark</v>
      </c>
      <c r="B294" s="94" t="str">
        <f>'Resultater - Vestdanmark'!B294</f>
        <v>Økologisk</v>
      </c>
      <c r="C294" s="94" t="str">
        <f>'Resultater - Vestdanmark'!C294</f>
        <v>JB1-10</v>
      </c>
      <c r="D294" s="94" t="str">
        <f>'Resultater - Vestdanmark'!D294</f>
        <v>Areal-øvrige</v>
      </c>
      <c r="E294" s="94" t="str">
        <f>'Resultater - Vestdanmark'!E294</f>
        <v>Hektar</v>
      </c>
      <c r="F294" s="94" t="str">
        <f>'Resultater - Vestdanmark'!F294</f>
        <v>Øvrige</v>
      </c>
      <c r="G294" s="94" t="str">
        <f>'Resultater - Vestdanmark'!G294</f>
        <v>Ton</v>
      </c>
      <c r="H294" s="252">
        <f>'Resultater - Vestdanmark'!H294+'Resultater - Østdanmark'!H294</f>
        <v>129051.01918003485</v>
      </c>
      <c r="I294" s="253">
        <f>'Resultater - Vestdanmark'!I294+'Resultater - Østdanmark'!I294</f>
        <v>155746.0895378865</v>
      </c>
      <c r="J294" s="254">
        <f>'Resultater - Vestdanmark'!J294+'Resultater - Østdanmark'!J294</f>
        <v>204882.01646955626</v>
      </c>
    </row>
    <row r="295" spans="1:10" x14ac:dyDescent="0.25">
      <c r="A295" s="94" t="str">
        <f>'Resultater - Vestdanmark'!A295</f>
        <v>Øvrig mark</v>
      </c>
      <c r="B295" s="94" t="str">
        <f>'Resultater - Vestdanmark'!B295</f>
        <v>Økologisk</v>
      </c>
      <c r="C295" s="94" t="str">
        <f>'Resultater - Vestdanmark'!C295</f>
        <v>JB1-10</v>
      </c>
      <c r="D295" s="94" t="str">
        <f>'Resultater - Vestdanmark'!D295</f>
        <v>Areal-øvrige</v>
      </c>
      <c r="E295" s="94" t="str">
        <f>'Resultater - Vestdanmark'!E295</f>
        <v>Hektar</v>
      </c>
      <c r="F295" s="94" t="str">
        <f>'Resultater - Vestdanmark'!F295</f>
        <v>Gødning</v>
      </c>
      <c r="G295" s="94" t="str">
        <f>'Resultater - Vestdanmark'!G295</f>
        <v>kg N</v>
      </c>
      <c r="H295" s="252">
        <f>'Resultater - Vestdanmark'!H295+'Resultater - Østdanmark'!H295</f>
        <v>-615385.74773192033</v>
      </c>
      <c r="I295" s="253">
        <f>'Resultater - Vestdanmark'!I295+'Resultater - Østdanmark'!I295</f>
        <v>-694095.72352595313</v>
      </c>
      <c r="J295" s="254">
        <f>'Resultater - Vestdanmark'!J295+'Resultater - Østdanmark'!J295</f>
        <v>-849555.9670090084</v>
      </c>
    </row>
    <row r="296" spans="1:10" x14ac:dyDescent="0.25">
      <c r="A296" s="94" t="str">
        <f>'Resultater - Vestdanmark'!A296</f>
        <v>Øvrig mark</v>
      </c>
      <c r="B296" s="94" t="str">
        <f>'Resultater - Vestdanmark'!B296</f>
        <v>Økologisk</v>
      </c>
      <c r="C296" s="94" t="str">
        <f>'Resultater - Vestdanmark'!C296</f>
        <v>JB1-10</v>
      </c>
      <c r="D296" s="94" t="str">
        <f>'Resultater - Vestdanmark'!D296</f>
        <v>Areal-øvrige</v>
      </c>
      <c r="E296" s="94" t="str">
        <f>'Resultater - Vestdanmark'!E296</f>
        <v>Hektar</v>
      </c>
      <c r="F296" s="94" t="str">
        <f>'Resultater - Vestdanmark'!F296</f>
        <v>CO2 - atmosfære</v>
      </c>
      <c r="G296" s="94" t="str">
        <f>'Resultater - Vestdanmark'!G296</f>
        <v>t CO2-ækvivalenter</v>
      </c>
      <c r="H296" s="252">
        <f>'Resultater - Vestdanmark'!H296+'Resultater - Østdanmark'!H296</f>
        <v>17276.729229188404</v>
      </c>
      <c r="I296" s="253">
        <f>'Resultater - Vestdanmark'!I296+'Resultater - Østdanmark'!I296</f>
        <v>19486.482939672234</v>
      </c>
      <c r="J296" s="254">
        <f>'Resultater - Vestdanmark'!J296+'Resultater - Østdanmark'!J296</f>
        <v>23850.972274141641</v>
      </c>
    </row>
    <row r="297" spans="1:10" x14ac:dyDescent="0.25">
      <c r="A297" s="94" t="str">
        <f>'Resultater - Vestdanmark'!A297</f>
        <v>Øvrig mark</v>
      </c>
      <c r="B297" s="94" t="str">
        <f>'Resultater - Vestdanmark'!B297</f>
        <v>Økologisk</v>
      </c>
      <c r="C297" s="94" t="str">
        <f>'Resultater - Vestdanmark'!C297</f>
        <v>OC6</v>
      </c>
      <c r="D297" s="94" t="str">
        <f>'Resultater - Vestdanmark'!D297</f>
        <v>Areal-øvrige</v>
      </c>
      <c r="E297" s="94" t="str">
        <f>'Resultater - Vestdanmark'!E297</f>
        <v>Hektar</v>
      </c>
      <c r="F297" s="94" t="str">
        <f>'Resultater - Vestdanmark'!F297</f>
        <v>Øvrige</v>
      </c>
      <c r="G297" s="94" t="str">
        <f>'Resultater - Vestdanmark'!G297</f>
        <v>Ton</v>
      </c>
      <c r="H297" s="252">
        <f>'Resultater - Vestdanmark'!H297+'Resultater - Østdanmark'!H297</f>
        <v>4321.1212221563428</v>
      </c>
      <c r="I297" s="253">
        <f>'Resultater - Vestdanmark'!I297+'Resultater - Østdanmark'!I297</f>
        <v>5198.02622707509</v>
      </c>
      <c r="J297" s="254">
        <f>'Resultater - Vestdanmark'!J297+'Resultater - Østdanmark'!J297</f>
        <v>6010.9501553406226</v>
      </c>
    </row>
    <row r="298" spans="1:10" x14ac:dyDescent="0.25">
      <c r="A298" s="94" t="str">
        <f>'Resultater - Vestdanmark'!A298</f>
        <v>Øvrig mark</v>
      </c>
      <c r="B298" s="94" t="str">
        <f>'Resultater - Vestdanmark'!B298</f>
        <v>Økologisk</v>
      </c>
      <c r="C298" s="94" t="str">
        <f>'Resultater - Vestdanmark'!C298</f>
        <v>OC6</v>
      </c>
      <c r="D298" s="94" t="str">
        <f>'Resultater - Vestdanmark'!D298</f>
        <v>Areal-øvrige</v>
      </c>
      <c r="E298" s="94" t="str">
        <f>'Resultater - Vestdanmark'!E298</f>
        <v>Hektar</v>
      </c>
      <c r="F298" s="94" t="str">
        <f>'Resultater - Vestdanmark'!F298</f>
        <v>Gødning</v>
      </c>
      <c r="G298" s="94" t="str">
        <f>'Resultater - Vestdanmark'!G298</f>
        <v>kg N</v>
      </c>
      <c r="H298" s="252">
        <f>'Resultater - Vestdanmark'!H298+'Resultater - Østdanmark'!H298</f>
        <v>-15106.646777302138</v>
      </c>
      <c r="I298" s="253">
        <f>'Resultater - Vestdanmark'!I298+'Resultater - Østdanmark'!I298</f>
        <v>-16983.465506470951</v>
      </c>
      <c r="J298" s="254">
        <f>'Resultater - Vestdanmark'!J298+'Resultater - Østdanmark'!J298</f>
        <v>-18273.296920997658</v>
      </c>
    </row>
    <row r="299" spans="1:10" x14ac:dyDescent="0.25">
      <c r="A299" s="94" t="str">
        <f>'Resultater - Vestdanmark'!A299</f>
        <v>Øvrig mark</v>
      </c>
      <c r="B299" s="94" t="str">
        <f>'Resultater - Vestdanmark'!B299</f>
        <v>Økologisk</v>
      </c>
      <c r="C299" s="94" t="str">
        <f>'Resultater - Vestdanmark'!C299</f>
        <v>OC6</v>
      </c>
      <c r="D299" s="94" t="str">
        <f>'Resultater - Vestdanmark'!D299</f>
        <v>Areal-øvrige</v>
      </c>
      <c r="E299" s="94" t="str">
        <f>'Resultater - Vestdanmark'!E299</f>
        <v>Hektar</v>
      </c>
      <c r="F299" s="94" t="str">
        <f>'Resultater - Vestdanmark'!F299</f>
        <v>CO2 - atmosfære</v>
      </c>
      <c r="G299" s="94" t="str">
        <f>'Resultater - Vestdanmark'!G299</f>
        <v>t CO2-ækvivalenter</v>
      </c>
      <c r="H299" s="252">
        <f>'Resultater - Vestdanmark'!H299+'Resultater - Østdanmark'!H299</f>
        <v>3390.6088165638589</v>
      </c>
      <c r="I299" s="253">
        <f>'Resultater - Vestdanmark'!I299+'Resultater - Østdanmark'!I299</f>
        <v>3811.851083231089</v>
      </c>
      <c r="J299" s="254">
        <f>'Resultater - Vestdanmark'!J299+'Resultater - Østdanmark'!J299</f>
        <v>4101.3470799565985</v>
      </c>
    </row>
    <row r="300" spans="1:10" x14ac:dyDescent="0.25">
      <c r="A300" s="94" t="str">
        <f>'Resultater - Vestdanmark'!A300</f>
        <v>Øvrig mark</v>
      </c>
      <c r="B300" s="94" t="str">
        <f>'Resultater - Vestdanmark'!B300</f>
        <v>Økologisk</v>
      </c>
      <c r="C300" s="94" t="str">
        <f>'Resultater - Vestdanmark'!C300</f>
        <v>OC12</v>
      </c>
      <c r="D300" s="94" t="str">
        <f>'Resultater - Vestdanmark'!D300</f>
        <v>Areal-øvrige</v>
      </c>
      <c r="E300" s="94" t="str">
        <f>'Resultater - Vestdanmark'!E300</f>
        <v>Hektar</v>
      </c>
      <c r="F300" s="94" t="str">
        <f>'Resultater - Vestdanmark'!F300</f>
        <v>Øvrige</v>
      </c>
      <c r="G300" s="94" t="str">
        <f>'Resultater - Vestdanmark'!G300</f>
        <v>Ton</v>
      </c>
      <c r="H300" s="252">
        <f>'Resultater - Vestdanmark'!H300+'Resultater - Østdanmark'!H300</f>
        <v>2900.4799759551861</v>
      </c>
      <c r="I300" s="253">
        <f>'Resultater - Vestdanmark'!I300+'Resultater - Østdanmark'!I300</f>
        <v>2750.0212729048085</v>
      </c>
      <c r="J300" s="254">
        <f>'Resultater - Vestdanmark'!J300+'Resultater - Østdanmark'!J300</f>
        <v>0</v>
      </c>
    </row>
    <row r="301" spans="1:10" x14ac:dyDescent="0.25">
      <c r="A301" s="94" t="str">
        <f>'Resultater - Vestdanmark'!A301</f>
        <v>Øvrig mark</v>
      </c>
      <c r="B301" s="94" t="str">
        <f>'Resultater - Vestdanmark'!B301</f>
        <v>Økologisk</v>
      </c>
      <c r="C301" s="94" t="str">
        <f>'Resultater - Vestdanmark'!C301</f>
        <v>OC12</v>
      </c>
      <c r="D301" s="94" t="str">
        <f>'Resultater - Vestdanmark'!D301</f>
        <v>Areal-øvrige</v>
      </c>
      <c r="E301" s="94" t="str">
        <f>'Resultater - Vestdanmark'!E301</f>
        <v>Hektar</v>
      </c>
      <c r="F301" s="94" t="str">
        <f>'Resultater - Vestdanmark'!F301</f>
        <v>Gødning</v>
      </c>
      <c r="G301" s="94" t="str">
        <f>'Resultater - Vestdanmark'!G301</f>
        <v>kg N</v>
      </c>
      <c r="H301" s="252">
        <f>'Resultater - Vestdanmark'!H301+'Resultater - Østdanmark'!H301</f>
        <v>-7503.6611863552844</v>
      </c>
      <c r="I301" s="253">
        <f>'Resultater - Vestdanmark'!I301+'Resultater - Østdanmark'!I301</f>
        <v>-6648.9890871469124</v>
      </c>
      <c r="J301" s="254">
        <f>'Resultater - Vestdanmark'!J301+'Resultater - Østdanmark'!J301</f>
        <v>0</v>
      </c>
    </row>
    <row r="302" spans="1:10" x14ac:dyDescent="0.25">
      <c r="A302" s="94" t="str">
        <f>'Resultater - Vestdanmark'!A302</f>
        <v>Øvrig mark</v>
      </c>
      <c r="B302" s="94" t="str">
        <f>'Resultater - Vestdanmark'!B302</f>
        <v>Økologisk</v>
      </c>
      <c r="C302" s="94" t="str">
        <f>'Resultater - Vestdanmark'!C302</f>
        <v>OC12</v>
      </c>
      <c r="D302" s="94" t="str">
        <f>'Resultater - Vestdanmark'!D302</f>
        <v>Areal-øvrige</v>
      </c>
      <c r="E302" s="94" t="str">
        <f>'Resultater - Vestdanmark'!E302</f>
        <v>Hektar</v>
      </c>
      <c r="F302" s="94" t="str">
        <f>'Resultater - Vestdanmark'!F302</f>
        <v>CO2 - atmosfære</v>
      </c>
      <c r="G302" s="94" t="str">
        <f>'Resultater - Vestdanmark'!G302</f>
        <v>t CO2-ækvivalenter</v>
      </c>
      <c r="H302" s="252">
        <f>'Resultater - Vestdanmark'!H302+'Resultater - Østdanmark'!H302</f>
        <v>4995.5316324451924</v>
      </c>
      <c r="I302" s="253">
        <f>'Resultater - Vestdanmark'!I302+'Resultater - Østdanmark'!I302</f>
        <v>4426.5371908081515</v>
      </c>
      <c r="J302" s="254">
        <f>'Resultater - Vestdanmark'!J302+'Resultater - Østdanmark'!J302</f>
        <v>0</v>
      </c>
    </row>
    <row r="303" spans="1:10" x14ac:dyDescent="0.25">
      <c r="A303" s="94" t="str">
        <f>'Resultater - Vestdanmark'!A303</f>
        <v>Majsmark</v>
      </c>
      <c r="B303" s="94" t="str">
        <f>'Resultater - Vestdanmark'!B303</f>
        <v>Konventionel</v>
      </c>
      <c r="C303" s="94" t="str">
        <f>'Resultater - Vestdanmark'!C303</f>
        <v>JB1-10</v>
      </c>
      <c r="D303" s="94" t="str">
        <f>'Resultater - Vestdanmark'!D303</f>
        <v>Areal-majs</v>
      </c>
      <c r="E303" s="94" t="str">
        <f>'Resultater - Vestdanmark'!E303</f>
        <v>Hektar</v>
      </c>
      <c r="F303" s="94" t="str">
        <f>'Resultater - Vestdanmark'!F303</f>
        <v>Majs</v>
      </c>
      <c r="G303" s="94" t="str">
        <f>'Resultater - Vestdanmark'!G303</f>
        <v>Ton</v>
      </c>
      <c r="H303" s="252">
        <f>'Resultater - Vestdanmark'!H303+'Resultater - Østdanmark'!H303</f>
        <v>6824552.1371091604</v>
      </c>
      <c r="I303" s="253">
        <f>'Resultater - Vestdanmark'!I303+'Resultater - Østdanmark'!I303</f>
        <v>6716543.0312051568</v>
      </c>
      <c r="J303" s="254">
        <f>'Resultater - Vestdanmark'!J303+'Resultater - Østdanmark'!J303</f>
        <v>6467131.3883805983</v>
      </c>
    </row>
    <row r="304" spans="1:10" x14ac:dyDescent="0.25">
      <c r="A304" s="94" t="str">
        <f>'Resultater - Vestdanmark'!A304</f>
        <v>Majsmark</v>
      </c>
      <c r="B304" s="94" t="str">
        <f>'Resultater - Vestdanmark'!B304</f>
        <v>Konventionel</v>
      </c>
      <c r="C304" s="94" t="str">
        <f>'Resultater - Vestdanmark'!C304</f>
        <v>JB1-10</v>
      </c>
      <c r="D304" s="94" t="str">
        <f>'Resultater - Vestdanmark'!D304</f>
        <v>Areal-majs</v>
      </c>
      <c r="E304" s="94" t="str">
        <f>'Resultater - Vestdanmark'!E304</f>
        <v>Hektar</v>
      </c>
      <c r="F304" s="94" t="str">
        <f>'Resultater - Vestdanmark'!F304</f>
        <v>Gødning</v>
      </c>
      <c r="G304" s="94" t="str">
        <f>'Resultater - Vestdanmark'!G304</f>
        <v>kg N</v>
      </c>
      <c r="H304" s="252">
        <f>'Resultater - Vestdanmark'!H304+'Resultater - Østdanmark'!H304</f>
        <v>-24532202.694618411</v>
      </c>
      <c r="I304" s="253">
        <f>'Resultater - Vestdanmark'!I304+'Resultater - Østdanmark'!I304</f>
        <v>-22564432.333652314</v>
      </c>
      <c r="J304" s="254">
        <f>'Resultater - Vestdanmark'!J304+'Resultater - Østdanmark'!J304</f>
        <v>-20215115.746161502</v>
      </c>
    </row>
    <row r="305" spans="1:10" x14ac:dyDescent="0.25">
      <c r="A305" s="94" t="str">
        <f>'Resultater - Vestdanmark'!A305</f>
        <v>Majsmark</v>
      </c>
      <c r="B305" s="94" t="str">
        <f>'Resultater - Vestdanmark'!B305</f>
        <v>Konventionel</v>
      </c>
      <c r="C305" s="94" t="str">
        <f>'Resultater - Vestdanmark'!C305</f>
        <v>JB1-10</v>
      </c>
      <c r="D305" s="94" t="str">
        <f>'Resultater - Vestdanmark'!D305</f>
        <v>Areal-majs</v>
      </c>
      <c r="E305" s="94" t="str">
        <f>'Resultater - Vestdanmark'!E305</f>
        <v>Hektar</v>
      </c>
      <c r="F305" s="94" t="str">
        <f>'Resultater - Vestdanmark'!F305</f>
        <v>CO2 - atmosfære</v>
      </c>
      <c r="G305" s="94" t="str">
        <f>'Resultater - Vestdanmark'!G305</f>
        <v>t CO2-ækvivalenter</v>
      </c>
      <c r="H305" s="252">
        <f>'Resultater - Vestdanmark'!H305+'Resultater - Østdanmark'!H305</f>
        <v>348617.06930478453</v>
      </c>
      <c r="I305" s="253">
        <f>'Resultater - Vestdanmark'!I305+'Resultater - Østdanmark'!I305</f>
        <v>320653.89189082541</v>
      </c>
      <c r="J305" s="254">
        <f>'Resultater - Vestdanmark'!J305+'Resultater - Østdanmark'!J305</f>
        <v>287268.71756321279</v>
      </c>
    </row>
    <row r="306" spans="1:10" x14ac:dyDescent="0.25">
      <c r="A306" s="94" t="str">
        <f>'Resultater - Vestdanmark'!A306</f>
        <v>Majsmark</v>
      </c>
      <c r="B306" s="94" t="str">
        <f>'Resultater - Vestdanmark'!B306</f>
        <v>Konventionel</v>
      </c>
      <c r="C306" s="94" t="str">
        <f>'Resultater - Vestdanmark'!C306</f>
        <v>OC6</v>
      </c>
      <c r="D306" s="94" t="str">
        <f>'Resultater - Vestdanmark'!D306</f>
        <v>Areal-majs</v>
      </c>
      <c r="E306" s="94" t="str">
        <f>'Resultater - Vestdanmark'!E306</f>
        <v>Hektar</v>
      </c>
      <c r="F306" s="94" t="str">
        <f>'Resultater - Vestdanmark'!F306</f>
        <v>Majs</v>
      </c>
      <c r="G306" s="94" t="str">
        <f>'Resultater - Vestdanmark'!G306</f>
        <v>Ton</v>
      </c>
      <c r="H306" s="252">
        <f>'Resultater - Vestdanmark'!H306+'Resultater - Østdanmark'!H306</f>
        <v>263505.94367690803</v>
      </c>
      <c r="I306" s="253">
        <f>'Resultater - Vestdanmark'!I306+'Resultater - Østdanmark'!I306</f>
        <v>259639.50711667008</v>
      </c>
      <c r="J306" s="254">
        <f>'Resultater - Vestdanmark'!J306+'Resultater - Østdanmark'!J306</f>
        <v>220906.75550979626</v>
      </c>
    </row>
    <row r="307" spans="1:10" x14ac:dyDescent="0.25">
      <c r="A307" s="94" t="str">
        <f>'Resultater - Vestdanmark'!A307</f>
        <v>Majsmark</v>
      </c>
      <c r="B307" s="94" t="str">
        <f>'Resultater - Vestdanmark'!B307</f>
        <v>Konventionel</v>
      </c>
      <c r="C307" s="94" t="str">
        <f>'Resultater - Vestdanmark'!C307</f>
        <v>OC6</v>
      </c>
      <c r="D307" s="94" t="str">
        <f>'Resultater - Vestdanmark'!D307</f>
        <v>Areal-majs</v>
      </c>
      <c r="E307" s="94" t="str">
        <f>'Resultater - Vestdanmark'!E307</f>
        <v>Hektar</v>
      </c>
      <c r="F307" s="94" t="str">
        <f>'Resultater - Vestdanmark'!F307</f>
        <v>Gødning</v>
      </c>
      <c r="G307" s="94" t="str">
        <f>'Resultater - Vestdanmark'!G307</f>
        <v>kg N</v>
      </c>
      <c r="H307" s="252">
        <f>'Resultater - Vestdanmark'!H307+'Resultater - Østdanmark'!H307</f>
        <v>-641349.74683588033</v>
      </c>
      <c r="I307" s="253">
        <f>'Resultater - Vestdanmark'!I307+'Resultater - Østdanmark'!I307</f>
        <v>-590597.37223752285</v>
      </c>
      <c r="J307" s="254">
        <f>'Resultater - Vestdanmark'!J307+'Resultater - Østdanmark'!J307</f>
        <v>-467536.65869375569</v>
      </c>
    </row>
    <row r="308" spans="1:10" x14ac:dyDescent="0.25">
      <c r="A308" s="94" t="str">
        <f>'Resultater - Vestdanmark'!A308</f>
        <v>Majsmark</v>
      </c>
      <c r="B308" s="94" t="str">
        <f>'Resultater - Vestdanmark'!B308</f>
        <v>Konventionel</v>
      </c>
      <c r="C308" s="94" t="str">
        <f>'Resultater - Vestdanmark'!C308</f>
        <v>OC6</v>
      </c>
      <c r="D308" s="94" t="str">
        <f>'Resultater - Vestdanmark'!D308</f>
        <v>Areal-majs</v>
      </c>
      <c r="E308" s="94" t="str">
        <f>'Resultater - Vestdanmark'!E308</f>
        <v>Hektar</v>
      </c>
      <c r="F308" s="94" t="str">
        <f>'Resultater - Vestdanmark'!F308</f>
        <v>CO2 - atmosfære</v>
      </c>
      <c r="G308" s="94" t="str">
        <f>'Resultater - Vestdanmark'!G308</f>
        <v>t CO2-ækvivalenter</v>
      </c>
      <c r="H308" s="252">
        <f>'Resultater - Vestdanmark'!H308+'Resultater - Østdanmark'!H308</f>
        <v>78894.37795433517</v>
      </c>
      <c r="I308" s="253">
        <f>'Resultater - Vestdanmark'!I308+'Resultater - Østdanmark'!I308</f>
        <v>72651.174392788511</v>
      </c>
      <c r="J308" s="254">
        <f>'Resultater - Vestdanmark'!J308+'Resultater - Østdanmark'!J308</f>
        <v>57513.102703276192</v>
      </c>
    </row>
    <row r="309" spans="1:10" x14ac:dyDescent="0.25">
      <c r="A309" s="94" t="str">
        <f>'Resultater - Vestdanmark'!A309</f>
        <v>Majsmark</v>
      </c>
      <c r="B309" s="94" t="str">
        <f>'Resultater - Vestdanmark'!B309</f>
        <v>Konventionel</v>
      </c>
      <c r="C309" s="94" t="str">
        <f>'Resultater - Vestdanmark'!C309</f>
        <v>OC12</v>
      </c>
      <c r="D309" s="94" t="str">
        <f>'Resultater - Vestdanmark'!D309</f>
        <v>Areal-majs</v>
      </c>
      <c r="E309" s="94" t="str">
        <f>'Resultater - Vestdanmark'!E309</f>
        <v>Hektar</v>
      </c>
      <c r="F309" s="94" t="str">
        <f>'Resultater - Vestdanmark'!F309</f>
        <v>Majs</v>
      </c>
      <c r="G309" s="94" t="str">
        <f>'Resultater - Vestdanmark'!G309</f>
        <v>Ton</v>
      </c>
      <c r="H309" s="252">
        <f>'Resultater - Vestdanmark'!H309+'Resultater - Østdanmark'!H309</f>
        <v>104547.38485235954</v>
      </c>
      <c r="I309" s="253">
        <f>'Resultater - Vestdanmark'!I309+'Resultater - Østdanmark'!I309</f>
        <v>80922.146592858538</v>
      </c>
      <c r="J309" s="254">
        <f>'Resultater - Vestdanmark'!J309+'Resultater - Østdanmark'!J309</f>
        <v>0</v>
      </c>
    </row>
    <row r="310" spans="1:10" x14ac:dyDescent="0.25">
      <c r="A310" s="94" t="str">
        <f>'Resultater - Vestdanmark'!A310</f>
        <v>Majsmark</v>
      </c>
      <c r="B310" s="94" t="str">
        <f>'Resultater - Vestdanmark'!B310</f>
        <v>Konventionel</v>
      </c>
      <c r="C310" s="94" t="str">
        <f>'Resultater - Vestdanmark'!C310</f>
        <v>OC12</v>
      </c>
      <c r="D310" s="94" t="str">
        <f>'Resultater - Vestdanmark'!D310</f>
        <v>Areal-majs</v>
      </c>
      <c r="E310" s="94" t="str">
        <f>'Resultater - Vestdanmark'!E310</f>
        <v>Hektar</v>
      </c>
      <c r="F310" s="94" t="str">
        <f>'Resultater - Vestdanmark'!F310</f>
        <v>Gødning</v>
      </c>
      <c r="G310" s="94" t="str">
        <f>'Resultater - Vestdanmark'!G310</f>
        <v>kg N</v>
      </c>
      <c r="H310" s="252">
        <f>'Resultater - Vestdanmark'!H310+'Resultater - Østdanmark'!H310</f>
        <v>-167775.11450454078</v>
      </c>
      <c r="I310" s="253">
        <f>'Resultater - Vestdanmark'!I310+'Resultater - Østdanmark'!I310</f>
        <v>-121366.26502206421</v>
      </c>
      <c r="J310" s="254">
        <f>'Resultater - Vestdanmark'!J310+'Resultater - Østdanmark'!J310</f>
        <v>0</v>
      </c>
    </row>
    <row r="311" spans="1:10" x14ac:dyDescent="0.25">
      <c r="A311" s="94" t="str">
        <f>'Resultater - Vestdanmark'!A311</f>
        <v>Majsmark</v>
      </c>
      <c r="B311" s="94" t="str">
        <f>'Resultater - Vestdanmark'!B311</f>
        <v>Konventionel</v>
      </c>
      <c r="C311" s="94" t="str">
        <f>'Resultater - Vestdanmark'!C311</f>
        <v>OC12</v>
      </c>
      <c r="D311" s="94" t="str">
        <f>'Resultater - Vestdanmark'!D311</f>
        <v>Areal-majs</v>
      </c>
      <c r="E311" s="94" t="str">
        <f>'Resultater - Vestdanmark'!E311</f>
        <v>Hektar</v>
      </c>
      <c r="F311" s="94" t="str">
        <f>'Resultater - Vestdanmark'!F311</f>
        <v>CO2 - atmosfære</v>
      </c>
      <c r="G311" s="94" t="str">
        <f>'Resultater - Vestdanmark'!G311</f>
        <v>t CO2-ækvivalenter</v>
      </c>
      <c r="H311" s="252">
        <f>'Resultater - Vestdanmark'!H311+'Resultater - Østdanmark'!H311</f>
        <v>68706.752116598291</v>
      </c>
      <c r="I311" s="253">
        <f>'Resultater - Vestdanmark'!I311+'Resultater - Østdanmark'!I311</f>
        <v>49701.541917068134</v>
      </c>
      <c r="J311" s="254">
        <f>'Resultater - Vestdanmark'!J311+'Resultater - Østdanmark'!J311</f>
        <v>0</v>
      </c>
    </row>
    <row r="312" spans="1:10" x14ac:dyDescent="0.25">
      <c r="A312" s="94" t="str">
        <f>'Resultater - Vestdanmark'!A312</f>
        <v>Majsmark</v>
      </c>
      <c r="B312" s="94" t="str">
        <f>'Resultater - Vestdanmark'!B312</f>
        <v>Økologisk</v>
      </c>
      <c r="C312" s="94" t="str">
        <f>'Resultater - Vestdanmark'!C312</f>
        <v>JB1-10</v>
      </c>
      <c r="D312" s="94" t="str">
        <f>'Resultater - Vestdanmark'!D312</f>
        <v>Areal-majs</v>
      </c>
      <c r="E312" s="94" t="str">
        <f>'Resultater - Vestdanmark'!E312</f>
        <v>Hektar</v>
      </c>
      <c r="F312" s="94" t="str">
        <f>'Resultater - Vestdanmark'!F312</f>
        <v>Majs</v>
      </c>
      <c r="G312" s="94" t="str">
        <f>'Resultater - Vestdanmark'!G312</f>
        <v>Ton</v>
      </c>
      <c r="H312" s="252">
        <f>'Resultater - Vestdanmark'!H312+'Resultater - Østdanmark'!H312</f>
        <v>724255.98356433213</v>
      </c>
      <c r="I312" s="253">
        <f>'Resultater - Vestdanmark'!I312+'Resultater - Østdanmark'!I312</f>
        <v>870044.67820408987</v>
      </c>
      <c r="J312" s="254">
        <f>'Resultater - Vestdanmark'!J312+'Resultater - Østdanmark'!J312</f>
        <v>1138607.0717118566</v>
      </c>
    </row>
    <row r="313" spans="1:10" x14ac:dyDescent="0.25">
      <c r="A313" s="94" t="str">
        <f>'Resultater - Vestdanmark'!A313</f>
        <v>Majsmark</v>
      </c>
      <c r="B313" s="94" t="str">
        <f>'Resultater - Vestdanmark'!B313</f>
        <v>Økologisk</v>
      </c>
      <c r="C313" s="94" t="str">
        <f>'Resultater - Vestdanmark'!C313</f>
        <v>JB1-10</v>
      </c>
      <c r="D313" s="94" t="str">
        <f>'Resultater - Vestdanmark'!D313</f>
        <v>Areal-majs</v>
      </c>
      <c r="E313" s="94" t="str">
        <f>'Resultater - Vestdanmark'!E313</f>
        <v>Hektar</v>
      </c>
      <c r="F313" s="94" t="str">
        <f>'Resultater - Vestdanmark'!F313</f>
        <v>Gødning</v>
      </c>
      <c r="G313" s="94" t="str">
        <f>'Resultater - Vestdanmark'!G313</f>
        <v>kg N</v>
      </c>
      <c r="H313" s="252">
        <f>'Resultater - Vestdanmark'!H313+'Resultater - Østdanmark'!H313</f>
        <v>-2603481.405758102</v>
      </c>
      <c r="I313" s="253">
        <f>'Resultater - Vestdanmark'!I313+'Resultater - Østdanmark'!I313</f>
        <v>-2922941.7837985447</v>
      </c>
      <c r="J313" s="254">
        <f>'Resultater - Vestdanmark'!J313+'Resultater - Østdanmark'!J313</f>
        <v>-3559085.5298544941</v>
      </c>
    </row>
    <row r="314" spans="1:10" x14ac:dyDescent="0.25">
      <c r="A314" s="94" t="str">
        <f>'Resultater - Vestdanmark'!A314</f>
        <v>Majsmark</v>
      </c>
      <c r="B314" s="94" t="str">
        <f>'Resultater - Vestdanmark'!B314</f>
        <v>Økologisk</v>
      </c>
      <c r="C314" s="94" t="str">
        <f>'Resultater - Vestdanmark'!C314</f>
        <v>JB1-10</v>
      </c>
      <c r="D314" s="94" t="str">
        <f>'Resultater - Vestdanmark'!D314</f>
        <v>Areal-majs</v>
      </c>
      <c r="E314" s="94" t="str">
        <f>'Resultater - Vestdanmark'!E314</f>
        <v>Hektar</v>
      </c>
      <c r="F314" s="94" t="str">
        <f>'Resultater - Vestdanmark'!F314</f>
        <v>CO2 - atmosfære</v>
      </c>
      <c r="G314" s="94" t="str">
        <f>'Resultater - Vestdanmark'!G314</f>
        <v>t CO2-ækvivalenter</v>
      </c>
      <c r="H314" s="252">
        <f>'Resultater - Vestdanmark'!H314+'Resultater - Østdanmark'!H314</f>
        <v>44574.706386485894</v>
      </c>
      <c r="I314" s="253">
        <f>'Resultater - Vestdanmark'!I314+'Resultater - Østdanmark'!I314</f>
        <v>50044.249023423617</v>
      </c>
      <c r="J314" s="254">
        <f>'Resultater - Vestdanmark'!J314+'Resultater - Østdanmark'!J314</f>
        <v>60935.788574014834</v>
      </c>
    </row>
    <row r="315" spans="1:10" x14ac:dyDescent="0.25">
      <c r="A315" s="94" t="str">
        <f>'Resultater - Vestdanmark'!A315</f>
        <v>Majsmark</v>
      </c>
      <c r="B315" s="94" t="str">
        <f>'Resultater - Vestdanmark'!B315</f>
        <v>Økologisk</v>
      </c>
      <c r="C315" s="94" t="str">
        <f>'Resultater - Vestdanmark'!C315</f>
        <v>OC6</v>
      </c>
      <c r="D315" s="94" t="str">
        <f>'Resultater - Vestdanmark'!D315</f>
        <v>Areal-majs</v>
      </c>
      <c r="E315" s="94" t="str">
        <f>'Resultater - Vestdanmark'!E315</f>
        <v>Hektar</v>
      </c>
      <c r="F315" s="94" t="str">
        <f>'Resultater - Vestdanmark'!F315</f>
        <v>Majs</v>
      </c>
      <c r="G315" s="94" t="str">
        <f>'Resultater - Vestdanmark'!G315</f>
        <v>Ton</v>
      </c>
      <c r="H315" s="252">
        <f>'Resultater - Vestdanmark'!H315+'Resultater - Østdanmark'!H315</f>
        <v>27964.583254485577</v>
      </c>
      <c r="I315" s="253">
        <f>'Resultater - Vestdanmark'!I315+'Resultater - Østdanmark'!I315</f>
        <v>33633.071413205653</v>
      </c>
      <c r="J315" s="254">
        <f>'Resultater - Vestdanmark'!J315+'Resultater - Østdanmark'!J315</f>
        <v>38892.977257936851</v>
      </c>
    </row>
    <row r="316" spans="1:10" x14ac:dyDescent="0.25">
      <c r="A316" s="94" t="str">
        <f>'Resultater - Vestdanmark'!A316</f>
        <v>Majsmark</v>
      </c>
      <c r="B316" s="94" t="str">
        <f>'Resultater - Vestdanmark'!B316</f>
        <v>Økologisk</v>
      </c>
      <c r="C316" s="94" t="str">
        <f>'Resultater - Vestdanmark'!C316</f>
        <v>OC6</v>
      </c>
      <c r="D316" s="94" t="str">
        <f>'Resultater - Vestdanmark'!D316</f>
        <v>Areal-majs</v>
      </c>
      <c r="E316" s="94" t="str">
        <f>'Resultater - Vestdanmark'!E316</f>
        <v>Hektar</v>
      </c>
      <c r="F316" s="94" t="str">
        <f>'Resultater - Vestdanmark'!F316</f>
        <v>Gødning</v>
      </c>
      <c r="G316" s="94" t="str">
        <f>'Resultater - Vestdanmark'!G316</f>
        <v>kg N</v>
      </c>
      <c r="H316" s="252">
        <f>'Resultater - Vestdanmark'!H316+'Resultater - Østdanmark'!H316</f>
        <v>-68063.278347246393</v>
      </c>
      <c r="I316" s="253">
        <f>'Resultater - Vestdanmark'!I316+'Resultater - Østdanmark'!I316</f>
        <v>-76504.549779438661</v>
      </c>
      <c r="J316" s="254">
        <f>'Resultater - Vestdanmark'!J316+'Resultater - Østdanmark'!J316</f>
        <v>-82314.787485173336</v>
      </c>
    </row>
    <row r="317" spans="1:10" x14ac:dyDescent="0.25">
      <c r="A317" s="94" t="str">
        <f>'Resultater - Vestdanmark'!A317</f>
        <v>Majsmark</v>
      </c>
      <c r="B317" s="94" t="str">
        <f>'Resultater - Vestdanmark'!B317</f>
        <v>Økologisk</v>
      </c>
      <c r="C317" s="94" t="str">
        <f>'Resultater - Vestdanmark'!C317</f>
        <v>OC6</v>
      </c>
      <c r="D317" s="94" t="str">
        <f>'Resultater - Vestdanmark'!D317</f>
        <v>Areal-majs</v>
      </c>
      <c r="E317" s="94" t="str">
        <f>'Resultater - Vestdanmark'!E317</f>
        <v>Hektar</v>
      </c>
      <c r="F317" s="94" t="str">
        <f>'Resultater - Vestdanmark'!F317</f>
        <v>CO2 - atmosfære</v>
      </c>
      <c r="G317" s="94" t="str">
        <f>'Resultater - Vestdanmark'!G317</f>
        <v>t CO2-ækvivalenter</v>
      </c>
      <c r="H317" s="252">
        <f>'Resultater - Vestdanmark'!H317+'Resultater - Østdanmark'!H317</f>
        <v>10087.55463371877</v>
      </c>
      <c r="I317" s="253">
        <f>'Resultater - Vestdanmark'!I317+'Resultater - Østdanmark'!I317</f>
        <v>11338.622593094164</v>
      </c>
      <c r="J317" s="254">
        <f>'Resultater - Vestdanmark'!J317+'Resultater - Østdanmark'!J317</f>
        <v>12199.749058270705</v>
      </c>
    </row>
    <row r="318" spans="1:10" x14ac:dyDescent="0.25">
      <c r="A318" s="94" t="str">
        <f>'Resultater - Vestdanmark'!A318</f>
        <v>Majsmark</v>
      </c>
      <c r="B318" s="94" t="str">
        <f>'Resultater - Vestdanmark'!B318</f>
        <v>Økologisk</v>
      </c>
      <c r="C318" s="94" t="str">
        <f>'Resultater - Vestdanmark'!C318</f>
        <v>OC12</v>
      </c>
      <c r="D318" s="94" t="str">
        <f>'Resultater - Vestdanmark'!D318</f>
        <v>Areal-majs</v>
      </c>
      <c r="E318" s="94" t="str">
        <f>'Resultater - Vestdanmark'!E318</f>
        <v>Hektar</v>
      </c>
      <c r="F318" s="94" t="str">
        <f>'Resultater - Vestdanmark'!F318</f>
        <v>Majs</v>
      </c>
      <c r="G318" s="94" t="str">
        <f>'Resultater - Vestdanmark'!G318</f>
        <v>Ton</v>
      </c>
      <c r="H318" s="252">
        <f>'Resultater - Vestdanmark'!H318+'Resultater - Østdanmark'!H318</f>
        <v>11095.097161555068</v>
      </c>
      <c r="I318" s="253">
        <f>'Resultater - Vestdanmark'!I318+'Resultater - Østdanmark'!I318</f>
        <v>10482.458411248321</v>
      </c>
      <c r="J318" s="254">
        <f>'Resultater - Vestdanmark'!J318+'Resultater - Østdanmark'!J318</f>
        <v>0</v>
      </c>
    </row>
    <row r="319" spans="1:10" x14ac:dyDescent="0.25">
      <c r="A319" s="94" t="str">
        <f>'Resultater - Vestdanmark'!A319</f>
        <v>Majsmark</v>
      </c>
      <c r="B319" s="94" t="str">
        <f>'Resultater - Vestdanmark'!B319</f>
        <v>Økologisk</v>
      </c>
      <c r="C319" s="94" t="str">
        <f>'Resultater - Vestdanmark'!C319</f>
        <v>OC12</v>
      </c>
      <c r="D319" s="94" t="str">
        <f>'Resultater - Vestdanmark'!D319</f>
        <v>Areal-majs</v>
      </c>
      <c r="E319" s="94" t="str">
        <f>'Resultater - Vestdanmark'!E319</f>
        <v>Hektar</v>
      </c>
      <c r="F319" s="94" t="str">
        <f>'Resultater - Vestdanmark'!F319</f>
        <v>Gødning</v>
      </c>
      <c r="G319" s="94" t="str">
        <f>'Resultater - Vestdanmark'!G319</f>
        <v>kg N</v>
      </c>
      <c r="H319" s="252">
        <f>'Resultater - Vestdanmark'!H319+'Resultater - Østdanmark'!H319</f>
        <v>-17805.143565739752</v>
      </c>
      <c r="I319" s="253">
        <f>'Resultater - Vestdanmark'!I319+'Resultater - Østdanmark'!I319</f>
        <v>-15721.491324534445</v>
      </c>
      <c r="J319" s="254">
        <f>'Resultater - Vestdanmark'!J319+'Resultater - Østdanmark'!J319</f>
        <v>0</v>
      </c>
    </row>
    <row r="320" spans="1:10" x14ac:dyDescent="0.25">
      <c r="A320" s="94" t="str">
        <f>'Resultater - Vestdanmark'!A320</f>
        <v>Majsmark</v>
      </c>
      <c r="B320" s="94" t="str">
        <f>'Resultater - Vestdanmark'!B320</f>
        <v>Økologisk</v>
      </c>
      <c r="C320" s="94" t="str">
        <f>'Resultater - Vestdanmark'!C320</f>
        <v>OC12</v>
      </c>
      <c r="D320" s="94" t="str">
        <f>'Resultater - Vestdanmark'!D320</f>
        <v>Areal-majs</v>
      </c>
      <c r="E320" s="94" t="str">
        <f>'Resultater - Vestdanmark'!E320</f>
        <v>Hektar</v>
      </c>
      <c r="F320" s="94" t="str">
        <f>'Resultater - Vestdanmark'!F320</f>
        <v>CO2 - atmosfære</v>
      </c>
      <c r="G320" s="94" t="str">
        <f>'Resultater - Vestdanmark'!G320</f>
        <v>t CO2-ækvivalenter</v>
      </c>
      <c r="H320" s="252">
        <f>'Resultater - Vestdanmark'!H320+'Resultater - Østdanmark'!H320</f>
        <v>8784.9493671490909</v>
      </c>
      <c r="I320" s="253">
        <f>'Resultater - Vestdanmark'!I320+'Resultater - Østdanmark'!I320</f>
        <v>7756.8880448603441</v>
      </c>
      <c r="J320" s="254">
        <f>'Resultater - Vestdanmark'!J320+'Resultater - Østdanmark'!J320</f>
        <v>0</v>
      </c>
    </row>
    <row r="321" spans="1:10" x14ac:dyDescent="0.25">
      <c r="A321" s="94" t="str">
        <f>'Resultater - Vestdanmark'!A321</f>
        <v>Rapsmark</v>
      </c>
      <c r="B321" s="94" t="str">
        <f>'Resultater - Vestdanmark'!B321</f>
        <v>Konventionel</v>
      </c>
      <c r="C321" s="94" t="str">
        <f>'Resultater - Vestdanmark'!C321</f>
        <v>JB1-10</v>
      </c>
      <c r="D321" s="94" t="str">
        <f>'Resultater - Vestdanmark'!D321</f>
        <v>Areal-raps</v>
      </c>
      <c r="E321" s="94" t="str">
        <f>'Resultater - Vestdanmark'!E321</f>
        <v>Hektar</v>
      </c>
      <c r="F321" s="94" t="str">
        <f>'Resultater - Vestdanmark'!F321</f>
        <v>Raps</v>
      </c>
      <c r="G321" s="94" t="str">
        <f>'Resultater - Vestdanmark'!G321</f>
        <v>Ton</v>
      </c>
      <c r="H321" s="252">
        <f>'Resultater - Vestdanmark'!H321+'Resultater - Østdanmark'!H321</f>
        <v>613620.0150142312</v>
      </c>
      <c r="I321" s="253">
        <f>'Resultater - Vestdanmark'!I321+'Resultater - Østdanmark'!I321</f>
        <v>608266.98865067342</v>
      </c>
      <c r="J321" s="254">
        <f>'Resultater - Vestdanmark'!J321+'Resultater - Østdanmark'!J321</f>
        <v>590418.45177888963</v>
      </c>
    </row>
    <row r="322" spans="1:10" x14ac:dyDescent="0.25">
      <c r="A322" s="94" t="str">
        <f>'Resultater - Vestdanmark'!A322</f>
        <v>Rapsmark</v>
      </c>
      <c r="B322" s="94" t="str">
        <f>'Resultater - Vestdanmark'!B322</f>
        <v>Konventionel</v>
      </c>
      <c r="C322" s="94" t="str">
        <f>'Resultater - Vestdanmark'!C322</f>
        <v>JB1-10</v>
      </c>
      <c r="D322" s="94" t="str">
        <f>'Resultater - Vestdanmark'!D322</f>
        <v>Areal-raps</v>
      </c>
      <c r="E322" s="94" t="str">
        <f>'Resultater - Vestdanmark'!E322</f>
        <v>Hektar</v>
      </c>
      <c r="F322" s="94" t="str">
        <f>'Resultater - Vestdanmark'!F322</f>
        <v>Halm</v>
      </c>
      <c r="G322" s="94" t="str">
        <f>'Resultater - Vestdanmark'!G322</f>
        <v>Ton</v>
      </c>
      <c r="H322" s="252">
        <f>'Resultater - Vestdanmark'!H322+'Resultater - Østdanmark'!H322</f>
        <v>327737.51811917598</v>
      </c>
      <c r="I322" s="253">
        <f>'Resultater - Vestdanmark'!I322+'Resultater - Østdanmark'!I322</f>
        <v>437952.23182848486</v>
      </c>
      <c r="J322" s="254">
        <f>'Resultater - Vestdanmark'!J322+'Resultater - Østdanmark'!J322</f>
        <v>478238.94594090065</v>
      </c>
    </row>
    <row r="323" spans="1:10" x14ac:dyDescent="0.25">
      <c r="A323" s="94" t="str">
        <f>'Resultater - Vestdanmark'!A323</f>
        <v>Rapsmark</v>
      </c>
      <c r="B323" s="94" t="str">
        <f>'Resultater - Vestdanmark'!B323</f>
        <v>Konventionel</v>
      </c>
      <c r="C323" s="94" t="str">
        <f>'Resultater - Vestdanmark'!C323</f>
        <v>JB1-10</v>
      </c>
      <c r="D323" s="94" t="str">
        <f>'Resultater - Vestdanmark'!D323</f>
        <v>Areal-raps</v>
      </c>
      <c r="E323" s="94" t="str">
        <f>'Resultater - Vestdanmark'!E323</f>
        <v>Hektar</v>
      </c>
      <c r="F323" s="94" t="str">
        <f>'Resultater - Vestdanmark'!F323</f>
        <v>Gødning</v>
      </c>
      <c r="G323" s="94" t="str">
        <f>'Resultater - Vestdanmark'!G323</f>
        <v>kg N</v>
      </c>
      <c r="H323" s="252">
        <f>'Resultater - Vestdanmark'!H323+'Resultater - Østdanmark'!H323</f>
        <v>-24405341.506247833</v>
      </c>
      <c r="I323" s="253">
        <f>'Resultater - Vestdanmark'!I323+'Resultater - Østdanmark'!I323</f>
        <v>-22609754.251033951</v>
      </c>
      <c r="J323" s="254">
        <f>'Resultater - Vestdanmark'!J323+'Resultater - Østdanmark'!J323</f>
        <v>-20419610.486424051</v>
      </c>
    </row>
    <row r="324" spans="1:10" x14ac:dyDescent="0.25">
      <c r="A324" s="94" t="str">
        <f>'Resultater - Vestdanmark'!A324</f>
        <v>Rapsmark</v>
      </c>
      <c r="B324" s="94" t="str">
        <f>'Resultater - Vestdanmark'!B324</f>
        <v>Konventionel</v>
      </c>
      <c r="C324" s="94" t="str">
        <f>'Resultater - Vestdanmark'!C324</f>
        <v>JB1-10</v>
      </c>
      <c r="D324" s="94" t="str">
        <f>'Resultater - Vestdanmark'!D324</f>
        <v>Areal-raps</v>
      </c>
      <c r="E324" s="94" t="str">
        <f>'Resultater - Vestdanmark'!E324</f>
        <v>Hektar</v>
      </c>
      <c r="F324" s="94" t="str">
        <f>'Resultater - Vestdanmark'!F324</f>
        <v>CO2 - atmosfære</v>
      </c>
      <c r="G324" s="94" t="str">
        <f>'Resultater - Vestdanmark'!G324</f>
        <v>t CO2-ækvivalenter</v>
      </c>
      <c r="H324" s="252">
        <f>'Resultater - Vestdanmark'!H324+'Resultater - Østdanmark'!H324</f>
        <v>317087.35725322756</v>
      </c>
      <c r="I324" s="253">
        <f>'Resultater - Vestdanmark'!I324+'Resultater - Østdanmark'!I324</f>
        <v>293758.11937603622</v>
      </c>
      <c r="J324" s="254">
        <f>'Resultater - Vestdanmark'!J324+'Resultater - Østdanmark'!J324</f>
        <v>265302.59056702518</v>
      </c>
    </row>
    <row r="325" spans="1:10" x14ac:dyDescent="0.25">
      <c r="A325" s="94" t="str">
        <f>'Resultater - Vestdanmark'!A325</f>
        <v>Rapsmark</v>
      </c>
      <c r="B325" s="94" t="str">
        <f>'Resultater - Vestdanmark'!B325</f>
        <v>Konventionel</v>
      </c>
      <c r="C325" s="94" t="str">
        <f>'Resultater - Vestdanmark'!C325</f>
        <v>OC6</v>
      </c>
      <c r="D325" s="94" t="str">
        <f>'Resultater - Vestdanmark'!D325</f>
        <v>Areal-raps</v>
      </c>
      <c r="E325" s="94" t="str">
        <f>'Resultater - Vestdanmark'!E325</f>
        <v>Hektar</v>
      </c>
      <c r="F325" s="94" t="str">
        <f>'Resultater - Vestdanmark'!F325</f>
        <v>Raps</v>
      </c>
      <c r="G325" s="94" t="str">
        <f>'Resultater - Vestdanmark'!G325</f>
        <v>Ton</v>
      </c>
      <c r="H325" s="252">
        <f>'Resultater - Vestdanmark'!H325+'Resultater - Østdanmark'!H325</f>
        <v>13566.838006498305</v>
      </c>
      <c r="I325" s="253">
        <f>'Resultater - Vestdanmark'!I325+'Resultater - Østdanmark'!I325</f>
        <v>13371.955282074905</v>
      </c>
      <c r="J325" s="254">
        <f>'Resultater - Vestdanmark'!J325+'Resultater - Østdanmark'!J325</f>
        <v>11377.140901973276</v>
      </c>
    </row>
    <row r="326" spans="1:10" x14ac:dyDescent="0.25">
      <c r="A326" s="94" t="str">
        <f>'Resultater - Vestdanmark'!A326</f>
        <v>Rapsmark</v>
      </c>
      <c r="B326" s="94" t="str">
        <f>'Resultater - Vestdanmark'!B326</f>
        <v>Konventionel</v>
      </c>
      <c r="C326" s="94" t="str">
        <f>'Resultater - Vestdanmark'!C326</f>
        <v>OC6</v>
      </c>
      <c r="D326" s="94" t="str">
        <f>'Resultater - Vestdanmark'!D326</f>
        <v>Areal-raps</v>
      </c>
      <c r="E326" s="94" t="str">
        <f>'Resultater - Vestdanmark'!E326</f>
        <v>Hektar</v>
      </c>
      <c r="F326" s="94" t="str">
        <f>'Resultater - Vestdanmark'!F326</f>
        <v>Halm</v>
      </c>
      <c r="G326" s="94" t="str">
        <f>'Resultater - Vestdanmark'!G326</f>
        <v>Ton</v>
      </c>
      <c r="H326" s="252">
        <f>'Resultater - Vestdanmark'!H326+'Resultater - Østdanmark'!H326</f>
        <v>7246.116013460778</v>
      </c>
      <c r="I326" s="253">
        <f>'Resultater - Vestdanmark'!I326+'Resultater - Østdanmark'!I326</f>
        <v>9627.8078030939323</v>
      </c>
      <c r="J326" s="254">
        <f>'Resultater - Vestdanmark'!J326+'Resultater - Østdanmark'!J326</f>
        <v>9215.4841305983537</v>
      </c>
    </row>
    <row r="327" spans="1:10" x14ac:dyDescent="0.25">
      <c r="A327" s="94" t="str">
        <f>'Resultater - Vestdanmark'!A327</f>
        <v>Rapsmark</v>
      </c>
      <c r="B327" s="94" t="str">
        <f>'Resultater - Vestdanmark'!B327</f>
        <v>Konventionel</v>
      </c>
      <c r="C327" s="94" t="str">
        <f>'Resultater - Vestdanmark'!C327</f>
        <v>OC6</v>
      </c>
      <c r="D327" s="94" t="str">
        <f>'Resultater - Vestdanmark'!D327</f>
        <v>Areal-raps</v>
      </c>
      <c r="E327" s="94" t="str">
        <f>'Resultater - Vestdanmark'!E327</f>
        <v>Hektar</v>
      </c>
      <c r="F327" s="94" t="str">
        <f>'Resultater - Vestdanmark'!F327</f>
        <v>Gødning</v>
      </c>
      <c r="G327" s="94" t="str">
        <f>'Resultater - Vestdanmark'!G327</f>
        <v>kg N</v>
      </c>
      <c r="H327" s="252">
        <f>'Resultater - Vestdanmark'!H327+'Resultater - Østdanmark'!H327</f>
        <v>-372574.14979966939</v>
      </c>
      <c r="I327" s="253">
        <f>'Resultater - Vestdanmark'!I327+'Resultater - Østdanmark'!I327</f>
        <v>-343198.37084056588</v>
      </c>
      <c r="J327" s="254">
        <f>'Resultater - Vestdanmark'!J327+'Resultater - Østdanmark'!J327</f>
        <v>-271687.32391075842</v>
      </c>
    </row>
    <row r="328" spans="1:10" x14ac:dyDescent="0.25">
      <c r="A328" s="94" t="str">
        <f>'Resultater - Vestdanmark'!A328</f>
        <v>Rapsmark</v>
      </c>
      <c r="B328" s="94" t="str">
        <f>'Resultater - Vestdanmark'!B328</f>
        <v>Konventionel</v>
      </c>
      <c r="C328" s="94" t="str">
        <f>'Resultater - Vestdanmark'!C328</f>
        <v>OC6</v>
      </c>
      <c r="D328" s="94" t="str">
        <f>'Resultater - Vestdanmark'!D328</f>
        <v>Areal-raps</v>
      </c>
      <c r="E328" s="94" t="str">
        <f>'Resultater - Vestdanmark'!E328</f>
        <v>Hektar</v>
      </c>
      <c r="F328" s="94" t="str">
        <f>'Resultater - Vestdanmark'!F328</f>
        <v>CO2 - atmosfære</v>
      </c>
      <c r="G328" s="94" t="str">
        <f>'Resultater - Vestdanmark'!G328</f>
        <v>t CO2-ækvivalenter</v>
      </c>
      <c r="H328" s="252">
        <f>'Resultater - Vestdanmark'!H328+'Resultater - Østdanmark'!H328</f>
        <v>41090.289191876247</v>
      </c>
      <c r="I328" s="253">
        <f>'Resultater - Vestdanmark'!I328+'Resultater - Østdanmark'!I328</f>
        <v>37850.5065786294</v>
      </c>
      <c r="J328" s="254">
        <f>'Resultater - Vestdanmark'!J328+'Resultater - Østdanmark'!J328</f>
        <v>29963.728603454299</v>
      </c>
    </row>
    <row r="329" spans="1:10" x14ac:dyDescent="0.25">
      <c r="A329" s="94" t="str">
        <f>'Resultater - Vestdanmark'!A329</f>
        <v>Rapsmark</v>
      </c>
      <c r="B329" s="94" t="str">
        <f>'Resultater - Vestdanmark'!B329</f>
        <v>Konventionel</v>
      </c>
      <c r="C329" s="94" t="str">
        <f>'Resultater - Vestdanmark'!C329</f>
        <v>OC12</v>
      </c>
      <c r="D329" s="94" t="str">
        <f>'Resultater - Vestdanmark'!D329</f>
        <v>Areal-raps</v>
      </c>
      <c r="E329" s="94" t="str">
        <f>'Resultater - Vestdanmark'!E329</f>
        <v>Hektar</v>
      </c>
      <c r="F329" s="94" t="str">
        <f>'Resultater - Vestdanmark'!F329</f>
        <v>Raps</v>
      </c>
      <c r="G329" s="94" t="str">
        <f>'Resultater - Vestdanmark'!G329</f>
        <v>Ton</v>
      </c>
      <c r="H329" s="252">
        <f>'Resultater - Vestdanmark'!H329+'Resultater - Østdanmark'!H329</f>
        <v>6570.1536799285823</v>
      </c>
      <c r="I329" s="253">
        <f>'Resultater - Vestdanmark'!I329+'Resultater - Østdanmark'!I329</f>
        <v>5114.5274933839264</v>
      </c>
      <c r="J329" s="254">
        <f>'Resultater - Vestdanmark'!J329+'Resultater - Østdanmark'!J329</f>
        <v>0</v>
      </c>
    </row>
    <row r="330" spans="1:10" x14ac:dyDescent="0.25">
      <c r="A330" s="94" t="str">
        <f>'Resultater - Vestdanmark'!A330</f>
        <v>Rapsmark</v>
      </c>
      <c r="B330" s="94" t="str">
        <f>'Resultater - Vestdanmark'!B330</f>
        <v>Konventionel</v>
      </c>
      <c r="C330" s="94" t="str">
        <f>'Resultater - Vestdanmark'!C330</f>
        <v>OC12</v>
      </c>
      <c r="D330" s="94" t="str">
        <f>'Resultater - Vestdanmark'!D330</f>
        <v>Areal-raps</v>
      </c>
      <c r="E330" s="94" t="str">
        <f>'Resultater - Vestdanmark'!E330</f>
        <v>Hektar</v>
      </c>
      <c r="F330" s="94" t="str">
        <f>'Resultater - Vestdanmark'!F330</f>
        <v>Halm</v>
      </c>
      <c r="G330" s="94" t="str">
        <f>'Resultater - Vestdanmark'!G330</f>
        <v>Ton</v>
      </c>
      <c r="H330" s="252">
        <f>'Resultater - Vestdanmark'!H330+'Resultater - Østdanmark'!H330</f>
        <v>3509.1519312182554</v>
      </c>
      <c r="I330" s="253">
        <f>'Resultater - Vestdanmark'!I330+'Resultater - Østdanmark'!I330</f>
        <v>3682.4597952364265</v>
      </c>
      <c r="J330" s="254">
        <f>'Resultater - Vestdanmark'!J330+'Resultater - Østdanmark'!J330</f>
        <v>0</v>
      </c>
    </row>
    <row r="331" spans="1:10" x14ac:dyDescent="0.25">
      <c r="A331" s="94" t="str">
        <f>'Resultater - Vestdanmark'!A331</f>
        <v>Rapsmark</v>
      </c>
      <c r="B331" s="94" t="str">
        <f>'Resultater - Vestdanmark'!B331</f>
        <v>Konventionel</v>
      </c>
      <c r="C331" s="94" t="str">
        <f>'Resultater - Vestdanmark'!C331</f>
        <v>OC12</v>
      </c>
      <c r="D331" s="94" t="str">
        <f>'Resultater - Vestdanmark'!D331</f>
        <v>Areal-raps</v>
      </c>
      <c r="E331" s="94" t="str">
        <f>'Resultater - Vestdanmark'!E331</f>
        <v>Hektar</v>
      </c>
      <c r="F331" s="94" t="str">
        <f>'Resultater - Vestdanmark'!F331</f>
        <v>Gødning</v>
      </c>
      <c r="G331" s="94" t="str">
        <f>'Resultater - Vestdanmark'!G331</f>
        <v>kg N</v>
      </c>
      <c r="H331" s="252">
        <f>'Resultater - Vestdanmark'!H331+'Resultater - Østdanmark'!H331</f>
        <v>-122657.08980386153</v>
      </c>
      <c r="I331" s="253">
        <f>'Resultater - Vestdanmark'!I331+'Resultater - Østdanmark'!I331</f>
        <v>-89235.747927411008</v>
      </c>
      <c r="J331" s="254">
        <f>'Resultater - Vestdanmark'!J331+'Resultater - Østdanmark'!J331</f>
        <v>0</v>
      </c>
    </row>
    <row r="332" spans="1:10" x14ac:dyDescent="0.25">
      <c r="A332" s="94" t="str">
        <f>'Resultater - Vestdanmark'!A332</f>
        <v>Rapsmark</v>
      </c>
      <c r="B332" s="94" t="str">
        <f>'Resultater - Vestdanmark'!B332</f>
        <v>Konventionel</v>
      </c>
      <c r="C332" s="94" t="str">
        <f>'Resultater - Vestdanmark'!C332</f>
        <v>OC12</v>
      </c>
      <c r="D332" s="94" t="str">
        <f>'Resultater - Vestdanmark'!D332</f>
        <v>Areal-raps</v>
      </c>
      <c r="E332" s="94" t="str">
        <f>'Resultater - Vestdanmark'!E332</f>
        <v>Hektar</v>
      </c>
      <c r="F332" s="94" t="str">
        <f>'Resultater - Vestdanmark'!F332</f>
        <v>CO2 - atmosfære</v>
      </c>
      <c r="G332" s="94" t="str">
        <f>'Resultater - Vestdanmark'!G332</f>
        <v>t CO2-ækvivalenter</v>
      </c>
      <c r="H332" s="252">
        <f>'Resultater - Vestdanmark'!H332+'Resultater - Østdanmark'!H332</f>
        <v>43678.396988286549</v>
      </c>
      <c r="I332" s="253">
        <f>'Resultater - Vestdanmark'!I332+'Resultater - Østdanmark'!I332</f>
        <v>31777.000658933124</v>
      </c>
      <c r="J332" s="254">
        <f>'Resultater - Vestdanmark'!J332+'Resultater - Østdanmark'!J332</f>
        <v>0</v>
      </c>
    </row>
    <row r="333" spans="1:10" x14ac:dyDescent="0.25">
      <c r="A333" s="94" t="str">
        <f>'Resultater - Vestdanmark'!A333</f>
        <v>Rapsmark</v>
      </c>
      <c r="B333" s="94" t="str">
        <f>'Resultater - Vestdanmark'!B333</f>
        <v>Økologisk</v>
      </c>
      <c r="C333" s="94" t="str">
        <f>'Resultater - Vestdanmark'!C333</f>
        <v>JB1-10</v>
      </c>
      <c r="D333" s="94" t="str">
        <f>'Resultater - Vestdanmark'!D333</f>
        <v>Areal-raps</v>
      </c>
      <c r="E333" s="94" t="str">
        <f>'Resultater - Vestdanmark'!E333</f>
        <v>Hektar</v>
      </c>
      <c r="F333" s="94" t="str">
        <f>'Resultater - Vestdanmark'!F333</f>
        <v>Raps</v>
      </c>
      <c r="G333" s="94" t="str">
        <f>'Resultater - Vestdanmark'!G333</f>
        <v>Ton</v>
      </c>
      <c r="H333" s="252">
        <f>'Resultater - Vestdanmark'!H333+'Resultater - Østdanmark'!H333</f>
        <v>43152.111373008069</v>
      </c>
      <c r="I333" s="253">
        <f>'Resultater - Vestdanmark'!I333+'Resultater - Østdanmark'!I333</f>
        <v>52212.513187644523</v>
      </c>
      <c r="J333" s="254">
        <f>'Resultater - Vestdanmark'!J333+'Resultater - Østdanmark'!J333</f>
        <v>68882.152707537141</v>
      </c>
    </row>
    <row r="334" spans="1:10" x14ac:dyDescent="0.25">
      <c r="A334" s="94" t="str">
        <f>'Resultater - Vestdanmark'!A334</f>
        <v>Rapsmark</v>
      </c>
      <c r="B334" s="94" t="str">
        <f>'Resultater - Vestdanmark'!B334</f>
        <v>Økologisk</v>
      </c>
      <c r="C334" s="94" t="str">
        <f>'Resultater - Vestdanmark'!C334</f>
        <v>JB1-10</v>
      </c>
      <c r="D334" s="94" t="str">
        <f>'Resultater - Vestdanmark'!D334</f>
        <v>Areal-raps</v>
      </c>
      <c r="E334" s="94" t="str">
        <f>'Resultater - Vestdanmark'!E334</f>
        <v>Hektar</v>
      </c>
      <c r="F334" s="94" t="str">
        <f>'Resultater - Vestdanmark'!F334</f>
        <v>Halm</v>
      </c>
      <c r="G334" s="94" t="str">
        <f>'Resultater - Vestdanmark'!G334</f>
        <v>Ton</v>
      </c>
      <c r="H334" s="252">
        <f>'Resultater - Vestdanmark'!H334+'Resultater - Østdanmark'!H334</f>
        <v>23047.758444880474</v>
      </c>
      <c r="I334" s="253">
        <f>'Resultater - Vestdanmark'!I334+'Resultater - Østdanmark'!I334</f>
        <v>37593.009495104052</v>
      </c>
      <c r="J334" s="254">
        <f>'Resultater - Vestdanmark'!J334+'Resultater - Østdanmark'!J334</f>
        <v>55794.543693105072</v>
      </c>
    </row>
    <row r="335" spans="1:10" x14ac:dyDescent="0.25">
      <c r="A335" s="94" t="str">
        <f>'Resultater - Vestdanmark'!A335</f>
        <v>Rapsmark</v>
      </c>
      <c r="B335" s="94" t="str">
        <f>'Resultater - Vestdanmark'!B335</f>
        <v>Økologisk</v>
      </c>
      <c r="C335" s="94" t="str">
        <f>'Resultater - Vestdanmark'!C335</f>
        <v>JB1-10</v>
      </c>
      <c r="D335" s="94" t="str">
        <f>'Resultater - Vestdanmark'!D335</f>
        <v>Areal-raps</v>
      </c>
      <c r="E335" s="94" t="str">
        <f>'Resultater - Vestdanmark'!E335</f>
        <v>Hektar</v>
      </c>
      <c r="F335" s="94" t="str">
        <f>'Resultater - Vestdanmark'!F335</f>
        <v>Gødning</v>
      </c>
      <c r="G335" s="94" t="str">
        <f>'Resultater - Vestdanmark'!G335</f>
        <v>kg N</v>
      </c>
      <c r="H335" s="252">
        <f>'Resultater - Vestdanmark'!H335+'Resultater - Østdanmark'!H335</f>
        <v>-1716277.1568810029</v>
      </c>
      <c r="I335" s="253">
        <f>'Resultater - Vestdanmark'!I335+'Resultater - Østdanmark'!I335</f>
        <v>-1940779.4833980014</v>
      </c>
      <c r="J335" s="254">
        <f>'Resultater - Vestdanmark'!J335+'Resultater - Østdanmark'!J335</f>
        <v>-2382287.8900828063</v>
      </c>
    </row>
    <row r="336" spans="1:10" x14ac:dyDescent="0.25">
      <c r="A336" s="94" t="str">
        <f>'Resultater - Vestdanmark'!A336</f>
        <v>Rapsmark</v>
      </c>
      <c r="B336" s="94" t="str">
        <f>'Resultater - Vestdanmark'!B336</f>
        <v>Økologisk</v>
      </c>
      <c r="C336" s="94" t="str">
        <f>'Resultater - Vestdanmark'!C336</f>
        <v>JB1-10</v>
      </c>
      <c r="D336" s="94" t="str">
        <f>'Resultater - Vestdanmark'!D336</f>
        <v>Areal-raps</v>
      </c>
      <c r="E336" s="94" t="str">
        <f>'Resultater - Vestdanmark'!E336</f>
        <v>Hektar</v>
      </c>
      <c r="F336" s="94" t="str">
        <f>'Resultater - Vestdanmark'!F336</f>
        <v>CO2 - atmosfære</v>
      </c>
      <c r="G336" s="94" t="str">
        <f>'Resultater - Vestdanmark'!G336</f>
        <v>t CO2-ækvivalenter</v>
      </c>
      <c r="H336" s="252">
        <f>'Resultater - Vestdanmark'!H336+'Resultater - Østdanmark'!H336</f>
        <v>40543.269658642035</v>
      </c>
      <c r="I336" s="253">
        <f>'Resultater - Vestdanmark'!I336+'Resultater - Østdanmark'!I336</f>
        <v>45846.642908398724</v>
      </c>
      <c r="J336" s="254">
        <f>'Resultater - Vestdanmark'!J336+'Resultater - Østdanmark'!J336</f>
        <v>56276.307089975046</v>
      </c>
    </row>
    <row r="337" spans="1:10" x14ac:dyDescent="0.25">
      <c r="A337" s="94" t="str">
        <f>'Resultater - Vestdanmark'!A337</f>
        <v>Rapsmark</v>
      </c>
      <c r="B337" s="94" t="str">
        <f>'Resultater - Vestdanmark'!B337</f>
        <v>Økologisk</v>
      </c>
      <c r="C337" s="94" t="str">
        <f>'Resultater - Vestdanmark'!C337</f>
        <v>OC6</v>
      </c>
      <c r="D337" s="94" t="str">
        <f>'Resultater - Vestdanmark'!D337</f>
        <v>Areal-raps</v>
      </c>
      <c r="E337" s="94" t="str">
        <f>'Resultater - Vestdanmark'!E337</f>
        <v>Hektar</v>
      </c>
      <c r="F337" s="94" t="str">
        <f>'Resultater - Vestdanmark'!F337</f>
        <v>Raps</v>
      </c>
      <c r="G337" s="94" t="str">
        <f>'Resultater - Vestdanmark'!G337</f>
        <v>Ton</v>
      </c>
      <c r="H337" s="252">
        <f>'Resultater - Vestdanmark'!H337+'Resultater - Østdanmark'!H337</f>
        <v>954.07204835454411</v>
      </c>
      <c r="I337" s="253">
        <f>'Resultater - Vestdanmark'!I337+'Resultater - Østdanmark'!I337</f>
        <v>1147.8239071607652</v>
      </c>
      <c r="J337" s="254">
        <f>'Resultater - Vestdanmark'!J337+'Resultater - Østdanmark'!J337</f>
        <v>1327.3331052302156</v>
      </c>
    </row>
    <row r="338" spans="1:10" x14ac:dyDescent="0.25">
      <c r="A338" s="94" t="str">
        <f>'Resultater - Vestdanmark'!A338</f>
        <v>Rapsmark</v>
      </c>
      <c r="B338" s="94" t="str">
        <f>'Resultater - Vestdanmark'!B338</f>
        <v>Økologisk</v>
      </c>
      <c r="C338" s="94" t="str">
        <f>'Resultater - Vestdanmark'!C338</f>
        <v>OC6</v>
      </c>
      <c r="D338" s="94" t="str">
        <f>'Resultater - Vestdanmark'!D338</f>
        <v>Areal-raps</v>
      </c>
      <c r="E338" s="94" t="str">
        <f>'Resultater - Vestdanmark'!E338</f>
        <v>Hektar</v>
      </c>
      <c r="F338" s="94" t="str">
        <f>'Resultater - Vestdanmark'!F338</f>
        <v>Halm</v>
      </c>
      <c r="G338" s="94" t="str">
        <f>'Resultater - Vestdanmark'!G338</f>
        <v>Ton</v>
      </c>
      <c r="H338" s="252">
        <f>'Resultater - Vestdanmark'!H338+'Resultater - Østdanmark'!H338</f>
        <v>509.57465138640373</v>
      </c>
      <c r="I338" s="253">
        <f>'Resultater - Vestdanmark'!I338+'Resultater - Østdanmark'!I338</f>
        <v>826.43321315575088</v>
      </c>
      <c r="J338" s="254">
        <f>'Resultater - Vestdanmark'!J338+'Resultater - Østdanmark'!J338</f>
        <v>1075.1398152364745</v>
      </c>
    </row>
    <row r="339" spans="1:10" x14ac:dyDescent="0.25">
      <c r="A339" s="94" t="str">
        <f>'Resultater - Vestdanmark'!A339</f>
        <v>Rapsmark</v>
      </c>
      <c r="B339" s="94" t="str">
        <f>'Resultater - Vestdanmark'!B339</f>
        <v>Økologisk</v>
      </c>
      <c r="C339" s="94" t="str">
        <f>'Resultater - Vestdanmark'!C339</f>
        <v>OC6</v>
      </c>
      <c r="D339" s="94" t="str">
        <f>'Resultater - Vestdanmark'!D339</f>
        <v>Areal-raps</v>
      </c>
      <c r="E339" s="94" t="str">
        <f>'Resultater - Vestdanmark'!E339</f>
        <v>Hektar</v>
      </c>
      <c r="F339" s="94" t="str">
        <f>'Resultater - Vestdanmark'!F339</f>
        <v>Gødning</v>
      </c>
      <c r="G339" s="94" t="str">
        <f>'Resultater - Vestdanmark'!G339</f>
        <v>kg N</v>
      </c>
      <c r="H339" s="252">
        <f>'Resultater - Vestdanmark'!H339+'Resultater - Østdanmark'!H339</f>
        <v>-26200.842237009252</v>
      </c>
      <c r="I339" s="253">
        <f>'Resultater - Vestdanmark'!I339+'Resultater - Østdanmark'!I339</f>
        <v>-29459.513335158408</v>
      </c>
      <c r="J339" s="254">
        <f>'Resultater - Vestdanmark'!J339+'Resultater - Østdanmark'!J339</f>
        <v>-31696.854456255151</v>
      </c>
    </row>
    <row r="340" spans="1:10" x14ac:dyDescent="0.25">
      <c r="A340" s="94" t="str">
        <f>'Resultater - Vestdanmark'!A340</f>
        <v>Rapsmark</v>
      </c>
      <c r="B340" s="94" t="str">
        <f>'Resultater - Vestdanmark'!B340</f>
        <v>Økologisk</v>
      </c>
      <c r="C340" s="94" t="str">
        <f>'Resultater - Vestdanmark'!C340</f>
        <v>OC6</v>
      </c>
      <c r="D340" s="94" t="str">
        <f>'Resultater - Vestdanmark'!D340</f>
        <v>Areal-raps</v>
      </c>
      <c r="E340" s="94" t="str">
        <f>'Resultater - Vestdanmark'!E340</f>
        <v>Hektar</v>
      </c>
      <c r="F340" s="94" t="str">
        <f>'Resultater - Vestdanmark'!F340</f>
        <v>CO2 - atmosfære</v>
      </c>
      <c r="G340" s="94" t="str">
        <f>'Resultater - Vestdanmark'!G340</f>
        <v>t CO2-ækvivalenter</v>
      </c>
      <c r="H340" s="252">
        <f>'Resultater - Vestdanmark'!H340+'Resultater - Østdanmark'!H340</f>
        <v>5253.8665984320505</v>
      </c>
      <c r="I340" s="253">
        <f>'Resultater - Vestdanmark'!I340+'Resultater - Østdanmark'!I340</f>
        <v>5907.3044949306013</v>
      </c>
      <c r="J340" s="254">
        <f>'Resultater - Vestdanmark'!J340+'Resultater - Østdanmark'!J340</f>
        <v>6355.9424310357608</v>
      </c>
    </row>
    <row r="341" spans="1:10" x14ac:dyDescent="0.25">
      <c r="A341" s="94" t="str">
        <f>'Resultater - Vestdanmark'!A341</f>
        <v>Rapsmark</v>
      </c>
      <c r="B341" s="94" t="str">
        <f>'Resultater - Vestdanmark'!B341</f>
        <v>Økologisk</v>
      </c>
      <c r="C341" s="94" t="str">
        <f>'Resultater - Vestdanmark'!C341</f>
        <v>OC12</v>
      </c>
      <c r="D341" s="94" t="str">
        <f>'Resultater - Vestdanmark'!D341</f>
        <v>Areal-raps</v>
      </c>
      <c r="E341" s="94" t="str">
        <f>'Resultater - Vestdanmark'!E341</f>
        <v>Hektar</v>
      </c>
      <c r="F341" s="94" t="str">
        <f>'Resultater - Vestdanmark'!F341</f>
        <v>Raps</v>
      </c>
      <c r="G341" s="94" t="str">
        <f>'Resultater - Vestdanmark'!G341</f>
        <v>Ton</v>
      </c>
      <c r="H341" s="252">
        <f>'Resultater - Vestdanmark'!H341+'Resultater - Østdanmark'!H341</f>
        <v>462.03838922607775</v>
      </c>
      <c r="I341" s="253">
        <f>'Resultater - Vestdanmark'!I341+'Resultater - Østdanmark'!I341</f>
        <v>439.02157963440061</v>
      </c>
      <c r="J341" s="254">
        <f>'Resultater - Vestdanmark'!J341+'Resultater - Østdanmark'!J341</f>
        <v>0</v>
      </c>
    </row>
    <row r="342" spans="1:10" x14ac:dyDescent="0.25">
      <c r="A342" s="94" t="str">
        <f>'Resultater - Vestdanmark'!A342</f>
        <v>Rapsmark</v>
      </c>
      <c r="B342" s="94" t="str">
        <f>'Resultater - Vestdanmark'!B342</f>
        <v>Økologisk</v>
      </c>
      <c r="C342" s="94" t="str">
        <f>'Resultater - Vestdanmark'!C342</f>
        <v>OC12</v>
      </c>
      <c r="D342" s="94" t="str">
        <f>'Resultater - Vestdanmark'!D342</f>
        <v>Areal-raps</v>
      </c>
      <c r="E342" s="94" t="str">
        <f>'Resultater - Vestdanmark'!E342</f>
        <v>Hektar</v>
      </c>
      <c r="F342" s="94" t="str">
        <f>'Resultater - Vestdanmark'!F342</f>
        <v>Halm</v>
      </c>
      <c r="G342" s="94" t="str">
        <f>'Resultater - Vestdanmark'!G342</f>
        <v>Ton</v>
      </c>
      <c r="H342" s="252">
        <f>'Resultater - Vestdanmark'!H342+'Resultater - Østdanmark'!H342</f>
        <v>246.77701387759424</v>
      </c>
      <c r="I342" s="253">
        <f>'Resultater - Vestdanmark'!I342+'Resultater - Østdanmark'!I342</f>
        <v>316.09553733676842</v>
      </c>
      <c r="J342" s="254">
        <f>'Resultater - Vestdanmark'!J342+'Resultater - Østdanmark'!J342</f>
        <v>0</v>
      </c>
    </row>
    <row r="343" spans="1:10" x14ac:dyDescent="0.25">
      <c r="A343" s="94" t="str">
        <f>'Resultater - Vestdanmark'!A343</f>
        <v>Rapsmark</v>
      </c>
      <c r="B343" s="94" t="str">
        <f>'Resultater - Vestdanmark'!B343</f>
        <v>Økologisk</v>
      </c>
      <c r="C343" s="94" t="str">
        <f>'Resultater - Vestdanmark'!C343</f>
        <v>OC12</v>
      </c>
      <c r="D343" s="94" t="str">
        <f>'Resultater - Vestdanmark'!D343</f>
        <v>Areal-raps</v>
      </c>
      <c r="E343" s="94" t="str">
        <f>'Resultater - Vestdanmark'!E343</f>
        <v>Hektar</v>
      </c>
      <c r="F343" s="94" t="str">
        <f>'Resultater - Vestdanmark'!F343</f>
        <v>Gødning</v>
      </c>
      <c r="G343" s="94" t="str">
        <f>'Resultater - Vestdanmark'!G343</f>
        <v>kg N</v>
      </c>
      <c r="H343" s="252">
        <f>'Resultater - Vestdanmark'!H343+'Resultater - Østdanmark'!H343</f>
        <v>-8625.7166819803479</v>
      </c>
      <c r="I343" s="253">
        <f>'Resultater - Vestdanmark'!I343+'Resultater - Østdanmark'!I343</f>
        <v>-7659.8315417459753</v>
      </c>
      <c r="J343" s="254">
        <f>'Resultater - Vestdanmark'!J343+'Resultater - Østdanmark'!J343</f>
        <v>0</v>
      </c>
    </row>
    <row r="344" spans="1:10" x14ac:dyDescent="0.25">
      <c r="A344" s="94" t="str">
        <f>'Resultater - Vestdanmark'!A344</f>
        <v>Rapsmark</v>
      </c>
      <c r="B344" s="94" t="str">
        <f>'Resultater - Vestdanmark'!B344</f>
        <v>Økologisk</v>
      </c>
      <c r="C344" s="94" t="str">
        <f>'Resultater - Vestdanmark'!C344</f>
        <v>OC12</v>
      </c>
      <c r="D344" s="94" t="str">
        <f>'Resultater - Vestdanmark'!D344</f>
        <v>Areal-raps</v>
      </c>
      <c r="E344" s="94" t="str">
        <f>'Resultater - Vestdanmark'!E344</f>
        <v>Hektar</v>
      </c>
      <c r="F344" s="94" t="str">
        <f>'Resultater - Vestdanmark'!F344</f>
        <v>CO2 - atmosfære</v>
      </c>
      <c r="G344" s="94" t="str">
        <f>'Resultater - Vestdanmark'!G344</f>
        <v>t CO2-ækvivalenter</v>
      </c>
      <c r="H344" s="252">
        <f>'Resultater - Vestdanmark'!H344+'Resultater - Østdanmark'!H344</f>
        <v>5584.7859804107484</v>
      </c>
      <c r="I344" s="253">
        <f>'Resultater - Vestdanmark'!I344+'Resultater - Østdanmark'!I344</f>
        <v>4959.4162878103716</v>
      </c>
      <c r="J344" s="254">
        <f>'Resultater - Vestdanmark'!J344+'Resultater - Østdanmark'!J344</f>
        <v>0</v>
      </c>
    </row>
    <row r="345" spans="1:10" x14ac:dyDescent="0.25">
      <c r="A345" s="94" t="str">
        <f>'Resultater - Vestdanmark'!A345</f>
        <v>Frøgræsmark</v>
      </c>
      <c r="B345" s="94" t="str">
        <f>'Resultater - Vestdanmark'!B345</f>
        <v>Konventionel</v>
      </c>
      <c r="C345" s="94" t="str">
        <f>'Resultater - Vestdanmark'!C345</f>
        <v>JB1-10</v>
      </c>
      <c r="D345" s="94" t="str">
        <f>'Resultater - Vestdanmark'!D345</f>
        <v>Areal-frøgræs</v>
      </c>
      <c r="E345" s="94" t="str">
        <f>'Resultater - Vestdanmark'!E345</f>
        <v>Hektar</v>
      </c>
      <c r="F345" s="94" t="str">
        <f>'Resultater - Vestdanmark'!F345</f>
        <v>Frø</v>
      </c>
      <c r="G345" s="94" t="str">
        <f>'Resultater - Vestdanmark'!G345</f>
        <v>Ton</v>
      </c>
      <c r="H345" s="252">
        <f>'Resultater - Vestdanmark'!H345+'Resultater - Østdanmark'!H345</f>
        <v>1241441.5414695307</v>
      </c>
      <c r="I345" s="253">
        <f>'Resultater - Vestdanmark'!I345+'Resultater - Østdanmark'!I345</f>
        <v>1235687.6119201183</v>
      </c>
      <c r="J345" s="254">
        <f>'Resultater - Vestdanmark'!J345+'Resultater - Østdanmark'!J345</f>
        <v>1204907.9399650127</v>
      </c>
    </row>
    <row r="346" spans="1:10" x14ac:dyDescent="0.25">
      <c r="A346" s="94" t="str">
        <f>'Resultater - Vestdanmark'!A346</f>
        <v>Frøgræsmark</v>
      </c>
      <c r="B346" s="94" t="str">
        <f>'Resultater - Vestdanmark'!B346</f>
        <v>Konventionel</v>
      </c>
      <c r="C346" s="94" t="str">
        <f>'Resultater - Vestdanmark'!C346</f>
        <v>JB1-10</v>
      </c>
      <c r="D346" s="94" t="str">
        <f>'Resultater - Vestdanmark'!D346</f>
        <v>Areal-frøgræs</v>
      </c>
      <c r="E346" s="94" t="str">
        <f>'Resultater - Vestdanmark'!E346</f>
        <v>Hektar</v>
      </c>
      <c r="F346" s="94" t="str">
        <f>'Resultater - Vestdanmark'!F346</f>
        <v>Halm</v>
      </c>
      <c r="G346" s="94" t="str">
        <f>'Resultater - Vestdanmark'!G346</f>
        <v>Ton</v>
      </c>
      <c r="H346" s="252">
        <f>'Resultater - Vestdanmark'!H346+'Resultater - Østdanmark'!H346</f>
        <v>206239.95017814124</v>
      </c>
      <c r="I346" s="253">
        <f>'Resultater - Vestdanmark'!I346+'Resultater - Østdanmark'!I346</f>
        <v>276733.07373487885</v>
      </c>
      <c r="J346" s="254">
        <f>'Resultater - Vestdanmark'!J346+'Resultater - Østdanmark'!J346</f>
        <v>303569.93863153527</v>
      </c>
    </row>
    <row r="347" spans="1:10" x14ac:dyDescent="0.25">
      <c r="A347" s="94" t="str">
        <f>'Resultater - Vestdanmark'!A347</f>
        <v>Frøgræsmark</v>
      </c>
      <c r="B347" s="94" t="str">
        <f>'Resultater - Vestdanmark'!B347</f>
        <v>Konventionel</v>
      </c>
      <c r="C347" s="94" t="str">
        <f>'Resultater - Vestdanmark'!C347</f>
        <v>JB1-10</v>
      </c>
      <c r="D347" s="94" t="str">
        <f>'Resultater - Vestdanmark'!D347</f>
        <v>Areal-frøgræs</v>
      </c>
      <c r="E347" s="94" t="str">
        <f>'Resultater - Vestdanmark'!E347</f>
        <v>Hektar</v>
      </c>
      <c r="F347" s="94" t="str">
        <f>'Resultater - Vestdanmark'!F347</f>
        <v>Gødning</v>
      </c>
      <c r="G347" s="94" t="str">
        <f>'Resultater - Vestdanmark'!G347</f>
        <v>kg N</v>
      </c>
      <c r="H347" s="252">
        <f>'Resultater - Vestdanmark'!H347+'Resultater - Østdanmark'!H347</f>
        <v>-13032265.787648994</v>
      </c>
      <c r="I347" s="253">
        <f>'Resultater - Vestdanmark'!I347+'Resultater - Østdanmark'!I347</f>
        <v>-12123236.290955557</v>
      </c>
      <c r="J347" s="254">
        <f>'Resultater - Vestdanmark'!J347+'Resultater - Østdanmark'!J347</f>
        <v>-10998910.819983162</v>
      </c>
    </row>
    <row r="348" spans="1:10" x14ac:dyDescent="0.25">
      <c r="A348" s="94" t="str">
        <f>'Resultater - Vestdanmark'!A348</f>
        <v>Frøgræsmark</v>
      </c>
      <c r="B348" s="94" t="str">
        <f>'Resultater - Vestdanmark'!B348</f>
        <v>Konventionel</v>
      </c>
      <c r="C348" s="94" t="str">
        <f>'Resultater - Vestdanmark'!C348</f>
        <v>JB1-10</v>
      </c>
      <c r="D348" s="94" t="str">
        <f>'Resultater - Vestdanmark'!D348</f>
        <v>Areal-frøgræs</v>
      </c>
      <c r="E348" s="94" t="str">
        <f>'Resultater - Vestdanmark'!E348</f>
        <v>Hektar</v>
      </c>
      <c r="F348" s="94" t="str">
        <f>'Resultater - Vestdanmark'!F348</f>
        <v>CO2 - atmosfære</v>
      </c>
      <c r="G348" s="94" t="str">
        <f>'Resultater - Vestdanmark'!G348</f>
        <v>t CO2-ækvivalenter</v>
      </c>
      <c r="H348" s="252">
        <f>'Resultater - Vestdanmark'!H348+'Resultater - Østdanmark'!H348</f>
        <v>197542.59544633992</v>
      </c>
      <c r="I348" s="253">
        <f>'Resultater - Vestdanmark'!I348+'Resultater - Østdanmark'!I348</f>
        <v>183763.56046960651</v>
      </c>
      <c r="J348" s="254">
        <f>'Resultater - Vestdanmark'!J348+'Resultater - Østdanmark'!J348</f>
        <v>166721.07719913736</v>
      </c>
    </row>
    <row r="349" spans="1:10" x14ac:dyDescent="0.25">
      <c r="A349" s="94" t="str">
        <f>'Resultater - Vestdanmark'!A349</f>
        <v>Frøgræsmark</v>
      </c>
      <c r="B349" s="94" t="str">
        <f>'Resultater - Vestdanmark'!B349</f>
        <v>Konventionel</v>
      </c>
      <c r="C349" s="94" t="str">
        <f>'Resultater - Vestdanmark'!C349</f>
        <v>OC6</v>
      </c>
      <c r="D349" s="94" t="str">
        <f>'Resultater - Vestdanmark'!D349</f>
        <v>Areal-frøgræs</v>
      </c>
      <c r="E349" s="94" t="str">
        <f>'Resultater - Vestdanmark'!E349</f>
        <v>Hektar</v>
      </c>
      <c r="F349" s="94" t="str">
        <f>'Resultater - Vestdanmark'!F349</f>
        <v>Frø</v>
      </c>
      <c r="G349" s="94" t="str">
        <f>'Resultater - Vestdanmark'!G349</f>
        <v>Ton</v>
      </c>
      <c r="H349" s="252">
        <f>'Resultater - Vestdanmark'!H349+'Resultater - Østdanmark'!H349</f>
        <v>87728.525972100848</v>
      </c>
      <c r="I349" s="253">
        <f>'Resultater - Vestdanmark'!I349+'Resultater - Østdanmark'!I349</f>
        <v>86486.850848499191</v>
      </c>
      <c r="J349" s="254">
        <f>'Resultater - Vestdanmark'!J349+'Resultater - Østdanmark'!J349</f>
        <v>73584.832398470375</v>
      </c>
    </row>
    <row r="350" spans="1:10" x14ac:dyDescent="0.25">
      <c r="A350" s="94" t="str">
        <f>'Resultater - Vestdanmark'!A350</f>
        <v>Frøgræsmark</v>
      </c>
      <c r="B350" s="94" t="str">
        <f>'Resultater - Vestdanmark'!B350</f>
        <v>Konventionel</v>
      </c>
      <c r="C350" s="94" t="str">
        <f>'Resultater - Vestdanmark'!C350</f>
        <v>OC6</v>
      </c>
      <c r="D350" s="94" t="str">
        <f>'Resultater - Vestdanmark'!D350</f>
        <v>Areal-frøgræs</v>
      </c>
      <c r="E350" s="94" t="str">
        <f>'Resultater - Vestdanmark'!E350</f>
        <v>Hektar</v>
      </c>
      <c r="F350" s="94" t="str">
        <f>'Resultater - Vestdanmark'!F350</f>
        <v>Halm</v>
      </c>
      <c r="G350" s="94" t="str">
        <f>'Resultater - Vestdanmark'!G350</f>
        <v>Ton</v>
      </c>
      <c r="H350" s="252">
        <f>'Resultater - Vestdanmark'!H350+'Resultater - Østdanmark'!H350</f>
        <v>14574.288213579908</v>
      </c>
      <c r="I350" s="253">
        <f>'Resultater - Vestdanmark'!I350+'Resultater - Østdanmark'!I350</f>
        <v>19368.78855309137</v>
      </c>
      <c r="J350" s="254">
        <f>'Resultater - Vestdanmark'!J350+'Resultater - Østdanmark'!J350</f>
        <v>18539.294426148525</v>
      </c>
    </row>
    <row r="351" spans="1:10" x14ac:dyDescent="0.25">
      <c r="A351" s="94" t="str">
        <f>'Resultater - Vestdanmark'!A351</f>
        <v>Frøgræsmark</v>
      </c>
      <c r="B351" s="94" t="str">
        <f>'Resultater - Vestdanmark'!B351</f>
        <v>Konventionel</v>
      </c>
      <c r="C351" s="94" t="str">
        <f>'Resultater - Vestdanmark'!C351</f>
        <v>OC6</v>
      </c>
      <c r="D351" s="94" t="str">
        <f>'Resultater - Vestdanmark'!D351</f>
        <v>Areal-frøgræs</v>
      </c>
      <c r="E351" s="94" t="str">
        <f>'Resultater - Vestdanmark'!E351</f>
        <v>Hektar</v>
      </c>
      <c r="F351" s="94" t="str">
        <f>'Resultater - Vestdanmark'!F351</f>
        <v>Gødning</v>
      </c>
      <c r="G351" s="94" t="str">
        <f>'Resultater - Vestdanmark'!G351</f>
        <v>kg N</v>
      </c>
      <c r="H351" s="252">
        <f>'Resultater - Vestdanmark'!H351+'Resultater - Østdanmark'!H351</f>
        <v>-690710.01096458826</v>
      </c>
      <c r="I351" s="253">
        <f>'Resultater - Vestdanmark'!I351+'Resultater - Østdanmark'!I351</f>
        <v>-636386.89025197981</v>
      </c>
      <c r="J351" s="254">
        <f>'Resultater - Vestdanmark'!J351+'Resultater - Østdanmark'!J351</f>
        <v>-503785.17462360126</v>
      </c>
    </row>
    <row r="352" spans="1:10" x14ac:dyDescent="0.25">
      <c r="A352" s="94" t="str">
        <f>'Resultater - Vestdanmark'!A352</f>
        <v>Frøgræsmark</v>
      </c>
      <c r="B352" s="94" t="str">
        <f>'Resultater - Vestdanmark'!B352</f>
        <v>Konventionel</v>
      </c>
      <c r="C352" s="94" t="str">
        <f>'Resultater - Vestdanmark'!C352</f>
        <v>OC6</v>
      </c>
      <c r="D352" s="94" t="str">
        <f>'Resultater - Vestdanmark'!D352</f>
        <v>Areal-frøgræs</v>
      </c>
      <c r="E352" s="94" t="str">
        <f>'Resultater - Vestdanmark'!E352</f>
        <v>Hektar</v>
      </c>
      <c r="F352" s="94" t="str">
        <f>'Resultater - Vestdanmark'!F352</f>
        <v>CO2 - atmosfære</v>
      </c>
      <c r="G352" s="94" t="str">
        <f>'Resultater - Vestdanmark'!G352</f>
        <v>t CO2-ækvivalenter</v>
      </c>
      <c r="H352" s="252">
        <f>'Resultater - Vestdanmark'!H352+'Resultater - Østdanmark'!H352</f>
        <v>81819.432532653533</v>
      </c>
      <c r="I352" s="253">
        <f>'Resultater - Vestdanmark'!I352+'Resultater - Østdanmark'!I352</f>
        <v>75384.478876919791</v>
      </c>
      <c r="J352" s="254">
        <f>'Resultater - Vestdanmark'!J352+'Resultater - Østdanmark'!J352</f>
        <v>59676.878070006831</v>
      </c>
    </row>
    <row r="353" spans="1:10" x14ac:dyDescent="0.25">
      <c r="A353" s="94" t="str">
        <f>'Resultater - Vestdanmark'!A353</f>
        <v>Frøgræsmark</v>
      </c>
      <c r="B353" s="94" t="str">
        <f>'Resultater - Vestdanmark'!B353</f>
        <v>Konventionel</v>
      </c>
      <c r="C353" s="94" t="str">
        <f>'Resultater - Vestdanmark'!C353</f>
        <v>OC12</v>
      </c>
      <c r="D353" s="94" t="str">
        <f>'Resultater - Vestdanmark'!D353</f>
        <v>Areal-frøgræs</v>
      </c>
      <c r="E353" s="94" t="str">
        <f>'Resultater - Vestdanmark'!E353</f>
        <v>Hektar</v>
      </c>
      <c r="F353" s="94" t="str">
        <f>'Resultater - Vestdanmark'!F353</f>
        <v>Frø</v>
      </c>
      <c r="G353" s="94" t="str">
        <f>'Resultater - Vestdanmark'!G353</f>
        <v>Ton</v>
      </c>
      <c r="H353" s="252">
        <f>'Resultater - Vestdanmark'!H353+'Resultater - Østdanmark'!H353</f>
        <v>76654.605084511393</v>
      </c>
      <c r="I353" s="253">
        <f>'Resultater - Vestdanmark'!I353+'Resultater - Østdanmark'!I353</f>
        <v>59900.193224667826</v>
      </c>
      <c r="J353" s="254">
        <f>'Resultater - Vestdanmark'!J353+'Resultater - Østdanmark'!J353</f>
        <v>0</v>
      </c>
    </row>
    <row r="354" spans="1:10" x14ac:dyDescent="0.25">
      <c r="A354" s="94" t="str">
        <f>'Resultater - Vestdanmark'!A354</f>
        <v>Frøgræsmark</v>
      </c>
      <c r="B354" s="94" t="str">
        <f>'Resultater - Vestdanmark'!B354</f>
        <v>Konventionel</v>
      </c>
      <c r="C354" s="94" t="str">
        <f>'Resultater - Vestdanmark'!C354</f>
        <v>OC12</v>
      </c>
      <c r="D354" s="94" t="str">
        <f>'Resultater - Vestdanmark'!D354</f>
        <v>Areal-frøgræs</v>
      </c>
      <c r="E354" s="94" t="str">
        <f>'Resultater - Vestdanmark'!E354</f>
        <v>Hektar</v>
      </c>
      <c r="F354" s="94" t="str">
        <f>'Resultater - Vestdanmark'!F354</f>
        <v>Halm</v>
      </c>
      <c r="G354" s="94" t="str">
        <f>'Resultater - Vestdanmark'!G354</f>
        <v>Ton</v>
      </c>
      <c r="H354" s="252">
        <f>'Resultater - Vestdanmark'!H354+'Resultater - Østdanmark'!H354</f>
        <v>12734.584275986817</v>
      </c>
      <c r="I354" s="253">
        <f>'Resultater - Vestdanmark'!I354+'Resultater - Østdanmark'!I354</f>
        <v>13414.688654697853</v>
      </c>
      <c r="J354" s="254">
        <f>'Resultater - Vestdanmark'!J354+'Resultater - Østdanmark'!J354</f>
        <v>0</v>
      </c>
    </row>
    <row r="355" spans="1:10" x14ac:dyDescent="0.25">
      <c r="A355" s="94" t="str">
        <f>'Resultater - Vestdanmark'!A355</f>
        <v>Frøgræsmark</v>
      </c>
      <c r="B355" s="94" t="str">
        <f>'Resultater - Vestdanmark'!B355</f>
        <v>Konventionel</v>
      </c>
      <c r="C355" s="94" t="str">
        <f>'Resultater - Vestdanmark'!C355</f>
        <v>OC12</v>
      </c>
      <c r="D355" s="94" t="str">
        <f>'Resultater - Vestdanmark'!D355</f>
        <v>Areal-frøgræs</v>
      </c>
      <c r="E355" s="94" t="str">
        <f>'Resultater - Vestdanmark'!E355</f>
        <v>Hektar</v>
      </c>
      <c r="F355" s="94" t="str">
        <f>'Resultater - Vestdanmark'!F355</f>
        <v>Gødning</v>
      </c>
      <c r="G355" s="94" t="str">
        <f>'Resultater - Vestdanmark'!G355</f>
        <v>kg N</v>
      </c>
      <c r="H355" s="252">
        <f>'Resultater - Vestdanmark'!H355+'Resultater - Østdanmark'!H355</f>
        <v>-459826.35229782818</v>
      </c>
      <c r="I355" s="253">
        <f>'Resultater - Vestdanmark'!I355+'Resultater - Østdanmark'!I355</f>
        <v>-335814.96966032672</v>
      </c>
      <c r="J355" s="254">
        <f>'Resultater - Vestdanmark'!J355+'Resultater - Østdanmark'!J355</f>
        <v>0</v>
      </c>
    </row>
    <row r="356" spans="1:10" x14ac:dyDescent="0.25">
      <c r="A356" s="94" t="str">
        <f>'Resultater - Vestdanmark'!A356</f>
        <v>Frøgræsmark</v>
      </c>
      <c r="B356" s="94" t="str">
        <f>'Resultater - Vestdanmark'!B356</f>
        <v>Konventionel</v>
      </c>
      <c r="C356" s="94" t="str">
        <f>'Resultater - Vestdanmark'!C356</f>
        <v>OC12</v>
      </c>
      <c r="D356" s="94" t="str">
        <f>'Resultater - Vestdanmark'!D356</f>
        <v>Areal-frøgræs</v>
      </c>
      <c r="E356" s="94" t="str">
        <f>'Resultater - Vestdanmark'!E356</f>
        <v>Hektar</v>
      </c>
      <c r="F356" s="94" t="str">
        <f>'Resultater - Vestdanmark'!F356</f>
        <v>CO2 - atmosfære</v>
      </c>
      <c r="G356" s="94" t="str">
        <f>'Resultater - Vestdanmark'!G356</f>
        <v>t CO2-ækvivalenter</v>
      </c>
      <c r="H356" s="252">
        <f>'Resultater - Vestdanmark'!H356+'Resultater - Østdanmark'!H356</f>
        <v>156922.23534513626</v>
      </c>
      <c r="I356" s="253">
        <f>'Resultater - Vestdanmark'!I356+'Resultater - Østdanmark'!I356</f>
        <v>114601.60001296751</v>
      </c>
      <c r="J356" s="254">
        <f>'Resultater - Vestdanmark'!J356+'Resultater - Østdanmark'!J356</f>
        <v>0</v>
      </c>
    </row>
    <row r="357" spans="1:10" x14ac:dyDescent="0.25">
      <c r="A357" s="94" t="str">
        <f>'Resultater - Vestdanmark'!A357</f>
        <v>Frøgræsmark</v>
      </c>
      <c r="B357" s="94" t="str">
        <f>'Resultater - Vestdanmark'!B357</f>
        <v>Økologisk</v>
      </c>
      <c r="C357" s="94" t="str">
        <f>'Resultater - Vestdanmark'!C357</f>
        <v>JB1-10</v>
      </c>
      <c r="D357" s="94" t="str">
        <f>'Resultater - Vestdanmark'!D357</f>
        <v>Areal-frøgræs</v>
      </c>
      <c r="E357" s="94" t="str">
        <f>'Resultater - Vestdanmark'!E357</f>
        <v>Hektar</v>
      </c>
      <c r="F357" s="94" t="str">
        <f>'Resultater - Vestdanmark'!F357</f>
        <v>Frø</v>
      </c>
      <c r="G357" s="94" t="str">
        <f>'Resultater - Vestdanmark'!G357</f>
        <v>Ton</v>
      </c>
      <c r="H357" s="252">
        <f>'Resultater - Vestdanmark'!H357+'Resultater - Østdanmark'!H357</f>
        <v>90477.579370643434</v>
      </c>
      <c r="I357" s="253">
        <f>'Resultater - Vestdanmark'!I357+'Resultater - Østdanmark'!I357</f>
        <v>109926.19854017699</v>
      </c>
      <c r="J357" s="254">
        <f>'Resultater - Vestdanmark'!J357+'Resultater - Østdanmark'!J357</f>
        <v>145684.32365031517</v>
      </c>
    </row>
    <row r="358" spans="1:10" x14ac:dyDescent="0.25">
      <c r="A358" s="94" t="str">
        <f>'Resultater - Vestdanmark'!A358</f>
        <v>Frøgræsmark</v>
      </c>
      <c r="B358" s="94" t="str">
        <f>'Resultater - Vestdanmark'!B358</f>
        <v>Økologisk</v>
      </c>
      <c r="C358" s="94" t="str">
        <f>'Resultater - Vestdanmark'!C358</f>
        <v>JB1-10</v>
      </c>
      <c r="D358" s="94" t="str">
        <f>'Resultater - Vestdanmark'!D358</f>
        <v>Areal-frøgræs</v>
      </c>
      <c r="E358" s="94" t="str">
        <f>'Resultater - Vestdanmark'!E358</f>
        <v>Hektar</v>
      </c>
      <c r="F358" s="94" t="str">
        <f>'Resultater - Vestdanmark'!F358</f>
        <v>Halm</v>
      </c>
      <c r="G358" s="94" t="str">
        <f>'Resultater - Vestdanmark'!G358</f>
        <v>Ton</v>
      </c>
      <c r="H358" s="252">
        <f>'Resultater - Vestdanmark'!H358+'Resultater - Østdanmark'!H358</f>
        <v>15030.986831286333</v>
      </c>
      <c r="I358" s="253">
        <f>'Resultater - Vestdanmark'!I358+'Resultater - Østdanmark'!I358</f>
        <v>24618.046270403382</v>
      </c>
      <c r="J358" s="254">
        <f>'Resultater - Vestdanmark'!J358+'Resultater - Østdanmark'!J358</f>
        <v>36704.365307267442</v>
      </c>
    </row>
    <row r="359" spans="1:10" x14ac:dyDescent="0.25">
      <c r="A359" s="94" t="str">
        <f>'Resultater - Vestdanmark'!A359</f>
        <v>Frøgræsmark</v>
      </c>
      <c r="B359" s="94" t="str">
        <f>'Resultater - Vestdanmark'!B359</f>
        <v>Økologisk</v>
      </c>
      <c r="C359" s="94" t="str">
        <f>'Resultater - Vestdanmark'!C359</f>
        <v>JB1-10</v>
      </c>
      <c r="D359" s="94" t="str">
        <f>'Resultater - Vestdanmark'!D359</f>
        <v>Areal-frøgræs</v>
      </c>
      <c r="E359" s="94" t="str">
        <f>'Resultater - Vestdanmark'!E359</f>
        <v>Hektar</v>
      </c>
      <c r="F359" s="94" t="str">
        <f>'Resultater - Vestdanmark'!F359</f>
        <v>Gødning</v>
      </c>
      <c r="G359" s="94" t="str">
        <f>'Resultater - Vestdanmark'!G359</f>
        <v>kg N</v>
      </c>
      <c r="H359" s="252">
        <f>'Resultater - Vestdanmark'!H359+'Resultater - Østdanmark'!H359</f>
        <v>-949805.38574983133</v>
      </c>
      <c r="I359" s="253">
        <f>'Resultater - Vestdanmark'!I359+'Resultater - Østdanmark'!I359</f>
        <v>-1078477.494322578</v>
      </c>
      <c r="J359" s="254">
        <f>'Resultater - Vestdanmark'!J359+'Resultater - Østdanmark'!J359</f>
        <v>-1329868.3082343277</v>
      </c>
    </row>
    <row r="360" spans="1:10" x14ac:dyDescent="0.25">
      <c r="A360" s="94" t="str">
        <f>'Resultater - Vestdanmark'!A360</f>
        <v>Frøgræsmark</v>
      </c>
      <c r="B360" s="94" t="str">
        <f>'Resultater - Vestdanmark'!B360</f>
        <v>Økologisk</v>
      </c>
      <c r="C360" s="94" t="str">
        <f>'Resultater - Vestdanmark'!C360</f>
        <v>JB1-10</v>
      </c>
      <c r="D360" s="94" t="str">
        <f>'Resultater - Vestdanmark'!D360</f>
        <v>Areal-frøgræs</v>
      </c>
      <c r="E360" s="94" t="str">
        <f>'Resultater - Vestdanmark'!E360</f>
        <v>Hektar</v>
      </c>
      <c r="F360" s="94" t="str">
        <f>'Resultater - Vestdanmark'!F360</f>
        <v>CO2 - atmosfære</v>
      </c>
      <c r="G360" s="94" t="str">
        <f>'Resultater - Vestdanmark'!G360</f>
        <v>t CO2-ækvivalenter</v>
      </c>
      <c r="H360" s="252">
        <f>'Resultater - Vestdanmark'!H360+'Resultater - Østdanmark'!H360</f>
        <v>25258.095389318682</v>
      </c>
      <c r="I360" s="253">
        <f>'Resultater - Vestdanmark'!I360+'Resultater - Østdanmark'!I360</f>
        <v>28679.862038609106</v>
      </c>
      <c r="J360" s="254">
        <f>'Resultater - Vestdanmark'!J360+'Resultater - Østdanmark'!J360</f>
        <v>35365.076981635204</v>
      </c>
    </row>
    <row r="361" spans="1:10" x14ac:dyDescent="0.25">
      <c r="A361" s="94" t="str">
        <f>'Resultater - Vestdanmark'!A361</f>
        <v>Frøgræsmark</v>
      </c>
      <c r="B361" s="94" t="str">
        <f>'Resultater - Vestdanmark'!B361</f>
        <v>Økologisk</v>
      </c>
      <c r="C361" s="94" t="str">
        <f>'Resultater - Vestdanmark'!C361</f>
        <v>OC6</v>
      </c>
      <c r="D361" s="94" t="str">
        <f>'Resultater - Vestdanmark'!D361</f>
        <v>Areal-frøgræs</v>
      </c>
      <c r="E361" s="94" t="str">
        <f>'Resultater - Vestdanmark'!E361</f>
        <v>Hektar</v>
      </c>
      <c r="F361" s="94" t="str">
        <f>'Resultater - Vestdanmark'!F361</f>
        <v>Frø</v>
      </c>
      <c r="G361" s="94" t="str">
        <f>'Resultater - Vestdanmark'!G361</f>
        <v>Ton</v>
      </c>
      <c r="H361" s="252">
        <f>'Resultater - Vestdanmark'!H361+'Resultater - Østdanmark'!H361</f>
        <v>6393.7482407061234</v>
      </c>
      <c r="I361" s="253">
        <f>'Resultater - Vestdanmark'!I361+'Resultater - Østdanmark'!I361</f>
        <v>7693.8302575630205</v>
      </c>
      <c r="J361" s="254">
        <f>'Resultater - Vestdanmark'!J361+'Resultater - Østdanmark'!J361</f>
        <v>8897.0751899968709</v>
      </c>
    </row>
    <row r="362" spans="1:10" x14ac:dyDescent="0.25">
      <c r="A362" s="94" t="str">
        <f>'Resultater - Vestdanmark'!A362</f>
        <v>Frøgræsmark</v>
      </c>
      <c r="B362" s="94" t="str">
        <f>'Resultater - Vestdanmark'!B362</f>
        <v>Økologisk</v>
      </c>
      <c r="C362" s="94" t="str">
        <f>'Resultater - Vestdanmark'!C362</f>
        <v>OC6</v>
      </c>
      <c r="D362" s="94" t="str">
        <f>'Resultater - Vestdanmark'!D362</f>
        <v>Areal-frøgræs</v>
      </c>
      <c r="E362" s="94" t="str">
        <f>'Resultater - Vestdanmark'!E362</f>
        <v>Hektar</v>
      </c>
      <c r="F362" s="94" t="str">
        <f>'Resultater - Vestdanmark'!F362</f>
        <v>Halm</v>
      </c>
      <c r="G362" s="94" t="str">
        <f>'Resultater - Vestdanmark'!G362</f>
        <v>Ton</v>
      </c>
      <c r="H362" s="252">
        <f>'Resultater - Vestdanmark'!H362+'Resultater - Østdanmark'!H362</f>
        <v>1062.1896195401109</v>
      </c>
      <c r="I362" s="253">
        <f>'Resultater - Vestdanmark'!I362+'Resultater - Østdanmark'!I362</f>
        <v>1723.0384730177811</v>
      </c>
      <c r="J362" s="254">
        <f>'Resultater - Vestdanmark'!J362+'Resultater - Østdanmark'!J362</f>
        <v>2241.5692351615935</v>
      </c>
    </row>
    <row r="363" spans="1:10" x14ac:dyDescent="0.25">
      <c r="A363" s="94" t="str">
        <f>'Resultater - Vestdanmark'!A363</f>
        <v>Frøgræsmark</v>
      </c>
      <c r="B363" s="94" t="str">
        <f>'Resultater - Vestdanmark'!B363</f>
        <v>Økologisk</v>
      </c>
      <c r="C363" s="94" t="str">
        <f>'Resultater - Vestdanmark'!C363</f>
        <v>OC6</v>
      </c>
      <c r="D363" s="94" t="str">
        <f>'Resultater - Vestdanmark'!D363</f>
        <v>Areal-frøgræs</v>
      </c>
      <c r="E363" s="94" t="str">
        <f>'Resultater - Vestdanmark'!E363</f>
        <v>Hektar</v>
      </c>
      <c r="F363" s="94" t="str">
        <f>'Resultater - Vestdanmark'!F363</f>
        <v>Gødning</v>
      </c>
      <c r="G363" s="94" t="str">
        <f>'Resultater - Vestdanmark'!G363</f>
        <v>kg N</v>
      </c>
      <c r="H363" s="252">
        <f>'Resultater - Vestdanmark'!H363+'Resultater - Østdanmark'!H363</f>
        <v>-50339.679921755182</v>
      </c>
      <c r="I363" s="253">
        <f>'Resultater - Vestdanmark'!I363+'Resultater - Østdanmark'!I363</f>
        <v>-56612.683473861085</v>
      </c>
      <c r="J363" s="254">
        <f>'Resultater - Vestdanmark'!J363+'Resultater - Østdanmark'!J363</f>
        <v>-60912.20747721722</v>
      </c>
    </row>
    <row r="364" spans="1:10" x14ac:dyDescent="0.25">
      <c r="A364" s="94" t="str">
        <f>'Resultater - Vestdanmark'!A364</f>
        <v>Frøgræsmark</v>
      </c>
      <c r="B364" s="94" t="str">
        <f>'Resultater - Vestdanmark'!B364</f>
        <v>Økologisk</v>
      </c>
      <c r="C364" s="94" t="str">
        <f>'Resultater - Vestdanmark'!C364</f>
        <v>OC6</v>
      </c>
      <c r="D364" s="94" t="str">
        <f>'Resultater - Vestdanmark'!D364</f>
        <v>Areal-frøgræs</v>
      </c>
      <c r="E364" s="94" t="str">
        <f>'Resultater - Vestdanmark'!E364</f>
        <v>Hektar</v>
      </c>
      <c r="F364" s="94" t="str">
        <f>'Resultater - Vestdanmark'!F364</f>
        <v>CO2 - atmosfære</v>
      </c>
      <c r="G364" s="94" t="str">
        <f>'Resultater - Vestdanmark'!G364</f>
        <v>t CO2-ækvivalenter</v>
      </c>
      <c r="H364" s="252">
        <f>'Resultater - Vestdanmark'!H364+'Resultater - Østdanmark'!H364</f>
        <v>10461.556541465279</v>
      </c>
      <c r="I364" s="253">
        <f>'Resultater - Vestdanmark'!I364+'Resultater - Østdanmark'!I364</f>
        <v>11765.207685993264</v>
      </c>
      <c r="J364" s="254">
        <f>'Resultater - Vestdanmark'!J364+'Resultater - Østdanmark'!J364</f>
        <v>12658.73171181963</v>
      </c>
    </row>
    <row r="365" spans="1:10" x14ac:dyDescent="0.25">
      <c r="A365" s="94" t="str">
        <f>'Resultater - Vestdanmark'!A365</f>
        <v>Frøgræsmark</v>
      </c>
      <c r="B365" s="94" t="str">
        <f>'Resultater - Vestdanmark'!B365</f>
        <v>Økologisk</v>
      </c>
      <c r="C365" s="94" t="str">
        <f>'Resultater - Vestdanmark'!C365</f>
        <v>OC12</v>
      </c>
      <c r="D365" s="94" t="str">
        <f>'Resultater - Vestdanmark'!D365</f>
        <v>Areal-frøgræs</v>
      </c>
      <c r="E365" s="94" t="str">
        <f>'Resultater - Vestdanmark'!E365</f>
        <v>Hektar</v>
      </c>
      <c r="F365" s="94" t="str">
        <f>'Resultater - Vestdanmark'!F365</f>
        <v>Frø</v>
      </c>
      <c r="G365" s="94" t="str">
        <f>'Resultater - Vestdanmark'!G365</f>
        <v>Ton</v>
      </c>
      <c r="H365" s="252">
        <f>'Resultater - Vestdanmark'!H365+'Resultater - Østdanmark'!H365</f>
        <v>5586.669113270872</v>
      </c>
      <c r="I365" s="253">
        <f>'Resultater - Vestdanmark'!I365+'Resultater - Østdanmark'!I365</f>
        <v>5328.6934897551328</v>
      </c>
      <c r="J365" s="254">
        <f>'Resultater - Vestdanmark'!J365+'Resultater - Østdanmark'!J365</f>
        <v>0</v>
      </c>
    </row>
    <row r="366" spans="1:10" x14ac:dyDescent="0.25">
      <c r="A366" s="94" t="str">
        <f>'Resultater - Vestdanmark'!A366</f>
        <v>Frøgræsmark</v>
      </c>
      <c r="B366" s="94" t="str">
        <f>'Resultater - Vestdanmark'!B366</f>
        <v>Økologisk</v>
      </c>
      <c r="C366" s="94" t="str">
        <f>'Resultater - Vestdanmark'!C366</f>
        <v>OC12</v>
      </c>
      <c r="D366" s="94" t="str">
        <f>'Resultater - Vestdanmark'!D366</f>
        <v>Areal-frøgræs</v>
      </c>
      <c r="E366" s="94" t="str">
        <f>'Resultater - Vestdanmark'!E366</f>
        <v>Hektar</v>
      </c>
      <c r="F366" s="94" t="str">
        <f>'Resultater - Vestdanmark'!F366</f>
        <v>Halm</v>
      </c>
      <c r="G366" s="94" t="str">
        <f>'Resultater - Vestdanmark'!G366</f>
        <v>Ton</v>
      </c>
      <c r="H366" s="252">
        <f>'Resultater - Vestdanmark'!H366+'Resultater - Østdanmark'!H366</f>
        <v>928.11004070224612</v>
      </c>
      <c r="I366" s="253">
        <f>'Resultater - Vestdanmark'!I366+'Resultater - Østdanmark'!I366</f>
        <v>1193.3644993976877</v>
      </c>
      <c r="J366" s="254">
        <f>'Resultater - Vestdanmark'!J366+'Resultater - Østdanmark'!J366</f>
        <v>0</v>
      </c>
    </row>
    <row r="367" spans="1:10" x14ac:dyDescent="0.25">
      <c r="A367" s="94" t="str">
        <f>'Resultater - Vestdanmark'!A367</f>
        <v>Frøgræsmark</v>
      </c>
      <c r="B367" s="94" t="str">
        <f>'Resultater - Vestdanmark'!B367</f>
        <v>Økologisk</v>
      </c>
      <c r="C367" s="94" t="str">
        <f>'Resultater - Vestdanmark'!C367</f>
        <v>OC12</v>
      </c>
      <c r="D367" s="94" t="str">
        <f>'Resultater - Vestdanmark'!D367</f>
        <v>Areal-frøgræs</v>
      </c>
      <c r="E367" s="94" t="str">
        <f>'Resultater - Vestdanmark'!E367</f>
        <v>Hektar</v>
      </c>
      <c r="F367" s="94" t="str">
        <f>'Resultater - Vestdanmark'!F367</f>
        <v>Gødning</v>
      </c>
      <c r="G367" s="94" t="str">
        <f>'Resultater - Vestdanmark'!G367</f>
        <v>kg N</v>
      </c>
      <c r="H367" s="252">
        <f>'Resultater - Vestdanmark'!H367+'Resultater - Østdanmark'!H367</f>
        <v>-33512.633416062716</v>
      </c>
      <c r="I367" s="253">
        <f>'Resultater - Vestdanmark'!I367+'Resultater - Østdanmark'!I367</f>
        <v>-29873.944410823286</v>
      </c>
      <c r="J367" s="254">
        <f>'Resultater - Vestdanmark'!J367+'Resultater - Østdanmark'!J367</f>
        <v>0</v>
      </c>
    </row>
    <row r="368" spans="1:10" x14ac:dyDescent="0.25">
      <c r="A368" s="94" t="str">
        <f>'Resultater - Vestdanmark'!A368</f>
        <v>Frøgræsmark</v>
      </c>
      <c r="B368" s="94" t="str">
        <f>'Resultater - Vestdanmark'!B368</f>
        <v>Økologisk</v>
      </c>
      <c r="C368" s="94" t="str">
        <f>'Resultater - Vestdanmark'!C368</f>
        <v>OC12</v>
      </c>
      <c r="D368" s="94" t="str">
        <f>'Resultater - Vestdanmark'!D368</f>
        <v>Areal-frøgræs</v>
      </c>
      <c r="E368" s="94" t="str">
        <f>'Resultater - Vestdanmark'!E368</f>
        <v>Hektar</v>
      </c>
      <c r="F368" s="94" t="str">
        <f>'Resultater - Vestdanmark'!F368</f>
        <v>CO2 - atmosfære</v>
      </c>
      <c r="G368" s="94" t="str">
        <f>'Resultater - Vestdanmark'!G368</f>
        <v>t CO2-ækvivalenter</v>
      </c>
      <c r="H368" s="252">
        <f>'Resultater - Vestdanmark'!H368+'Resultater - Østdanmark'!H368</f>
        <v>20064.314636026029</v>
      </c>
      <c r="I368" s="253">
        <f>'Resultater - Vestdanmark'!I368+'Resultater - Østdanmark'!I368</f>
        <v>17885.798845954469</v>
      </c>
      <c r="J368" s="254">
        <f>'Resultater - Vestdanmark'!J368+'Resultater - Østdanmark'!J368</f>
        <v>0</v>
      </c>
    </row>
    <row r="369" spans="1:10" x14ac:dyDescent="0.25">
      <c r="A369" s="94" t="str">
        <f>'Resultater - Vestdanmark'!A369</f>
        <v>Juletræsmark</v>
      </c>
      <c r="B369" s="94" t="str">
        <f>'Resultater - Vestdanmark'!B369</f>
        <v>Konventionel</v>
      </c>
      <c r="C369" s="94" t="str">
        <f>'Resultater - Vestdanmark'!C369</f>
        <v>JB1-10</v>
      </c>
      <c r="D369" s="94" t="str">
        <f>'Resultater - Vestdanmark'!D369</f>
        <v>Areal-juletræer</v>
      </c>
      <c r="E369" s="94" t="str">
        <f>'Resultater - Vestdanmark'!E369</f>
        <v>Hektar</v>
      </c>
      <c r="F369" s="94" t="str">
        <f>'Resultater - Vestdanmark'!F369</f>
        <v>Juletræer</v>
      </c>
      <c r="G369" s="94" t="str">
        <f>'Resultater - Vestdanmark'!G369</f>
        <v>Ton</v>
      </c>
      <c r="H369" s="252">
        <f>'Resultater - Vestdanmark'!H369+'Resultater - Østdanmark'!H369</f>
        <v>804386.70310434792</v>
      </c>
      <c r="I369" s="253">
        <f>'Resultater - Vestdanmark'!I369+'Resultater - Østdanmark'!I369</f>
        <v>794416.35449039564</v>
      </c>
      <c r="J369" s="254">
        <f>'Resultater - Vestdanmark'!J369+'Resultater - Østdanmark'!J369</f>
        <v>767917.75190239109</v>
      </c>
    </row>
    <row r="370" spans="1:10" x14ac:dyDescent="0.25">
      <c r="A370" s="94" t="str">
        <f>'Resultater - Vestdanmark'!A370</f>
        <v>Juletræsmark</v>
      </c>
      <c r="B370" s="94" t="str">
        <f>'Resultater - Vestdanmark'!B370</f>
        <v>Konventionel</v>
      </c>
      <c r="C370" s="94" t="str">
        <f>'Resultater - Vestdanmark'!C370</f>
        <v>JB1-10</v>
      </c>
      <c r="D370" s="94" t="str">
        <f>'Resultater - Vestdanmark'!D370</f>
        <v>Areal-juletræer</v>
      </c>
      <c r="E370" s="94" t="str">
        <f>'Resultater - Vestdanmark'!E370</f>
        <v>Hektar</v>
      </c>
      <c r="F370" s="94" t="str">
        <f>'Resultater - Vestdanmark'!F370</f>
        <v>Gødning</v>
      </c>
      <c r="G370" s="94" t="str">
        <f>'Resultater - Vestdanmark'!G370</f>
        <v>kg N</v>
      </c>
      <c r="H370" s="252">
        <f>'Resultater - Vestdanmark'!H370+'Resultater - Østdanmark'!H370</f>
        <v>-1769650.7468295656</v>
      </c>
      <c r="I370" s="253">
        <f>'Resultater - Vestdanmark'!I370+'Resultater - Østdanmark'!I370</f>
        <v>-1633379.4204475423</v>
      </c>
      <c r="J370" s="254">
        <f>'Resultater - Vestdanmark'!J370+'Resultater - Østdanmark'!J370</f>
        <v>-1469060.0471176177</v>
      </c>
    </row>
    <row r="371" spans="1:10" x14ac:dyDescent="0.25">
      <c r="A371" s="94" t="str">
        <f>'Resultater - Vestdanmark'!A371</f>
        <v>Juletræsmark</v>
      </c>
      <c r="B371" s="94" t="str">
        <f>'Resultater - Vestdanmark'!B371</f>
        <v>Konventionel</v>
      </c>
      <c r="C371" s="94" t="str">
        <f>'Resultater - Vestdanmark'!C371</f>
        <v>JB1-10</v>
      </c>
      <c r="D371" s="94" t="str">
        <f>'Resultater - Vestdanmark'!D371</f>
        <v>Areal-juletræer</v>
      </c>
      <c r="E371" s="94" t="str">
        <f>'Resultater - Vestdanmark'!E371</f>
        <v>Hektar</v>
      </c>
      <c r="F371" s="94" t="str">
        <f>'Resultater - Vestdanmark'!F371</f>
        <v>CO2 - atmosfære</v>
      </c>
      <c r="G371" s="94" t="str">
        <f>'Resultater - Vestdanmark'!G371</f>
        <v>t CO2-ækvivalenter</v>
      </c>
      <c r="H371" s="252">
        <f>'Resultater - Vestdanmark'!H371+'Resultater - Østdanmark'!H371</f>
        <v>31623.568231448324</v>
      </c>
      <c r="I371" s="253">
        <f>'Resultater - Vestdanmark'!I371+'Resultater - Østdanmark'!I371</f>
        <v>29188.40660673091</v>
      </c>
      <c r="J371" s="254">
        <f>'Resultater - Vestdanmark'!J371+'Resultater - Østdanmark'!J371</f>
        <v>26252.027819245694</v>
      </c>
    </row>
    <row r="372" spans="1:10" x14ac:dyDescent="0.25">
      <c r="A372" s="94" t="str">
        <f>'Resultater - Vestdanmark'!A372</f>
        <v>Juletræsmark</v>
      </c>
      <c r="B372" s="94" t="str">
        <f>'Resultater - Vestdanmark'!B372</f>
        <v>Konventionel</v>
      </c>
      <c r="C372" s="94" t="str">
        <f>'Resultater - Vestdanmark'!C372</f>
        <v>OC6</v>
      </c>
      <c r="D372" s="94" t="str">
        <f>'Resultater - Vestdanmark'!D372</f>
        <v>Areal-juletræer</v>
      </c>
      <c r="E372" s="94" t="str">
        <f>'Resultater - Vestdanmark'!E372</f>
        <v>Hektar</v>
      </c>
      <c r="F372" s="94" t="str">
        <f>'Resultater - Vestdanmark'!F372</f>
        <v>Juletræer</v>
      </c>
      <c r="G372" s="94" t="str">
        <f>'Resultater - Vestdanmark'!G372</f>
        <v>Ton</v>
      </c>
      <c r="H372" s="252">
        <f>'Resultater - Vestdanmark'!H372+'Resultater - Østdanmark'!H372</f>
        <v>27393.452669089784</v>
      </c>
      <c r="I372" s="253">
        <f>'Resultater - Vestdanmark'!I372+'Resultater - Østdanmark'!I372</f>
        <v>26995.365438628607</v>
      </c>
      <c r="J372" s="254">
        <f>'Resultater - Vestdanmark'!J372+'Resultater - Østdanmark'!J372</f>
        <v>22968.224901802128</v>
      </c>
    </row>
    <row r="373" spans="1:10" x14ac:dyDescent="0.25">
      <c r="A373" s="94" t="str">
        <f>'Resultater - Vestdanmark'!A373</f>
        <v>Juletræsmark</v>
      </c>
      <c r="B373" s="94" t="str">
        <f>'Resultater - Vestdanmark'!B373</f>
        <v>Konventionel</v>
      </c>
      <c r="C373" s="94" t="str">
        <f>'Resultater - Vestdanmark'!C373</f>
        <v>OC6</v>
      </c>
      <c r="D373" s="94" t="str">
        <f>'Resultater - Vestdanmark'!D373</f>
        <v>Areal-juletræer</v>
      </c>
      <c r="E373" s="94" t="str">
        <f>'Resultater - Vestdanmark'!E373</f>
        <v>Hektar</v>
      </c>
      <c r="F373" s="94" t="str">
        <f>'Resultater - Vestdanmark'!F373</f>
        <v>Gødning</v>
      </c>
      <c r="G373" s="94" t="str">
        <f>'Resultater - Vestdanmark'!G373</f>
        <v>kg N</v>
      </c>
      <c r="H373" s="252">
        <f>'Resultater - Vestdanmark'!H373+'Resultater - Østdanmark'!H373</f>
        <v>-45655.75444848297</v>
      </c>
      <c r="I373" s="253">
        <f>'Resultater - Vestdanmark'!I373+'Resultater - Østdanmark'!I373</f>
        <v>-42048.855823409045</v>
      </c>
      <c r="J373" s="254">
        <f>'Resultater - Vestdanmark'!J373+'Resultater - Østdanmark'!J373</f>
        <v>-33287.282466379897</v>
      </c>
    </row>
    <row r="374" spans="1:10" x14ac:dyDescent="0.25">
      <c r="A374" s="94" t="str">
        <f>'Resultater - Vestdanmark'!A374</f>
        <v>Juletræsmark</v>
      </c>
      <c r="B374" s="94" t="str">
        <f>'Resultater - Vestdanmark'!B374</f>
        <v>Konventionel</v>
      </c>
      <c r="C374" s="94" t="str">
        <f>'Resultater - Vestdanmark'!C374</f>
        <v>OC6</v>
      </c>
      <c r="D374" s="94" t="str">
        <f>'Resultater - Vestdanmark'!D374</f>
        <v>Areal-juletræer</v>
      </c>
      <c r="E374" s="94" t="str">
        <f>'Resultater - Vestdanmark'!E374</f>
        <v>Hektar</v>
      </c>
      <c r="F374" s="94" t="str">
        <f>'Resultater - Vestdanmark'!F374</f>
        <v>CO2 - atmosfære</v>
      </c>
      <c r="G374" s="94" t="str">
        <f>'Resultater - Vestdanmark'!G374</f>
        <v>t CO2-ækvivalenter</v>
      </c>
      <c r="H374" s="252">
        <f>'Resultater - Vestdanmark'!H374+'Resultater - Østdanmark'!H374</f>
        <v>4867.6770004669015</v>
      </c>
      <c r="I374" s="253">
        <f>'Resultater - Vestdanmark'!I374+'Resultater - Østdanmark'!I374</f>
        <v>4483.1204929164842</v>
      </c>
      <c r="J374" s="254">
        <f>'Resultater - Vestdanmark'!J374+'Resultater - Østdanmark'!J374</f>
        <v>3548.9883198070011</v>
      </c>
    </row>
    <row r="375" spans="1:10" x14ac:dyDescent="0.25">
      <c r="A375" s="94" t="str">
        <f>'Resultater - Vestdanmark'!A375</f>
        <v>Juletræsmark</v>
      </c>
      <c r="B375" s="94" t="str">
        <f>'Resultater - Vestdanmark'!B375</f>
        <v>Konventionel</v>
      </c>
      <c r="C375" s="94" t="str">
        <f>'Resultater - Vestdanmark'!C375</f>
        <v>OC12</v>
      </c>
      <c r="D375" s="94" t="str">
        <f>'Resultater - Vestdanmark'!D375</f>
        <v>Areal-juletræer</v>
      </c>
      <c r="E375" s="94" t="str">
        <f>'Resultater - Vestdanmark'!E375</f>
        <v>Hektar</v>
      </c>
      <c r="F375" s="94" t="str">
        <f>'Resultater - Vestdanmark'!F375</f>
        <v>Juletræer</v>
      </c>
      <c r="G375" s="94" t="str">
        <f>'Resultater - Vestdanmark'!G375</f>
        <v>Ton</v>
      </c>
      <c r="H375" s="252">
        <f>'Resultater - Vestdanmark'!H375+'Resultater - Østdanmark'!H375</f>
        <v>18360.165184548681</v>
      </c>
      <c r="I375" s="253">
        <f>'Resultater - Vestdanmark'!I375+'Resultater - Østdanmark'!I375</f>
        <v>14248.491952542727</v>
      </c>
      <c r="J375" s="254">
        <f>'Resultater - Vestdanmark'!J375+'Resultater - Østdanmark'!J375</f>
        <v>0</v>
      </c>
    </row>
    <row r="376" spans="1:10" x14ac:dyDescent="0.25">
      <c r="A376" s="94" t="str">
        <f>'Resultater - Vestdanmark'!A376</f>
        <v>Juletræsmark</v>
      </c>
      <c r="B376" s="94" t="str">
        <f>'Resultater - Vestdanmark'!B376</f>
        <v>Konventionel</v>
      </c>
      <c r="C376" s="94" t="str">
        <f>'Resultater - Vestdanmark'!C376</f>
        <v>OC12</v>
      </c>
      <c r="D376" s="94" t="str">
        <f>'Resultater - Vestdanmark'!D376</f>
        <v>Areal-juletræer</v>
      </c>
      <c r="E376" s="94" t="str">
        <f>'Resultater - Vestdanmark'!E376</f>
        <v>Hektar</v>
      </c>
      <c r="F376" s="94" t="str">
        <f>'Resultater - Vestdanmark'!F376</f>
        <v>Gødning</v>
      </c>
      <c r="G376" s="94" t="str">
        <f>'Resultater - Vestdanmark'!G376</f>
        <v>kg N</v>
      </c>
      <c r="H376" s="252">
        <f>'Resultater - Vestdanmark'!H376+'Resultater - Østdanmark'!H376</f>
        <v>-23605.926665848303</v>
      </c>
      <c r="I376" s="253">
        <f>'Resultater - Vestdanmark'!I376+'Resultater - Østdanmark'!I376</f>
        <v>-17121.018367541325</v>
      </c>
      <c r="J376" s="254">
        <f>'Resultater - Vestdanmark'!J376+'Resultater - Østdanmark'!J376</f>
        <v>0</v>
      </c>
    </row>
    <row r="377" spans="1:10" x14ac:dyDescent="0.25">
      <c r="A377" s="94" t="str">
        <f>'Resultater - Vestdanmark'!A377</f>
        <v>Juletræsmark</v>
      </c>
      <c r="B377" s="94" t="str">
        <f>'Resultater - Vestdanmark'!B377</f>
        <v>Konventionel</v>
      </c>
      <c r="C377" s="94" t="str">
        <f>'Resultater - Vestdanmark'!C377</f>
        <v>OC12</v>
      </c>
      <c r="D377" s="94" t="str">
        <f>'Resultater - Vestdanmark'!D377</f>
        <v>Areal-juletræer</v>
      </c>
      <c r="E377" s="94" t="str">
        <f>'Resultater - Vestdanmark'!E377</f>
        <v>Hektar</v>
      </c>
      <c r="F377" s="94" t="str">
        <f>'Resultater - Vestdanmark'!F377</f>
        <v>CO2 - atmosfære</v>
      </c>
      <c r="G377" s="94" t="str">
        <f>'Resultater - Vestdanmark'!G377</f>
        <v>t CO2-ækvivalenter</v>
      </c>
      <c r="H377" s="252">
        <f>'Resultater - Vestdanmark'!H377+'Resultater - Østdanmark'!H377</f>
        <v>7475.6545232364842</v>
      </c>
      <c r="I377" s="253">
        <f>'Resultater - Vestdanmark'!I377+'Resultater - Østdanmark'!I377</f>
        <v>5421.9781419085311</v>
      </c>
      <c r="J377" s="254">
        <f>'Resultater - Vestdanmark'!J377+'Resultater - Østdanmark'!J377</f>
        <v>0</v>
      </c>
    </row>
    <row r="378" spans="1:10" x14ac:dyDescent="0.25">
      <c r="A378" s="94" t="str">
        <f>'Resultater - Vestdanmark'!A378</f>
        <v>Juletræsmark</v>
      </c>
      <c r="B378" s="94" t="str">
        <f>'Resultater - Vestdanmark'!B378</f>
        <v>Økologisk</v>
      </c>
      <c r="C378" s="94" t="str">
        <f>'Resultater - Vestdanmark'!C378</f>
        <v>JB1-10</v>
      </c>
      <c r="D378" s="94" t="str">
        <f>'Resultater - Vestdanmark'!D378</f>
        <v>Areal-juletræer</v>
      </c>
      <c r="E378" s="94" t="str">
        <f>'Resultater - Vestdanmark'!E378</f>
        <v>Hektar</v>
      </c>
      <c r="F378" s="94" t="str">
        <f>'Resultater - Vestdanmark'!F378</f>
        <v>Juletræer</v>
      </c>
      <c r="G378" s="94" t="str">
        <f>'Resultater - Vestdanmark'!G378</f>
        <v>Ton</v>
      </c>
      <c r="H378" s="252">
        <f>'Resultater - Vestdanmark'!H378+'Resultater - Østdanmark'!H378</f>
        <v>58624.558099339294</v>
      </c>
      <c r="I378" s="253">
        <f>'Resultater - Vestdanmark'!I378+'Resultater - Østdanmark'!I378</f>
        <v>70670.911535301668</v>
      </c>
      <c r="J378" s="254">
        <f>'Resultater - Vestdanmark'!J378+'Resultater - Østdanmark'!J378</f>
        <v>92848.237275470907</v>
      </c>
    </row>
    <row r="379" spans="1:10" x14ac:dyDescent="0.25">
      <c r="A379" s="94" t="str">
        <f>'Resultater - Vestdanmark'!A379</f>
        <v>Juletræsmark</v>
      </c>
      <c r="B379" s="94" t="str">
        <f>'Resultater - Vestdanmark'!B379</f>
        <v>Økologisk</v>
      </c>
      <c r="C379" s="94" t="str">
        <f>'Resultater - Vestdanmark'!C379</f>
        <v>JB1-10</v>
      </c>
      <c r="D379" s="94" t="str">
        <f>'Resultater - Vestdanmark'!D379</f>
        <v>Areal-juletræer</v>
      </c>
      <c r="E379" s="94" t="str">
        <f>'Resultater - Vestdanmark'!E379</f>
        <v>Hektar</v>
      </c>
      <c r="F379" s="94" t="str">
        <f>'Resultater - Vestdanmark'!F379</f>
        <v>Gødning</v>
      </c>
      <c r="G379" s="94" t="str">
        <f>'Resultater - Vestdanmark'!G379</f>
        <v>kg N</v>
      </c>
      <c r="H379" s="252">
        <f>'Resultater - Vestdanmark'!H379+'Resultater - Østdanmark'!H379</f>
        <v>-128974.02781854646</v>
      </c>
      <c r="I379" s="253">
        <f>'Resultater - Vestdanmark'!I379+'Resultater - Østdanmark'!I379</f>
        <v>-145304.67792305016</v>
      </c>
      <c r="J379" s="254">
        <f>'Resultater - Vestdanmark'!J379+'Resultater - Østdanmark'!J379</f>
        <v>-177622.7147878574</v>
      </c>
    </row>
    <row r="380" spans="1:10" x14ac:dyDescent="0.25">
      <c r="A380" s="94" t="str">
        <f>'Resultater - Vestdanmark'!A380</f>
        <v>Juletræsmark</v>
      </c>
      <c r="B380" s="94" t="str">
        <f>'Resultater - Vestdanmark'!B380</f>
        <v>Økologisk</v>
      </c>
      <c r="C380" s="94" t="str">
        <f>'Resultater - Vestdanmark'!C380</f>
        <v>JB1-10</v>
      </c>
      <c r="D380" s="94" t="str">
        <f>'Resultater - Vestdanmark'!D380</f>
        <v>Areal-juletræer</v>
      </c>
      <c r="E380" s="94" t="str">
        <f>'Resultater - Vestdanmark'!E380</f>
        <v>Hektar</v>
      </c>
      <c r="F380" s="94" t="str">
        <f>'Resultater - Vestdanmark'!F380</f>
        <v>CO2 - atmosfære</v>
      </c>
      <c r="G380" s="94" t="str">
        <f>'Resultater - Vestdanmark'!G380</f>
        <v>t CO2-ækvivalenter</v>
      </c>
      <c r="H380" s="252">
        <f>'Resultater - Vestdanmark'!H380+'Resultater - Østdanmark'!H380</f>
        <v>4043.4373211296634</v>
      </c>
      <c r="I380" s="253">
        <f>'Resultater - Vestdanmark'!I380+'Resultater - Østdanmark'!I380</f>
        <v>4555.4160600100267</v>
      </c>
      <c r="J380" s="254">
        <f>'Resultater - Vestdanmark'!J380+'Resultater - Østdanmark'!J380</f>
        <v>5568.6119616581782</v>
      </c>
    </row>
    <row r="381" spans="1:10" x14ac:dyDescent="0.25">
      <c r="A381" s="94" t="str">
        <f>'Resultater - Vestdanmark'!A381</f>
        <v>Juletræsmark</v>
      </c>
      <c r="B381" s="94" t="str">
        <f>'Resultater - Vestdanmark'!B381</f>
        <v>Økologisk</v>
      </c>
      <c r="C381" s="94" t="str">
        <f>'Resultater - Vestdanmark'!C381</f>
        <v>OC6</v>
      </c>
      <c r="D381" s="94" t="str">
        <f>'Resultater - Vestdanmark'!D381</f>
        <v>Areal-juletræer</v>
      </c>
      <c r="E381" s="94" t="str">
        <f>'Resultater - Vestdanmark'!E381</f>
        <v>Hektar</v>
      </c>
      <c r="F381" s="94" t="str">
        <f>'Resultater - Vestdanmark'!F381</f>
        <v>Juletræer</v>
      </c>
      <c r="G381" s="94" t="str">
        <f>'Resultater - Vestdanmark'!G381</f>
        <v>Ton</v>
      </c>
      <c r="H381" s="252">
        <f>'Resultater - Vestdanmark'!H381+'Resultater - Østdanmark'!H381</f>
        <v>1996.4639536467182</v>
      </c>
      <c r="I381" s="253">
        <f>'Resultater - Vestdanmark'!I381+'Resultater - Østdanmark'!I381</f>
        <v>2401.4952260144173</v>
      </c>
      <c r="J381" s="254">
        <f>'Resultater - Vestdanmark'!J381+'Resultater - Østdanmark'!J381</f>
        <v>2777.0671926724385</v>
      </c>
    </row>
    <row r="382" spans="1:10" x14ac:dyDescent="0.25">
      <c r="A382" s="94" t="str">
        <f>'Resultater - Vestdanmark'!A382</f>
        <v>Juletræsmark</v>
      </c>
      <c r="B382" s="94" t="str">
        <f>'Resultater - Vestdanmark'!B382</f>
        <v>Økologisk</v>
      </c>
      <c r="C382" s="94" t="str">
        <f>'Resultater - Vestdanmark'!C382</f>
        <v>OC6</v>
      </c>
      <c r="D382" s="94" t="str">
        <f>'Resultater - Vestdanmark'!D382</f>
        <v>Areal-juletræer</v>
      </c>
      <c r="E382" s="94" t="str">
        <f>'Resultater - Vestdanmark'!E382</f>
        <v>Hektar</v>
      </c>
      <c r="F382" s="94" t="str">
        <f>'Resultater - Vestdanmark'!F382</f>
        <v>Gødning</v>
      </c>
      <c r="G382" s="94" t="str">
        <f>'Resultater - Vestdanmark'!G382</f>
        <v>kg N</v>
      </c>
      <c r="H382" s="252">
        <f>'Resultater - Vestdanmark'!H382+'Resultater - Østdanmark'!H382</f>
        <v>-3327.4399227445301</v>
      </c>
      <c r="I382" s="253">
        <f>'Resultater - Vestdanmark'!I382+'Resultater - Østdanmark'!I382</f>
        <v>-3740.6467694928619</v>
      </c>
      <c r="J382" s="254">
        <f>'Resultater - Vestdanmark'!J382+'Resultater - Østdanmark'!J382</f>
        <v>-4024.7350618441142</v>
      </c>
    </row>
    <row r="383" spans="1:10" x14ac:dyDescent="0.25">
      <c r="A383" s="94" t="str">
        <f>'Resultater - Vestdanmark'!A383</f>
        <v>Juletræsmark</v>
      </c>
      <c r="B383" s="94" t="str">
        <f>'Resultater - Vestdanmark'!B383</f>
        <v>Økologisk</v>
      </c>
      <c r="C383" s="94" t="str">
        <f>'Resultater - Vestdanmark'!C383</f>
        <v>OC6</v>
      </c>
      <c r="D383" s="94" t="str">
        <f>'Resultater - Vestdanmark'!D383</f>
        <v>Areal-juletræer</v>
      </c>
      <c r="E383" s="94" t="str">
        <f>'Resultater - Vestdanmark'!E383</f>
        <v>Hektar</v>
      </c>
      <c r="F383" s="94" t="str">
        <f>'Resultater - Vestdanmark'!F383</f>
        <v>CO2 - atmosfære</v>
      </c>
      <c r="G383" s="94" t="str">
        <f>'Resultater - Vestdanmark'!G383</f>
        <v>t CO2-ækvivalenter</v>
      </c>
      <c r="H383" s="252">
        <f>'Resultater - Vestdanmark'!H383+'Resultater - Østdanmark'!H383</f>
        <v>622.38855232406365</v>
      </c>
      <c r="I383" s="253">
        <f>'Resultater - Vestdanmark'!I383+'Resultater - Østdanmark'!I383</f>
        <v>699.67776479043414</v>
      </c>
      <c r="J383" s="254">
        <f>'Resultater - Vestdanmark'!J383+'Resultater - Østdanmark'!J383</f>
        <v>752.815704201485</v>
      </c>
    </row>
    <row r="384" spans="1:10" x14ac:dyDescent="0.25">
      <c r="A384" s="94" t="str">
        <f>'Resultater - Vestdanmark'!A384</f>
        <v>Juletræsmark</v>
      </c>
      <c r="B384" s="94" t="str">
        <f>'Resultater - Vestdanmark'!B384</f>
        <v>Økologisk</v>
      </c>
      <c r="C384" s="94" t="str">
        <f>'Resultater - Vestdanmark'!C384</f>
        <v>OC12</v>
      </c>
      <c r="D384" s="94" t="str">
        <f>'Resultater - Vestdanmark'!D384</f>
        <v>Areal-juletræer</v>
      </c>
      <c r="E384" s="94" t="str">
        <f>'Resultater - Vestdanmark'!E384</f>
        <v>Hektar</v>
      </c>
      <c r="F384" s="94" t="str">
        <f>'Resultater - Vestdanmark'!F384</f>
        <v>Juletræer</v>
      </c>
      <c r="G384" s="94" t="str">
        <f>'Resultater - Vestdanmark'!G384</f>
        <v>Ton</v>
      </c>
      <c r="H384" s="252">
        <f>'Resultater - Vestdanmark'!H384+'Resultater - Østdanmark'!H384</f>
        <v>1338.1083581082171</v>
      </c>
      <c r="I384" s="253">
        <f>'Resultater - Vestdanmark'!I384+'Resultater - Østdanmark'!I384</f>
        <v>1267.5392552001879</v>
      </c>
      <c r="J384" s="254">
        <f>'Resultater - Vestdanmark'!J384+'Resultater - Østdanmark'!J384</f>
        <v>0</v>
      </c>
    </row>
    <row r="385" spans="1:10" x14ac:dyDescent="0.25">
      <c r="A385" s="94" t="str">
        <f>'Resultater - Vestdanmark'!A385</f>
        <v>Juletræsmark</v>
      </c>
      <c r="B385" s="94" t="str">
        <f>'Resultater - Vestdanmark'!B385</f>
        <v>Økologisk</v>
      </c>
      <c r="C385" s="94" t="str">
        <f>'Resultater - Vestdanmark'!C385</f>
        <v>OC12</v>
      </c>
      <c r="D385" s="94" t="str">
        <f>'Resultater - Vestdanmark'!D385</f>
        <v>Areal-juletræer</v>
      </c>
      <c r="E385" s="94" t="str">
        <f>'Resultater - Vestdanmark'!E385</f>
        <v>Hektar</v>
      </c>
      <c r="F385" s="94" t="str">
        <f>'Resultater - Vestdanmark'!F385</f>
        <v>Gødning</v>
      </c>
      <c r="G385" s="94" t="str">
        <f>'Resultater - Vestdanmark'!G385</f>
        <v>kg N</v>
      </c>
      <c r="H385" s="252">
        <f>'Resultater - Vestdanmark'!H385+'Resultater - Østdanmark'!H385</f>
        <v>-1720.4250318534218</v>
      </c>
      <c r="I385" s="253">
        <f>'Resultater - Vestdanmark'!I385+'Resultater - Østdanmark'!I385</f>
        <v>-1523.0778767425488</v>
      </c>
      <c r="J385" s="254">
        <f>'Resultater - Vestdanmark'!J385+'Resultater - Østdanmark'!J385</f>
        <v>0</v>
      </c>
    </row>
    <row r="386" spans="1:10" x14ac:dyDescent="0.25">
      <c r="A386" s="94" t="str">
        <f>'Resultater - Vestdanmark'!A386</f>
        <v>Juletræsmark</v>
      </c>
      <c r="B386" s="94" t="str">
        <f>'Resultater - Vestdanmark'!B386</f>
        <v>Økologisk</v>
      </c>
      <c r="C386" s="94" t="str">
        <f>'Resultater - Vestdanmark'!C386</f>
        <v>OC12</v>
      </c>
      <c r="D386" s="94" t="str">
        <f>'Resultater - Vestdanmark'!D386</f>
        <v>Areal-juletræer</v>
      </c>
      <c r="E386" s="94" t="str">
        <f>'Resultater - Vestdanmark'!E386</f>
        <v>Hektar</v>
      </c>
      <c r="F386" s="94" t="str">
        <f>'Resultater - Vestdanmark'!F386</f>
        <v>CO2 - atmosfære</v>
      </c>
      <c r="G386" s="94" t="str">
        <f>'Resultater - Vestdanmark'!G386</f>
        <v>t CO2-ækvivalenter</v>
      </c>
      <c r="H386" s="252">
        <f>'Resultater - Vestdanmark'!H386+'Resultater - Østdanmark'!H386</f>
        <v>955.84850760346353</v>
      </c>
      <c r="I386" s="253">
        <f>'Resultater - Vestdanmark'!I386+'Resultater - Østdanmark'!I386</f>
        <v>846.2046811071117</v>
      </c>
      <c r="J386" s="254">
        <f>'Resultater - Vestdanmark'!J386+'Resultater - Østdanmark'!J386</f>
        <v>0</v>
      </c>
    </row>
    <row r="387" spans="1:10" x14ac:dyDescent="0.25">
      <c r="A387" s="94" t="str">
        <f>'Resultater - Vestdanmark'!A387</f>
        <v>Pil- og poppeldyrkning</v>
      </c>
      <c r="B387" s="94" t="str">
        <f>'Resultater - Vestdanmark'!B387</f>
        <v>Konventionel</v>
      </c>
      <c r="C387" s="94" t="str">
        <f>'Resultater - Vestdanmark'!C387</f>
        <v>JB1-10</v>
      </c>
      <c r="D387" s="94" t="str">
        <f>'Resultater - Vestdanmark'!D387</f>
        <v>Areal-pil-poppel</v>
      </c>
      <c r="E387" s="94" t="str">
        <f>'Resultater - Vestdanmark'!E387</f>
        <v>Hektar</v>
      </c>
      <c r="F387" s="94" t="str">
        <f>'Resultater - Vestdanmark'!F387</f>
        <v>Pil &amp; poppel</v>
      </c>
      <c r="G387" s="94" t="str">
        <f>'Resultater - Vestdanmark'!G387</f>
        <v>Ton</v>
      </c>
      <c r="H387" s="252">
        <f>'Resultater - Vestdanmark'!H387+'Resultater - Østdanmark'!H387</f>
        <v>151198.05286083202</v>
      </c>
      <c r="I387" s="253">
        <f>'Resultater - Vestdanmark'!I387+'Resultater - Østdanmark'!I387</f>
        <v>149494.11390640039</v>
      </c>
      <c r="J387" s="254">
        <f>'Resultater - Vestdanmark'!J387+'Resultater - Østdanmark'!J387</f>
        <v>144691.94108006015</v>
      </c>
    </row>
    <row r="388" spans="1:10" x14ac:dyDescent="0.25">
      <c r="A388" s="94" t="str">
        <f>'Resultater - Vestdanmark'!A388</f>
        <v>Pil- og poppeldyrkning</v>
      </c>
      <c r="B388" s="94" t="str">
        <f>'Resultater - Vestdanmark'!B388</f>
        <v>Konventionel</v>
      </c>
      <c r="C388" s="94" t="str">
        <f>'Resultater - Vestdanmark'!C388</f>
        <v>JB1-10</v>
      </c>
      <c r="D388" s="94" t="str">
        <f>'Resultater - Vestdanmark'!D388</f>
        <v>Areal-pil-poppel</v>
      </c>
      <c r="E388" s="94" t="str">
        <f>'Resultater - Vestdanmark'!E388</f>
        <v>Hektar</v>
      </c>
      <c r="F388" s="94" t="str">
        <f>'Resultater - Vestdanmark'!F388</f>
        <v>Gødning</v>
      </c>
      <c r="G388" s="94" t="str">
        <f>'Resultater - Vestdanmark'!G388</f>
        <v>kg N</v>
      </c>
      <c r="H388" s="252">
        <f>'Resultater - Vestdanmark'!H388+'Resultater - Østdanmark'!H388</f>
        <v>-743894.42007529351</v>
      </c>
      <c r="I388" s="253">
        <f>'Resultater - Vestdanmark'!I388+'Resultater - Østdanmark'!I388</f>
        <v>-687393.49571914936</v>
      </c>
      <c r="J388" s="254">
        <f>'Resultater - Vestdanmark'!J388+'Resultater - Østdanmark'!J388</f>
        <v>-619029.86966425751</v>
      </c>
    </row>
    <row r="389" spans="1:10" x14ac:dyDescent="0.25">
      <c r="A389" s="94" t="str">
        <f>'Resultater - Vestdanmark'!A389</f>
        <v>Pil- og poppeldyrkning</v>
      </c>
      <c r="B389" s="94" t="str">
        <f>'Resultater - Vestdanmark'!B389</f>
        <v>Konventionel</v>
      </c>
      <c r="C389" s="94" t="str">
        <f>'Resultater - Vestdanmark'!C389</f>
        <v>JB1-10</v>
      </c>
      <c r="D389" s="94" t="str">
        <f>'Resultater - Vestdanmark'!D389</f>
        <v>Areal-pil-poppel</v>
      </c>
      <c r="E389" s="94" t="str">
        <f>'Resultater - Vestdanmark'!E389</f>
        <v>Hektar</v>
      </c>
      <c r="F389" s="94" t="str">
        <f>'Resultater - Vestdanmark'!F389</f>
        <v>CO2 - atmosfære</v>
      </c>
      <c r="G389" s="94" t="str">
        <f>'Resultater - Vestdanmark'!G389</f>
        <v>t CO2-ækvivalenter</v>
      </c>
      <c r="H389" s="252">
        <f>'Resultater - Vestdanmark'!H389+'Resultater - Østdanmark'!H389</f>
        <v>12185.575596215564</v>
      </c>
      <c r="I389" s="253">
        <f>'Resultater - Vestdanmark'!I389+'Resultater - Østdanmark'!I389</f>
        <v>11260.046023177276</v>
      </c>
      <c r="J389" s="254">
        <f>'Resultater - Vestdanmark'!J389+'Resultater - Østdanmark'!J389</f>
        <v>10140.196067535748</v>
      </c>
    </row>
    <row r="390" spans="1:10" x14ac:dyDescent="0.25">
      <c r="A390" s="94" t="str">
        <f>'Resultater - Vestdanmark'!A390</f>
        <v>Pil- og poppeldyrkning</v>
      </c>
      <c r="B390" s="94" t="str">
        <f>'Resultater - Vestdanmark'!B390</f>
        <v>Konventionel</v>
      </c>
      <c r="C390" s="94" t="str">
        <f>'Resultater - Vestdanmark'!C390</f>
        <v>OC6</v>
      </c>
      <c r="D390" s="94" t="str">
        <f>'Resultater - Vestdanmark'!D390</f>
        <v>Areal-pil-poppel</v>
      </c>
      <c r="E390" s="94" t="str">
        <f>'Resultater - Vestdanmark'!E390</f>
        <v>Hektar</v>
      </c>
      <c r="F390" s="94" t="str">
        <f>'Resultater - Vestdanmark'!F390</f>
        <v>Pil &amp; poppel</v>
      </c>
      <c r="G390" s="94" t="str">
        <f>'Resultater - Vestdanmark'!G390</f>
        <v>Ton</v>
      </c>
      <c r="H390" s="252">
        <f>'Resultater - Vestdanmark'!H390+'Resultater - Østdanmark'!H390</f>
        <v>22604.883417166257</v>
      </c>
      <c r="I390" s="253">
        <f>'Resultater - Vestdanmark'!I390+'Resultater - Østdanmark'!I390</f>
        <v>22277.500935241005</v>
      </c>
      <c r="J390" s="254">
        <f>'Resultater - Vestdanmark'!J390+'Resultater - Østdanmark'!J390</f>
        <v>18954.166517729358</v>
      </c>
    </row>
    <row r="391" spans="1:10" x14ac:dyDescent="0.25">
      <c r="A391" s="94" t="str">
        <f>'Resultater - Vestdanmark'!A391</f>
        <v>Pil- og poppeldyrkning</v>
      </c>
      <c r="B391" s="94" t="str">
        <f>'Resultater - Vestdanmark'!B391</f>
        <v>Konventionel</v>
      </c>
      <c r="C391" s="94" t="str">
        <f>'Resultater - Vestdanmark'!C391</f>
        <v>OC6</v>
      </c>
      <c r="D391" s="94" t="str">
        <f>'Resultater - Vestdanmark'!D391</f>
        <v>Areal-pil-poppel</v>
      </c>
      <c r="E391" s="94" t="str">
        <f>'Resultater - Vestdanmark'!E391</f>
        <v>Hektar</v>
      </c>
      <c r="F391" s="94" t="str">
        <f>'Resultater - Vestdanmark'!F391</f>
        <v>Gødning</v>
      </c>
      <c r="G391" s="94" t="str">
        <f>'Resultater - Vestdanmark'!G391</f>
        <v>kg N</v>
      </c>
      <c r="H391" s="252">
        <f>'Resultater - Vestdanmark'!H391+'Resultater - Østdanmark'!H391</f>
        <v>-92680.022010381668</v>
      </c>
      <c r="I391" s="253">
        <f>'Resultater - Vestdanmark'!I391+'Resultater - Østdanmark'!I391</f>
        <v>-85362.386761203859</v>
      </c>
      <c r="J391" s="254">
        <f>'Resultater - Vestdanmark'!J391+'Resultater - Østdanmark'!J391</f>
        <v>-67575.724106687281</v>
      </c>
    </row>
    <row r="392" spans="1:10" x14ac:dyDescent="0.25">
      <c r="A392" s="94" t="str">
        <f>'Resultater - Vestdanmark'!A392</f>
        <v>Pil- og poppeldyrkning</v>
      </c>
      <c r="B392" s="94" t="str">
        <f>'Resultater - Vestdanmark'!B392</f>
        <v>Konventionel</v>
      </c>
      <c r="C392" s="94" t="str">
        <f>'Resultater - Vestdanmark'!C392</f>
        <v>OC6</v>
      </c>
      <c r="D392" s="94" t="str">
        <f>'Resultater - Vestdanmark'!D392</f>
        <v>Areal-pil-poppel</v>
      </c>
      <c r="E392" s="94" t="str">
        <f>'Resultater - Vestdanmark'!E392</f>
        <v>Hektar</v>
      </c>
      <c r="F392" s="94" t="str">
        <f>'Resultater - Vestdanmark'!F392</f>
        <v>CO2 - atmosfære</v>
      </c>
      <c r="G392" s="94" t="str">
        <f>'Resultater - Vestdanmark'!G392</f>
        <v>t CO2-ækvivalenter</v>
      </c>
      <c r="H392" s="252">
        <f>'Resultater - Vestdanmark'!H392+'Resultater - Østdanmark'!H392</f>
        <v>8234.3839053876236</v>
      </c>
      <c r="I392" s="253">
        <f>'Resultater - Vestdanmark'!I392+'Resultater - Østdanmark'!I392</f>
        <v>7584.2306510586886</v>
      </c>
      <c r="J392" s="254">
        <f>'Resultater - Vestdanmark'!J392+'Resultater - Østdanmark'!J392</f>
        <v>6003.9309757251613</v>
      </c>
    </row>
    <row r="393" spans="1:10" x14ac:dyDescent="0.25">
      <c r="A393" s="94" t="str">
        <f>'Resultater - Vestdanmark'!A393</f>
        <v>Pil- og poppeldyrkning</v>
      </c>
      <c r="B393" s="94" t="str">
        <f>'Resultater - Vestdanmark'!B393</f>
        <v>Konventionel</v>
      </c>
      <c r="C393" s="94" t="str">
        <f>'Resultater - Vestdanmark'!C393</f>
        <v>OC12</v>
      </c>
      <c r="D393" s="94" t="str">
        <f>'Resultater - Vestdanmark'!D393</f>
        <v>Areal-pil-poppel</v>
      </c>
      <c r="E393" s="94" t="str">
        <f>'Resultater - Vestdanmark'!E393</f>
        <v>Hektar</v>
      </c>
      <c r="F393" s="94" t="str">
        <f>'Resultater - Vestdanmark'!F393</f>
        <v>Pil &amp; poppel</v>
      </c>
      <c r="G393" s="94" t="str">
        <f>'Resultater - Vestdanmark'!G393</f>
        <v>Ton</v>
      </c>
      <c r="H393" s="252">
        <f>'Resultater - Vestdanmark'!H393+'Resultater - Østdanmark'!H393</f>
        <v>21807.878272481728</v>
      </c>
      <c r="I393" s="253">
        <f>'Resultater - Vestdanmark'!I393+'Resultater - Østdanmark'!I393</f>
        <v>16939.546471625777</v>
      </c>
      <c r="J393" s="254">
        <f>'Resultater - Vestdanmark'!J393+'Resultater - Østdanmark'!J393</f>
        <v>0</v>
      </c>
    </row>
    <row r="394" spans="1:10" x14ac:dyDescent="0.25">
      <c r="A394" s="94" t="str">
        <f>'Resultater - Vestdanmark'!A394</f>
        <v>Pil- og poppeldyrkning</v>
      </c>
      <c r="B394" s="94" t="str">
        <f>'Resultater - Vestdanmark'!B394</f>
        <v>Konventionel</v>
      </c>
      <c r="C394" s="94" t="str">
        <f>'Resultater - Vestdanmark'!C394</f>
        <v>OC12</v>
      </c>
      <c r="D394" s="94" t="str">
        <f>'Resultater - Vestdanmark'!D394</f>
        <v>Areal-pil-poppel</v>
      </c>
      <c r="E394" s="94" t="str">
        <f>'Resultater - Vestdanmark'!E394</f>
        <v>Hektar</v>
      </c>
      <c r="F394" s="94" t="str">
        <f>'Resultater - Vestdanmark'!F394</f>
        <v>Gødning</v>
      </c>
      <c r="G394" s="94" t="str">
        <f>'Resultater - Vestdanmark'!G394</f>
        <v>kg N</v>
      </c>
      <c r="H394" s="252">
        <f>'Resultater - Vestdanmark'!H394+'Resultater - Østdanmark'!H394</f>
        <v>-76639.115071864377</v>
      </c>
      <c r="I394" s="253">
        <f>'Resultater - Vestdanmark'!I394+'Resultater - Østdanmark'!I394</f>
        <v>-55635.89361842379</v>
      </c>
      <c r="J394" s="254">
        <f>'Resultater - Vestdanmark'!J394+'Resultater - Østdanmark'!J394</f>
        <v>0</v>
      </c>
    </row>
    <row r="395" spans="1:10" x14ac:dyDescent="0.25">
      <c r="A395" s="94" t="str">
        <f>'Resultater - Vestdanmark'!A395</f>
        <v>Pil- og poppeldyrkning</v>
      </c>
      <c r="B395" s="94" t="str">
        <f>'Resultater - Vestdanmark'!B395</f>
        <v>Konventionel</v>
      </c>
      <c r="C395" s="94" t="str">
        <f>'Resultater - Vestdanmark'!C395</f>
        <v>OC12</v>
      </c>
      <c r="D395" s="94" t="str">
        <f>'Resultater - Vestdanmark'!D395</f>
        <v>Areal-pil-poppel</v>
      </c>
      <c r="E395" s="94" t="str">
        <f>'Resultater - Vestdanmark'!E395</f>
        <v>Hektar</v>
      </c>
      <c r="F395" s="94" t="str">
        <f>'Resultater - Vestdanmark'!F395</f>
        <v>CO2 - atmosfære</v>
      </c>
      <c r="G395" s="94" t="str">
        <f>'Resultater - Vestdanmark'!G395</f>
        <v>t CO2-ækvivalenter</v>
      </c>
      <c r="H395" s="252">
        <f>'Resultater - Vestdanmark'!H395+'Resultater - Østdanmark'!H395</f>
        <v>18202.871953106896</v>
      </c>
      <c r="I395" s="253">
        <f>'Resultater - Vestdanmark'!I395+'Resultater - Østdanmark'!I395</f>
        <v>13214.310298118749</v>
      </c>
      <c r="J395" s="254">
        <f>'Resultater - Vestdanmark'!J395+'Resultater - Østdanmark'!J395</f>
        <v>0</v>
      </c>
    </row>
    <row r="396" spans="1:10" x14ac:dyDescent="0.25">
      <c r="A396" s="94" t="str">
        <f>'Resultater - Vestdanmark'!A396</f>
        <v>Pil- og poppeldyrkning</v>
      </c>
      <c r="B396" s="94" t="str">
        <f>'Resultater - Vestdanmark'!B396</f>
        <v>Økologisk</v>
      </c>
      <c r="C396" s="94" t="str">
        <f>'Resultater - Vestdanmark'!C396</f>
        <v>JB1-10</v>
      </c>
      <c r="D396" s="94" t="str">
        <f>'Resultater - Vestdanmark'!D396</f>
        <v>Areal-pil-poppel</v>
      </c>
      <c r="E396" s="94" t="str">
        <f>'Resultater - Vestdanmark'!E396</f>
        <v>Hektar</v>
      </c>
      <c r="F396" s="94" t="str">
        <f>'Resultater - Vestdanmark'!F396</f>
        <v>Pil &amp; poppel</v>
      </c>
      <c r="G396" s="94" t="str">
        <f>'Resultater - Vestdanmark'!G396</f>
        <v>Ton</v>
      </c>
      <c r="H396" s="252">
        <f>'Resultater - Vestdanmark'!H396+'Resultater - Østdanmark'!H396</f>
        <v>11019.474837461308</v>
      </c>
      <c r="I396" s="253">
        <f>'Resultater - Vestdanmark'!I396+'Resultater - Østdanmark'!I396</f>
        <v>13298.927242887294</v>
      </c>
      <c r="J396" s="254">
        <f>'Resultater - Vestdanmark'!J396+'Resultater - Østdanmark'!J396</f>
        <v>17494.571057861816</v>
      </c>
    </row>
    <row r="397" spans="1:10" x14ac:dyDescent="0.25">
      <c r="A397" s="94" t="str">
        <f>'Resultater - Vestdanmark'!A397</f>
        <v>Pil- og poppeldyrkning</v>
      </c>
      <c r="B397" s="94" t="str">
        <f>'Resultater - Vestdanmark'!B397</f>
        <v>Økologisk</v>
      </c>
      <c r="C397" s="94" t="str">
        <f>'Resultater - Vestdanmark'!C397</f>
        <v>JB1-10</v>
      </c>
      <c r="D397" s="94" t="str">
        <f>'Resultater - Vestdanmark'!D397</f>
        <v>Areal-pil-poppel</v>
      </c>
      <c r="E397" s="94" t="str">
        <f>'Resultater - Vestdanmark'!E397</f>
        <v>Hektar</v>
      </c>
      <c r="F397" s="94" t="str">
        <f>'Resultater - Vestdanmark'!F397</f>
        <v>Gødning</v>
      </c>
      <c r="G397" s="94" t="str">
        <f>'Resultater - Vestdanmark'!G397</f>
        <v>kg N</v>
      </c>
      <c r="H397" s="252">
        <f>'Resultater - Vestdanmark'!H397+'Resultater - Østdanmark'!H397</f>
        <v>-54215.816200309637</v>
      </c>
      <c r="I397" s="253">
        <f>'Resultater - Vestdanmark'!I397+'Resultater - Østdanmark'!I397</f>
        <v>-61150.207509350927</v>
      </c>
      <c r="J397" s="254">
        <f>'Resultater - Vestdanmark'!J397+'Resultater - Østdanmark'!J397</f>
        <v>-74846.338786678389</v>
      </c>
    </row>
    <row r="398" spans="1:10" x14ac:dyDescent="0.25">
      <c r="A398" s="94" t="str">
        <f>'Resultater - Vestdanmark'!A398</f>
        <v>Pil- og poppeldyrkning</v>
      </c>
      <c r="B398" s="94" t="str">
        <f>'Resultater - Vestdanmark'!B398</f>
        <v>Økologisk</v>
      </c>
      <c r="C398" s="94" t="str">
        <f>'Resultater - Vestdanmark'!C398</f>
        <v>JB1-10</v>
      </c>
      <c r="D398" s="94" t="str">
        <f>'Resultater - Vestdanmark'!D398</f>
        <v>Areal-pil-poppel</v>
      </c>
      <c r="E398" s="94" t="str">
        <f>'Resultater - Vestdanmark'!E398</f>
        <v>Hektar</v>
      </c>
      <c r="F398" s="94" t="str">
        <f>'Resultater - Vestdanmark'!F398</f>
        <v>CO2 - atmosfære</v>
      </c>
      <c r="G398" s="94" t="str">
        <f>'Resultater - Vestdanmark'!G398</f>
        <v>t CO2-ækvivalenter</v>
      </c>
      <c r="H398" s="252">
        <f>'Resultater - Vestdanmark'!H398+'Resultater - Østdanmark'!H398</f>
        <v>1558.0661481516906</v>
      </c>
      <c r="I398" s="253">
        <f>'Resultater - Vestdanmark'!I398+'Resultater - Østdanmark'!I398</f>
        <v>1757.3482232704421</v>
      </c>
      <c r="J398" s="254">
        <f>'Resultater - Vestdanmark'!J398+'Resultater - Østdanmark'!J398</f>
        <v>2150.9506809924314</v>
      </c>
    </row>
    <row r="399" spans="1:10" x14ac:dyDescent="0.25">
      <c r="A399" s="94" t="str">
        <f>'Resultater - Vestdanmark'!A399</f>
        <v>Pil- og poppeldyrkning</v>
      </c>
      <c r="B399" s="94" t="str">
        <f>'Resultater - Vestdanmark'!B399</f>
        <v>Økologisk</v>
      </c>
      <c r="C399" s="94" t="str">
        <f>'Resultater - Vestdanmark'!C399</f>
        <v>OC6</v>
      </c>
      <c r="D399" s="94" t="str">
        <f>'Resultater - Vestdanmark'!D399</f>
        <v>Areal-pil-poppel</v>
      </c>
      <c r="E399" s="94" t="str">
        <f>'Resultater - Vestdanmark'!E399</f>
        <v>Hektar</v>
      </c>
      <c r="F399" s="94" t="str">
        <f>'Resultater - Vestdanmark'!F399</f>
        <v>Pil &amp; poppel</v>
      </c>
      <c r="G399" s="94" t="str">
        <f>'Resultater - Vestdanmark'!G399</f>
        <v>Ton</v>
      </c>
      <c r="H399" s="252">
        <f>'Resultater - Vestdanmark'!H399+'Resultater - Østdanmark'!H399</f>
        <v>1647.4679356385941</v>
      </c>
      <c r="I399" s="253">
        <f>'Resultater - Vestdanmark'!I399+'Resultater - Østdanmark'!I399</f>
        <v>1981.7961814645032</v>
      </c>
      <c r="J399" s="254">
        <f>'Resultater - Vestdanmark'!J399+'Resultater - Østdanmark'!J399</f>
        <v>2291.7310425981855</v>
      </c>
    </row>
    <row r="400" spans="1:10" x14ac:dyDescent="0.25">
      <c r="A400" s="94" t="str">
        <f>'Resultater - Vestdanmark'!A400</f>
        <v>Pil- og poppeldyrkning</v>
      </c>
      <c r="B400" s="94" t="str">
        <f>'Resultater - Vestdanmark'!B400</f>
        <v>Økologisk</v>
      </c>
      <c r="C400" s="94" t="str">
        <f>'Resultater - Vestdanmark'!C400</f>
        <v>OC6</v>
      </c>
      <c r="D400" s="94" t="str">
        <f>'Resultater - Vestdanmark'!D400</f>
        <v>Areal-pil-poppel</v>
      </c>
      <c r="E400" s="94" t="str">
        <f>'Resultater - Vestdanmark'!E400</f>
        <v>Hektar</v>
      </c>
      <c r="F400" s="94" t="str">
        <f>'Resultater - Vestdanmark'!F400</f>
        <v>Gødning</v>
      </c>
      <c r="G400" s="94" t="str">
        <f>'Resultater - Vestdanmark'!G400</f>
        <v>kg N</v>
      </c>
      <c r="H400" s="252">
        <f>'Resultater - Vestdanmark'!H400+'Resultater - Østdanmark'!H400</f>
        <v>-6754.6185361182361</v>
      </c>
      <c r="I400" s="253">
        <f>'Resultater - Vestdanmark'!I400+'Resultater - Østdanmark'!I400</f>
        <v>-7593.7984523406194</v>
      </c>
      <c r="J400" s="254">
        <f>'Resultater - Vestdanmark'!J400+'Resultater - Østdanmark'!J400</f>
        <v>-8170.5193692630974</v>
      </c>
    </row>
    <row r="401" spans="1:10" x14ac:dyDescent="0.25">
      <c r="A401" s="94" t="str">
        <f>'Resultater - Vestdanmark'!A401</f>
        <v>Pil- og poppeldyrkning</v>
      </c>
      <c r="B401" s="94" t="str">
        <f>'Resultater - Vestdanmark'!B401</f>
        <v>Økologisk</v>
      </c>
      <c r="C401" s="94" t="str">
        <f>'Resultater - Vestdanmark'!C401</f>
        <v>OC6</v>
      </c>
      <c r="D401" s="94" t="str">
        <f>'Resultater - Vestdanmark'!D401</f>
        <v>Areal-pil-poppel</v>
      </c>
      <c r="E401" s="94" t="str">
        <f>'Resultater - Vestdanmark'!E401</f>
        <v>Hektar</v>
      </c>
      <c r="F401" s="94" t="str">
        <f>'Resultater - Vestdanmark'!F401</f>
        <v>CO2 - atmosfære</v>
      </c>
      <c r="G401" s="94" t="str">
        <f>'Resultater - Vestdanmark'!G401</f>
        <v>t CO2-ækvivalenter</v>
      </c>
      <c r="H401" s="252">
        <f>'Resultater - Vestdanmark'!H401+'Resultater - Østdanmark'!H401</f>
        <v>1052.8607953369108</v>
      </c>
      <c r="I401" s="253">
        <f>'Resultater - Vestdanmark'!I401+'Resultater - Østdanmark'!I401</f>
        <v>1183.666055367541</v>
      </c>
      <c r="J401" s="254">
        <f>'Resultater - Vestdanmark'!J401+'Resultater - Østdanmark'!J401</f>
        <v>1273.5611160629128</v>
      </c>
    </row>
    <row r="402" spans="1:10" x14ac:dyDescent="0.25">
      <c r="A402" s="94" t="str">
        <f>'Resultater - Vestdanmark'!A402</f>
        <v>Pil- og poppeldyrkning</v>
      </c>
      <c r="B402" s="94" t="str">
        <f>'Resultater - Vestdanmark'!B402</f>
        <v>Økologisk</v>
      </c>
      <c r="C402" s="94" t="str">
        <f>'Resultater - Vestdanmark'!C402</f>
        <v>OC12</v>
      </c>
      <c r="D402" s="94" t="str">
        <f>'Resultater - Vestdanmark'!D402</f>
        <v>Areal-pil-poppel</v>
      </c>
      <c r="E402" s="94" t="str">
        <f>'Resultater - Vestdanmark'!E402</f>
        <v>Hektar</v>
      </c>
      <c r="F402" s="94" t="str">
        <f>'Resultater - Vestdanmark'!F402</f>
        <v>Pil &amp; poppel</v>
      </c>
      <c r="G402" s="94" t="str">
        <f>'Resultater - Vestdanmark'!G402</f>
        <v>Ton</v>
      </c>
      <c r="H402" s="252">
        <f>'Resultater - Vestdanmark'!H402+'Resultater - Østdanmark'!H402</f>
        <v>1589.3813533645339</v>
      </c>
      <c r="I402" s="253">
        <f>'Resultater - Vestdanmark'!I402+'Resultater - Østdanmark'!I402</f>
        <v>1506.9342207995419</v>
      </c>
      <c r="J402" s="254">
        <f>'Resultater - Vestdanmark'!J402+'Resultater - Østdanmark'!J402</f>
        <v>0</v>
      </c>
    </row>
    <row r="403" spans="1:10" x14ac:dyDescent="0.25">
      <c r="A403" s="94" t="str">
        <f>'Resultater - Vestdanmark'!A403</f>
        <v>Pil- og poppeldyrkning</v>
      </c>
      <c r="B403" s="94" t="str">
        <f>'Resultater - Vestdanmark'!B403</f>
        <v>Økologisk</v>
      </c>
      <c r="C403" s="94" t="str">
        <f>'Resultater - Vestdanmark'!C403</f>
        <v>OC12</v>
      </c>
      <c r="D403" s="94" t="str">
        <f>'Resultater - Vestdanmark'!D403</f>
        <v>Areal-pil-poppel</v>
      </c>
      <c r="E403" s="94" t="str">
        <f>'Resultater - Vestdanmark'!E403</f>
        <v>Hektar</v>
      </c>
      <c r="F403" s="94" t="str">
        <f>'Resultater - Vestdanmark'!F403</f>
        <v>Gødning</v>
      </c>
      <c r="G403" s="94" t="str">
        <f>'Resultater - Vestdanmark'!G403</f>
        <v>kg N</v>
      </c>
      <c r="H403" s="252">
        <f>'Resultater - Vestdanmark'!H403+'Resultater - Østdanmark'!H403</f>
        <v>-5585.5401846810773</v>
      </c>
      <c r="I403" s="253">
        <f>'Resultater - Vestdanmark'!I403+'Resultater - Østdanmark'!I403</f>
        <v>-4949.3433687141169</v>
      </c>
      <c r="J403" s="254">
        <f>'Resultater - Vestdanmark'!J403+'Resultater - Østdanmark'!J403</f>
        <v>0</v>
      </c>
    </row>
    <row r="404" spans="1:10" x14ac:dyDescent="0.25">
      <c r="A404" s="94" t="str">
        <f>'Resultater - Vestdanmark'!A404</f>
        <v>Pil- og poppeldyrkning</v>
      </c>
      <c r="B404" s="94" t="str">
        <f>'Resultater - Vestdanmark'!B404</f>
        <v>Økologisk</v>
      </c>
      <c r="C404" s="94" t="str">
        <f>'Resultater - Vestdanmark'!C404</f>
        <v>OC12</v>
      </c>
      <c r="D404" s="94" t="str">
        <f>'Resultater - Vestdanmark'!D404</f>
        <v>Areal-pil-poppel</v>
      </c>
      <c r="E404" s="94" t="str">
        <f>'Resultater - Vestdanmark'!E404</f>
        <v>Hektar</v>
      </c>
      <c r="F404" s="94" t="str">
        <f>'Resultater - Vestdanmark'!F404</f>
        <v>CO2 - atmosfære</v>
      </c>
      <c r="G404" s="94" t="str">
        <f>'Resultater - Vestdanmark'!G404</f>
        <v>t CO2-ækvivalenter</v>
      </c>
      <c r="H404" s="252">
        <f>'Resultater - Vestdanmark'!H404+'Resultater - Østdanmark'!H404</f>
        <v>2327.4467722381351</v>
      </c>
      <c r="I404" s="253">
        <f>'Resultater - Vestdanmark'!I404+'Resultater - Østdanmark'!I404</f>
        <v>2062.3490060647764</v>
      </c>
      <c r="J404" s="254">
        <f>'Resultater - Vestdanmark'!J404+'Resultater - Østdanmark'!J404</f>
        <v>0</v>
      </c>
    </row>
    <row r="405" spans="1:10" x14ac:dyDescent="0.25">
      <c r="A405" s="94" t="str">
        <f>'Resultater - Vestdanmark'!A405</f>
        <v>Permanent græs</v>
      </c>
      <c r="B405" s="94" t="str">
        <f>'Resultater - Vestdanmark'!B405</f>
        <v>Konventionel</v>
      </c>
      <c r="C405" s="94" t="str">
        <f>'Resultater - Vestdanmark'!C405</f>
        <v>JB1-10</v>
      </c>
      <c r="D405" s="94" t="str">
        <f>'Resultater - Vestdanmark'!D405</f>
        <v>Areal-permanent græs</v>
      </c>
      <c r="E405" s="94" t="str">
        <f>'Resultater - Vestdanmark'!E405</f>
        <v>Hektar</v>
      </c>
      <c r="F405" s="94" t="str">
        <f>'Resultater - Vestdanmark'!F405</f>
        <v>Græs</v>
      </c>
      <c r="G405" s="94" t="str">
        <f>'Resultater - Vestdanmark'!G405</f>
        <v>Ton</v>
      </c>
      <c r="H405" s="252">
        <f>'Resultater - Vestdanmark'!H405+'Resultater - Østdanmark'!H405</f>
        <v>2074307.374215838</v>
      </c>
      <c r="I405" s="253">
        <f>'Resultater - Vestdanmark'!I405+'Resultater - Østdanmark'!I405</f>
        <v>2051257.1341201724</v>
      </c>
      <c r="J405" s="254">
        <f>'Resultater - Vestdanmark'!J405+'Resultater - Østdanmark'!J405</f>
        <v>1985718.1474465327</v>
      </c>
    </row>
    <row r="406" spans="1:10" x14ac:dyDescent="0.25">
      <c r="A406" s="94" t="str">
        <f>'Resultater - Vestdanmark'!A406</f>
        <v>Permanent græs</v>
      </c>
      <c r="B406" s="94" t="str">
        <f>'Resultater - Vestdanmark'!B406</f>
        <v>Konventionel</v>
      </c>
      <c r="C406" s="94" t="str">
        <f>'Resultater - Vestdanmark'!C406</f>
        <v>JB1-10</v>
      </c>
      <c r="D406" s="94" t="str">
        <f>'Resultater - Vestdanmark'!D406</f>
        <v>Areal-permanent græs</v>
      </c>
      <c r="E406" s="94" t="str">
        <f>'Resultater - Vestdanmark'!E406</f>
        <v>Hektar</v>
      </c>
      <c r="F406" s="94" t="str">
        <f>'Resultater - Vestdanmark'!F406</f>
        <v>Gødning</v>
      </c>
      <c r="G406" s="94" t="str">
        <f>'Resultater - Vestdanmark'!G406</f>
        <v>kg N</v>
      </c>
      <c r="H406" s="252">
        <f>'Resultater - Vestdanmark'!H406+'Resultater - Østdanmark'!H406</f>
        <v>-7521056.4692379907</v>
      </c>
      <c r="I406" s="253">
        <f>'Resultater - Vestdanmark'!I406+'Resultater - Østdanmark'!I406</f>
        <v>-6950916.3965496197</v>
      </c>
      <c r="J406" s="254">
        <f>'Resultater - Vestdanmark'!J406+'Resultater - Østdanmark'!J406</f>
        <v>-6260737.6090000086</v>
      </c>
    </row>
    <row r="407" spans="1:10" x14ac:dyDescent="0.25">
      <c r="A407" s="94" t="str">
        <f>'Resultater - Vestdanmark'!A407</f>
        <v>Permanent græs</v>
      </c>
      <c r="B407" s="94" t="str">
        <f>'Resultater - Vestdanmark'!B407</f>
        <v>Konventionel</v>
      </c>
      <c r="C407" s="94" t="str">
        <f>'Resultater - Vestdanmark'!C407</f>
        <v>JB1-10</v>
      </c>
      <c r="D407" s="94" t="str">
        <f>'Resultater - Vestdanmark'!D407</f>
        <v>Areal-permanent græs</v>
      </c>
      <c r="E407" s="94" t="str">
        <f>'Resultater - Vestdanmark'!E407</f>
        <v>Hektar</v>
      </c>
      <c r="F407" s="94" t="str">
        <f>'Resultater - Vestdanmark'!F407</f>
        <v>CO2 - atmosfære</v>
      </c>
      <c r="G407" s="94" t="str">
        <f>'Resultater - Vestdanmark'!G407</f>
        <v>t CO2-ækvivalenter</v>
      </c>
      <c r="H407" s="252">
        <f>'Resultater - Vestdanmark'!H407+'Resultater - Østdanmark'!H407</f>
        <v>295681.96678242408</v>
      </c>
      <c r="I407" s="253">
        <f>'Resultater - Vestdanmark'!I407+'Resultater - Østdanmark'!I407</f>
        <v>273267.54419119842</v>
      </c>
      <c r="J407" s="254">
        <f>'Resultater - Vestdanmark'!J407+'Resultater - Østdanmark'!J407</f>
        <v>246133.93308631412</v>
      </c>
    </row>
    <row r="408" spans="1:10" x14ac:dyDescent="0.25">
      <c r="A408" s="94" t="str">
        <f>'Resultater - Vestdanmark'!A408</f>
        <v>Permanent græs</v>
      </c>
      <c r="B408" s="94" t="str">
        <f>'Resultater - Vestdanmark'!B408</f>
        <v>Konventionel</v>
      </c>
      <c r="C408" s="94" t="str">
        <f>'Resultater - Vestdanmark'!C408</f>
        <v>OC6</v>
      </c>
      <c r="D408" s="94" t="str">
        <f>'Resultater - Vestdanmark'!D408</f>
        <v>Areal-permanent græs</v>
      </c>
      <c r="E408" s="94" t="str">
        <f>'Resultater - Vestdanmark'!E408</f>
        <v>Hektar</v>
      </c>
      <c r="F408" s="94" t="str">
        <f>'Resultater - Vestdanmark'!F408</f>
        <v>Græs</v>
      </c>
      <c r="G408" s="94" t="str">
        <f>'Resultater - Vestdanmark'!G408</f>
        <v>Ton</v>
      </c>
      <c r="H408" s="252">
        <f>'Resultater - Vestdanmark'!H408+'Resultater - Østdanmark'!H408</f>
        <v>362795.13500095531</v>
      </c>
      <c r="I408" s="253">
        <f>'Resultater - Vestdanmark'!I408+'Resultater - Østdanmark'!I408</f>
        <v>357176.08087392699</v>
      </c>
      <c r="J408" s="254">
        <f>'Resultater - Vestdanmark'!J408+'Resultater - Østdanmark'!J408</f>
        <v>303892.92464689736</v>
      </c>
    </row>
    <row r="409" spans="1:10" x14ac:dyDescent="0.25">
      <c r="A409" s="94" t="str">
        <f>'Resultater - Vestdanmark'!A409</f>
        <v>Permanent græs</v>
      </c>
      <c r="B409" s="94" t="str">
        <f>'Resultater - Vestdanmark'!B409</f>
        <v>Konventionel</v>
      </c>
      <c r="C409" s="94" t="str">
        <f>'Resultater - Vestdanmark'!C409</f>
        <v>OC6</v>
      </c>
      <c r="D409" s="94" t="str">
        <f>'Resultater - Vestdanmark'!D409</f>
        <v>Areal-permanent græs</v>
      </c>
      <c r="E409" s="94" t="str">
        <f>'Resultater - Vestdanmark'!E409</f>
        <v>Hektar</v>
      </c>
      <c r="F409" s="94" t="str">
        <f>'Resultater - Vestdanmark'!F409</f>
        <v>Gødning</v>
      </c>
      <c r="G409" s="94" t="str">
        <f>'Resultater - Vestdanmark'!G409</f>
        <v>kg N</v>
      </c>
      <c r="H409" s="252">
        <f>'Resultater - Vestdanmark'!H409+'Resultater - Østdanmark'!H409</f>
        <v>-1096190.2797950064</v>
      </c>
      <c r="I409" s="253">
        <f>'Resultater - Vestdanmark'!I409+'Resultater - Østdanmark'!I409</f>
        <v>-1008609.5642298218</v>
      </c>
      <c r="J409" s="254">
        <f>'Resultater - Vestdanmark'!J409+'Resultater - Østdanmark'!J409</f>
        <v>-798449.10890820215</v>
      </c>
    </row>
    <row r="410" spans="1:10" x14ac:dyDescent="0.25">
      <c r="A410" s="94" t="str">
        <f>'Resultater - Vestdanmark'!A410</f>
        <v>Permanent græs</v>
      </c>
      <c r="B410" s="94" t="str">
        <f>'Resultater - Vestdanmark'!B410</f>
        <v>Konventionel</v>
      </c>
      <c r="C410" s="94" t="str">
        <f>'Resultater - Vestdanmark'!C410</f>
        <v>OC6</v>
      </c>
      <c r="D410" s="94" t="str">
        <f>'Resultater - Vestdanmark'!D410</f>
        <v>Areal-permanent græs</v>
      </c>
      <c r="E410" s="94" t="str">
        <f>'Resultater - Vestdanmark'!E410</f>
        <v>Hektar</v>
      </c>
      <c r="F410" s="94" t="str">
        <f>'Resultater - Vestdanmark'!F410</f>
        <v>CO2 - atmosfære</v>
      </c>
      <c r="G410" s="94" t="str">
        <f>'Resultater - Vestdanmark'!G410</f>
        <v>t CO2-ækvivalenter</v>
      </c>
      <c r="H410" s="252">
        <f>'Resultater - Vestdanmark'!H410+'Resultater - Østdanmark'!H410</f>
        <v>233744.91463565463</v>
      </c>
      <c r="I410" s="253">
        <f>'Resultater - Vestdanmark'!I410+'Resultater - Østdanmark'!I410</f>
        <v>215069.73819882114</v>
      </c>
      <c r="J410" s="254">
        <f>'Resultater - Vestdanmark'!J410+'Resultater - Østdanmark'!J410</f>
        <v>170256.40734340728</v>
      </c>
    </row>
    <row r="411" spans="1:10" x14ac:dyDescent="0.25">
      <c r="A411" s="94" t="str">
        <f>'Resultater - Vestdanmark'!A411</f>
        <v>Permanent græs</v>
      </c>
      <c r="B411" s="94" t="str">
        <f>'Resultater - Vestdanmark'!B411</f>
        <v>Konventionel</v>
      </c>
      <c r="C411" s="94" t="str">
        <f>'Resultater - Vestdanmark'!C411</f>
        <v>OC12</v>
      </c>
      <c r="D411" s="94" t="str">
        <f>'Resultater - Vestdanmark'!D411</f>
        <v>Areal-permanent græs</v>
      </c>
      <c r="E411" s="94" t="str">
        <f>'Resultater - Vestdanmark'!E411</f>
        <v>Hektar</v>
      </c>
      <c r="F411" s="94" t="str">
        <f>'Resultater - Vestdanmark'!F411</f>
        <v>Græs</v>
      </c>
      <c r="G411" s="94" t="str">
        <f>'Resultater - Vestdanmark'!G411</f>
        <v>Ton</v>
      </c>
      <c r="H411" s="252">
        <f>'Resultater - Vestdanmark'!H411+'Resultater - Østdanmark'!H411</f>
        <v>458081.74348965334</v>
      </c>
      <c r="I411" s="253">
        <f>'Resultater - Vestdanmark'!I411+'Resultater - Østdanmark'!I411</f>
        <v>351282.54916678835</v>
      </c>
      <c r="J411" s="254">
        <f>'Resultater - Vestdanmark'!J411+'Resultater - Østdanmark'!J411</f>
        <v>0</v>
      </c>
    </row>
    <row r="412" spans="1:10" x14ac:dyDescent="0.25">
      <c r="A412" s="94" t="str">
        <f>'Resultater - Vestdanmark'!A412</f>
        <v>Permanent græs</v>
      </c>
      <c r="B412" s="94" t="str">
        <f>'Resultater - Vestdanmark'!B412</f>
        <v>Konventionel</v>
      </c>
      <c r="C412" s="94" t="str">
        <f>'Resultater - Vestdanmark'!C412</f>
        <v>OC12</v>
      </c>
      <c r="D412" s="94" t="str">
        <f>'Resultater - Vestdanmark'!D412</f>
        <v>Areal-permanent græs</v>
      </c>
      <c r="E412" s="94" t="str">
        <f>'Resultater - Vestdanmark'!E412</f>
        <v>Hektar</v>
      </c>
      <c r="F412" s="94" t="str">
        <f>'Resultater - Vestdanmark'!F412</f>
        <v>Gødning</v>
      </c>
      <c r="G412" s="94" t="str">
        <f>'Resultater - Vestdanmark'!G412</f>
        <v>kg N</v>
      </c>
      <c r="H412" s="252">
        <f>'Resultater - Vestdanmark'!H412+'Resultater - Østdanmark'!H412</f>
        <v>-1186371.4479686453</v>
      </c>
      <c r="I412" s="253">
        <f>'Resultater - Vestdanmark'!I412+'Resultater - Østdanmark'!I412</f>
        <v>-850257.55676843552</v>
      </c>
      <c r="J412" s="254">
        <f>'Resultater - Vestdanmark'!J412+'Resultater - Østdanmark'!J412</f>
        <v>0</v>
      </c>
    </row>
    <row r="413" spans="1:10" x14ac:dyDescent="0.25">
      <c r="A413" s="94" t="str">
        <f>'Resultater - Vestdanmark'!A413</f>
        <v>Permanent græs</v>
      </c>
      <c r="B413" s="94" t="str">
        <f>'Resultater - Vestdanmark'!B413</f>
        <v>Konventionel</v>
      </c>
      <c r="C413" s="94" t="str">
        <f>'Resultater - Vestdanmark'!C413</f>
        <v>OC12</v>
      </c>
      <c r="D413" s="94" t="str">
        <f>'Resultater - Vestdanmark'!D413</f>
        <v>Areal-permanent græs</v>
      </c>
      <c r="E413" s="94" t="str">
        <f>'Resultater - Vestdanmark'!E413</f>
        <v>Hektar</v>
      </c>
      <c r="F413" s="94" t="str">
        <f>'Resultater - Vestdanmark'!F413</f>
        <v>CO2 - atmosfære</v>
      </c>
      <c r="G413" s="94" t="str">
        <f>'Resultater - Vestdanmark'!G413</f>
        <v>t CO2-ækvivalenter</v>
      </c>
      <c r="H413" s="252">
        <f>'Resultater - Vestdanmark'!H413+'Resultater - Østdanmark'!H413</f>
        <v>676271.92832627031</v>
      </c>
      <c r="I413" s="253">
        <f>'Resultater - Vestdanmark'!I413+'Resultater - Østdanmark'!I413</f>
        <v>484675.62033317744</v>
      </c>
      <c r="J413" s="254">
        <f>'Resultater - Vestdanmark'!J413+'Resultater - Østdanmark'!J413</f>
        <v>0</v>
      </c>
    </row>
    <row r="414" spans="1:10" x14ac:dyDescent="0.25">
      <c r="A414" s="94" t="str">
        <f>'Resultater - Vestdanmark'!A414</f>
        <v>Permanent græs</v>
      </c>
      <c r="B414" s="94" t="str">
        <f>'Resultater - Vestdanmark'!B414</f>
        <v>Økologisk</v>
      </c>
      <c r="C414" s="94" t="str">
        <f>'Resultater - Vestdanmark'!C414</f>
        <v>JB1-10</v>
      </c>
      <c r="D414" s="94" t="str">
        <f>'Resultater - Vestdanmark'!D414</f>
        <v>Areal-permanent græs</v>
      </c>
      <c r="E414" s="94" t="str">
        <f>'Resultater - Vestdanmark'!E414</f>
        <v>Hektar</v>
      </c>
      <c r="F414" s="94" t="str">
        <f>'Resultater - Vestdanmark'!F414</f>
        <v>Græs</v>
      </c>
      <c r="G414" s="94" t="str">
        <f>'Resultater - Vestdanmark'!G414</f>
        <v>Ton</v>
      </c>
      <c r="H414" s="252">
        <f>'Resultater - Vestdanmark'!H414+'Resultater - Østdanmark'!H414</f>
        <v>265224.08195726445</v>
      </c>
      <c r="I414" s="253">
        <f>'Resultater - Vestdanmark'!I414+'Resultater - Østdanmark'!I414</f>
        <v>320138.39665459341</v>
      </c>
      <c r="J414" s="254">
        <f>'Resultater - Vestdanmark'!J414+'Resultater - Østdanmark'!J414</f>
        <v>421212.94036744634</v>
      </c>
    </row>
    <row r="415" spans="1:10" x14ac:dyDescent="0.25">
      <c r="A415" s="94" t="str">
        <f>'Resultater - Vestdanmark'!A415</f>
        <v>Permanent græs</v>
      </c>
      <c r="B415" s="94" t="str">
        <f>'Resultater - Vestdanmark'!B415</f>
        <v>Økologisk</v>
      </c>
      <c r="C415" s="94" t="str">
        <f>'Resultater - Vestdanmark'!C415</f>
        <v>JB1-10</v>
      </c>
      <c r="D415" s="94" t="str">
        <f>'Resultater - Vestdanmark'!D415</f>
        <v>Areal-permanent græs</v>
      </c>
      <c r="E415" s="94" t="str">
        <f>'Resultater - Vestdanmark'!E415</f>
        <v>Hektar</v>
      </c>
      <c r="F415" s="94" t="str">
        <f>'Resultater - Vestdanmark'!F415</f>
        <v>Gødning</v>
      </c>
      <c r="G415" s="94" t="str">
        <f>'Resultater - Vestdanmark'!G415</f>
        <v>kg N</v>
      </c>
      <c r="H415" s="252">
        <f>'Resultater - Vestdanmark'!H415+'Resultater - Østdanmark'!H415</f>
        <v>-961653.66917064704</v>
      </c>
      <c r="I415" s="253">
        <f>'Resultater - Vestdanmark'!I415+'Resultater - Østdanmark'!I415</f>
        <v>-1084825.1023516748</v>
      </c>
      <c r="J415" s="254">
        <f>'Resultater - Vestdanmark'!J415+'Resultater - Østdanmark'!J415</f>
        <v>-1328035.2503939411</v>
      </c>
    </row>
    <row r="416" spans="1:10" x14ac:dyDescent="0.25">
      <c r="A416" s="94" t="str">
        <f>'Resultater - Vestdanmark'!A416</f>
        <v>Permanent græs</v>
      </c>
      <c r="B416" s="94" t="str">
        <f>'Resultater - Vestdanmark'!B416</f>
        <v>Økologisk</v>
      </c>
      <c r="C416" s="94" t="str">
        <f>'Resultater - Vestdanmark'!C416</f>
        <v>JB1-10</v>
      </c>
      <c r="D416" s="94" t="str">
        <f>'Resultater - Vestdanmark'!D416</f>
        <v>Areal-permanent græs</v>
      </c>
      <c r="E416" s="94" t="str">
        <f>'Resultater - Vestdanmark'!E416</f>
        <v>Hektar</v>
      </c>
      <c r="F416" s="94" t="str">
        <f>'Resultater - Vestdanmark'!F416</f>
        <v>CO2 - atmosfære</v>
      </c>
      <c r="G416" s="94" t="str">
        <f>'Resultater - Vestdanmark'!G416</f>
        <v>t CO2-ækvivalenter</v>
      </c>
      <c r="H416" s="252">
        <f>'Resultater - Vestdanmark'!H416+'Resultater - Østdanmark'!H416</f>
        <v>37806.344019209348</v>
      </c>
      <c r="I416" s="253">
        <f>'Resultater - Vestdanmark'!I416+'Resultater - Østdanmark'!I416</f>
        <v>42648.691867990507</v>
      </c>
      <c r="J416" s="254">
        <f>'Resultater - Vestdanmark'!J416+'Resultater - Østdanmark'!J416</f>
        <v>52210.228230430264</v>
      </c>
    </row>
    <row r="417" spans="1:10" x14ac:dyDescent="0.25">
      <c r="A417" s="94" t="str">
        <f>'Resultater - Vestdanmark'!A417</f>
        <v>Permanent græs</v>
      </c>
      <c r="B417" s="94" t="str">
        <f>'Resultater - Vestdanmark'!B417</f>
        <v>Økologisk</v>
      </c>
      <c r="C417" s="94" t="str">
        <f>'Resultater - Vestdanmark'!C417</f>
        <v>OC6</v>
      </c>
      <c r="D417" s="94" t="str">
        <f>'Resultater - Vestdanmark'!D417</f>
        <v>Areal-permanent græs</v>
      </c>
      <c r="E417" s="94" t="str">
        <f>'Resultater - Vestdanmark'!E417</f>
        <v>Hektar</v>
      </c>
      <c r="F417" s="94" t="str">
        <f>'Resultater - Vestdanmark'!F417</f>
        <v>Græs</v>
      </c>
      <c r="G417" s="94" t="str">
        <f>'Resultater - Vestdanmark'!G417</f>
        <v>Ton</v>
      </c>
      <c r="H417" s="252">
        <f>'Resultater - Vestdanmark'!H417+'Resultater - Østdanmark'!H417</f>
        <v>46387.535336013323</v>
      </c>
      <c r="I417" s="253">
        <f>'Resultater - Vestdanmark'!I417+'Resultater - Østdanmark'!I417</f>
        <v>55744.243835815207</v>
      </c>
      <c r="J417" s="254">
        <f>'Resultater - Vestdanmark'!J417+'Resultater - Østdanmark'!J417</f>
        <v>64462.135531160042</v>
      </c>
    </row>
    <row r="418" spans="1:10" x14ac:dyDescent="0.25">
      <c r="A418" s="94" t="str">
        <f>'Resultater - Vestdanmark'!A418</f>
        <v>Permanent græs</v>
      </c>
      <c r="B418" s="94" t="str">
        <f>'Resultater - Vestdanmark'!B418</f>
        <v>Økologisk</v>
      </c>
      <c r="C418" s="94" t="str">
        <f>'Resultater - Vestdanmark'!C418</f>
        <v>OC6</v>
      </c>
      <c r="D418" s="94" t="str">
        <f>'Resultater - Vestdanmark'!D418</f>
        <v>Areal-permanent græs</v>
      </c>
      <c r="E418" s="94" t="str">
        <f>'Resultater - Vestdanmark'!E418</f>
        <v>Hektar</v>
      </c>
      <c r="F418" s="94" t="str">
        <f>'Resultater - Vestdanmark'!F418</f>
        <v>Gødning</v>
      </c>
      <c r="G418" s="94" t="str">
        <f>'Resultater - Vestdanmark'!G418</f>
        <v>kg N</v>
      </c>
      <c r="H418" s="252">
        <f>'Resultater - Vestdanmark'!H418+'Resultater - Østdanmark'!H418</f>
        <v>-140160.5491177584</v>
      </c>
      <c r="I418" s="253">
        <f>'Resultater - Vestdanmark'!I418+'Resultater - Østdanmark'!I418</f>
        <v>-157413.05337690862</v>
      </c>
      <c r="J418" s="254">
        <f>'Resultater - Vestdanmark'!J418+'Resultater - Østdanmark'!J418</f>
        <v>-169367.99279870954</v>
      </c>
    </row>
    <row r="419" spans="1:10" x14ac:dyDescent="0.25">
      <c r="A419" s="94" t="str">
        <f>'Resultater - Vestdanmark'!A419</f>
        <v>Permanent græs</v>
      </c>
      <c r="B419" s="94" t="str">
        <f>'Resultater - Vestdanmark'!B419</f>
        <v>Økologisk</v>
      </c>
      <c r="C419" s="94" t="str">
        <f>'Resultater - Vestdanmark'!C419</f>
        <v>OC6</v>
      </c>
      <c r="D419" s="94" t="str">
        <f>'Resultater - Vestdanmark'!D419</f>
        <v>Areal-permanent græs</v>
      </c>
      <c r="E419" s="94" t="str">
        <f>'Resultater - Vestdanmark'!E419</f>
        <v>Hektar</v>
      </c>
      <c r="F419" s="94" t="str">
        <f>'Resultater - Vestdanmark'!F419</f>
        <v>CO2 - atmosfære</v>
      </c>
      <c r="G419" s="94" t="str">
        <f>'Resultater - Vestdanmark'!G419</f>
        <v>t CO2-ækvivalenter</v>
      </c>
      <c r="H419" s="252">
        <f>'Resultater - Vestdanmark'!H419+'Resultater - Østdanmark'!H419</f>
        <v>29886.978741449482</v>
      </c>
      <c r="I419" s="253">
        <f>'Resultater - Vestdanmark'!I419+'Resultater - Østdanmark'!I419</f>
        <v>33565.7972911455</v>
      </c>
      <c r="J419" s="254">
        <f>'Resultater - Vestdanmark'!J419+'Resultater - Østdanmark'!J419</f>
        <v>36114.995497086391</v>
      </c>
    </row>
    <row r="420" spans="1:10" x14ac:dyDescent="0.25">
      <c r="A420" s="94" t="str">
        <f>'Resultater - Vestdanmark'!A420</f>
        <v>Permanent græs</v>
      </c>
      <c r="B420" s="94" t="str">
        <f>'Resultater - Vestdanmark'!B420</f>
        <v>Økologisk</v>
      </c>
      <c r="C420" s="94" t="str">
        <f>'Resultater - Vestdanmark'!C420</f>
        <v>OC12</v>
      </c>
      <c r="D420" s="94" t="str">
        <f>'Resultater - Vestdanmark'!D420</f>
        <v>Areal-permanent græs</v>
      </c>
      <c r="E420" s="94" t="str">
        <f>'Resultater - Vestdanmark'!E420</f>
        <v>Hektar</v>
      </c>
      <c r="F420" s="94" t="str">
        <f>'Resultater - Vestdanmark'!F420</f>
        <v>Græs</v>
      </c>
      <c r="G420" s="94" t="str">
        <f>'Resultater - Vestdanmark'!G420</f>
        <v>Ton</v>
      </c>
      <c r="H420" s="252">
        <f>'Resultater - Vestdanmark'!H420+'Resultater - Østdanmark'!H420</f>
        <v>58571.025388344671</v>
      </c>
      <c r="I420" s="253">
        <f>'Resultater - Vestdanmark'!I420+'Resultater - Østdanmark'!I420</f>
        <v>54824.444089614371</v>
      </c>
      <c r="J420" s="254">
        <f>'Resultater - Vestdanmark'!J420+'Resultater - Østdanmark'!J420</f>
        <v>0</v>
      </c>
    </row>
    <row r="421" spans="1:10" x14ac:dyDescent="0.25">
      <c r="A421" s="94" t="str">
        <f>'Resultater - Vestdanmark'!A421</f>
        <v>Permanent græs</v>
      </c>
      <c r="B421" s="94" t="str">
        <f>'Resultater - Vestdanmark'!B421</f>
        <v>Økologisk</v>
      </c>
      <c r="C421" s="94" t="str">
        <f>'Resultater - Vestdanmark'!C421</f>
        <v>OC12</v>
      </c>
      <c r="D421" s="94" t="str">
        <f>'Resultater - Vestdanmark'!D421</f>
        <v>Areal-permanent græs</v>
      </c>
      <c r="E421" s="94" t="str">
        <f>'Resultater - Vestdanmark'!E421</f>
        <v>Hektar</v>
      </c>
      <c r="F421" s="94" t="str">
        <f>'Resultater - Vestdanmark'!F421</f>
        <v>Gødning</v>
      </c>
      <c r="G421" s="94" t="str">
        <f>'Resultater - Vestdanmark'!G421</f>
        <v>kg N</v>
      </c>
      <c r="H421" s="252">
        <f>'Resultater - Vestdanmark'!H421+'Resultater - Østdanmark'!H421</f>
        <v>-151691.24984032079</v>
      </c>
      <c r="I421" s="253">
        <f>'Resultater - Vestdanmark'!I421+'Resultater - Østdanmark'!I421</f>
        <v>-132699.15625865757</v>
      </c>
      <c r="J421" s="254">
        <f>'Resultater - Vestdanmark'!J421+'Resultater - Østdanmark'!J421</f>
        <v>0</v>
      </c>
    </row>
    <row r="422" spans="1:10" x14ac:dyDescent="0.25">
      <c r="A422" s="94" t="str">
        <f>'Resultater - Vestdanmark'!A422</f>
        <v>Permanent græs</v>
      </c>
      <c r="B422" s="94" t="str">
        <f>'Resultater - Vestdanmark'!B422</f>
        <v>Økologisk</v>
      </c>
      <c r="C422" s="94" t="str">
        <f>'Resultater - Vestdanmark'!C422</f>
        <v>OC12</v>
      </c>
      <c r="D422" s="94" t="str">
        <f>'Resultater - Vestdanmark'!D422</f>
        <v>Areal-permanent græs</v>
      </c>
      <c r="E422" s="94" t="str">
        <f>'Resultater - Vestdanmark'!E422</f>
        <v>Hektar</v>
      </c>
      <c r="F422" s="94" t="str">
        <f>'Resultater - Vestdanmark'!F422</f>
        <v>CO2 - atmosfære</v>
      </c>
      <c r="G422" s="94" t="str">
        <f>'Resultater - Vestdanmark'!G422</f>
        <v>t CO2-ækvivalenter</v>
      </c>
      <c r="H422" s="252">
        <f>'Resultater - Vestdanmark'!H422+'Resultater - Østdanmark'!H422</f>
        <v>86469.152823414028</v>
      </c>
      <c r="I422" s="253">
        <f>'Resultater - Vestdanmark'!I422+'Resultater - Østdanmark'!I422</f>
        <v>75643.015890149094</v>
      </c>
      <c r="J422" s="254">
        <f>'Resultater - Vestdanmark'!J422+'Resultater - Østdanmark'!J422</f>
        <v>0</v>
      </c>
    </row>
    <row r="423" spans="1:10" x14ac:dyDescent="0.25">
      <c r="A423" s="94" t="str">
        <f>'Resultater - Vestdanmark'!A423</f>
        <v>Tømmerproduktion</v>
      </c>
      <c r="B423" s="94" t="str">
        <f>'Resultater - Vestdanmark'!B423</f>
        <v/>
      </c>
      <c r="C423" s="94" t="str">
        <f>'Resultater - Vestdanmark'!C423</f>
        <v/>
      </c>
      <c r="D423" s="94" t="str">
        <f>'Resultater - Vestdanmark'!D423</f>
        <v>Træer</v>
      </c>
      <c r="E423" s="94" t="str">
        <f>'Resultater - Vestdanmark'!E423</f>
        <v>m3</v>
      </c>
      <c r="F423" s="94" t="str">
        <f>'Resultater - Vestdanmark'!F423</f>
        <v>Træmaterialer</v>
      </c>
      <c r="G423" s="94" t="str">
        <f>'Resultater - Vestdanmark'!G423</f>
        <v>m3</v>
      </c>
      <c r="H423" s="252">
        <f ca="1">'Resultater - Vestdanmark'!H423+'Resultater - Østdanmark'!H423</f>
        <v>827707.93518034508</v>
      </c>
      <c r="I423" s="253">
        <f ca="1">'Resultater - Vestdanmark'!I423+'Resultater - Østdanmark'!I423</f>
        <v>792057.93807476689</v>
      </c>
      <c r="J423" s="254">
        <f ca="1">'Resultater - Vestdanmark'!J423+'Resultater - Østdanmark'!J423</f>
        <v>859926.76116467617</v>
      </c>
    </row>
    <row r="424" spans="1:10" x14ac:dyDescent="0.25">
      <c r="A424" s="94" t="str">
        <f>'Resultater - Vestdanmark'!A424</f>
        <v>Tømmerproduktion</v>
      </c>
      <c r="B424" s="94" t="str">
        <f>'Resultater - Vestdanmark'!B424</f>
        <v/>
      </c>
      <c r="C424" s="94" t="str">
        <f>'Resultater - Vestdanmark'!C424</f>
        <v/>
      </c>
      <c r="D424" s="94" t="str">
        <f>'Resultater - Vestdanmark'!D424</f>
        <v>Træer</v>
      </c>
      <c r="E424" s="94" t="str">
        <f>'Resultater - Vestdanmark'!E424</f>
        <v>m3</v>
      </c>
      <c r="F424" s="94" t="str">
        <f>'Resultater - Vestdanmark'!F424</f>
        <v>Træ til energi</v>
      </c>
      <c r="G424" s="94" t="str">
        <f>'Resultater - Vestdanmark'!G424</f>
        <v>m3</v>
      </c>
      <c r="H424" s="252">
        <f ca="1">'Resultater - Vestdanmark'!H424+'Resultater - Østdanmark'!H424</f>
        <v>896683.59644537373</v>
      </c>
      <c r="I424" s="253">
        <f ca="1">'Resultater - Vestdanmark'!I424+'Resultater - Østdanmark'!I424</f>
        <v>858062.76624766411</v>
      </c>
      <c r="J424" s="254">
        <f ca="1">'Resultater - Vestdanmark'!J424+'Resultater - Østdanmark'!J424</f>
        <v>931587.32459506579</v>
      </c>
    </row>
    <row r="425" spans="1:10" x14ac:dyDescent="0.25">
      <c r="A425" s="94" t="str">
        <f>'Resultater - Vestdanmark'!A425</f>
        <v>Tømmerproduktion</v>
      </c>
      <c r="B425" s="94" t="str">
        <f>'Resultater - Vestdanmark'!B425</f>
        <v/>
      </c>
      <c r="C425" s="94" t="str">
        <f>'Resultater - Vestdanmark'!C425</f>
        <v/>
      </c>
      <c r="D425" s="94" t="str">
        <f>'Resultater - Vestdanmark'!D425</f>
        <v>CO2 - HWP</v>
      </c>
      <c r="E425" s="94" t="str">
        <f>'Resultater - Vestdanmark'!E425</f>
        <v>t CO2-ækvivalenter</v>
      </c>
      <c r="F425" s="94" t="str">
        <f>'Resultater - Vestdanmark'!F425</f>
        <v>CO2 - atmosfære</v>
      </c>
      <c r="G425" s="94" t="str">
        <f>'Resultater - Vestdanmark'!G425</f>
        <v>t CO2-ækvivalenter</v>
      </c>
      <c r="H425" s="252">
        <f ca="1">'Resultater - Vestdanmark'!H425+'Resultater - Østdanmark'!H425</f>
        <v>-606450.26032409817</v>
      </c>
      <c r="I425" s="253">
        <f ca="1">'Resultater - Vestdanmark'!I425+'Resultater - Østdanmark'!I425</f>
        <v>-630162.68470434938</v>
      </c>
      <c r="J425" s="254">
        <f ca="1">'Resultater - Vestdanmark'!J425+'Resultater - Østdanmark'!J425</f>
        <v>-1489290.6300438091</v>
      </c>
    </row>
    <row r="426" spans="1:10" x14ac:dyDescent="0.25">
      <c r="A426" s="94" t="str">
        <f>'Resultater - Vestdanmark'!A426</f>
        <v>Mejeri</v>
      </c>
      <c r="B426" s="94" t="str">
        <f>'Resultater - Vestdanmark'!B426</f>
        <v/>
      </c>
      <c r="C426" s="94" t="str">
        <f>'Resultater - Vestdanmark'!C426</f>
        <v/>
      </c>
      <c r="D426" s="94" t="str">
        <f>'Resultater - Vestdanmark'!D426</f>
        <v>Råmælk</v>
      </c>
      <c r="E426" s="94" t="str">
        <f>'Resultater - Vestdanmark'!E426</f>
        <v>Ton</v>
      </c>
      <c r="F426" s="94" t="str">
        <f>'Resultater - Vestdanmark'!F426</f>
        <v>Mejeriprodukter</v>
      </c>
      <c r="G426" s="94" t="str">
        <f>'Resultater - Vestdanmark'!G426</f>
        <v>Ton</v>
      </c>
      <c r="H426" s="252">
        <f ca="1">'Resultater - Vestdanmark'!H426+'Resultater - Østdanmark'!H426</f>
        <v>3383628.2</v>
      </c>
      <c r="I426" s="253">
        <f ca="1">'Resultater - Vestdanmark'!I426+'Resultater - Østdanmark'!I426</f>
        <v>3349973.4189923876</v>
      </c>
      <c r="J426" s="254">
        <f ca="1">'Resultater - Vestdanmark'!J426+'Resultater - Østdanmark'!J426</f>
        <v>3287746.765328066</v>
      </c>
    </row>
    <row r="427" spans="1:10" x14ac:dyDescent="0.25">
      <c r="A427" s="94" t="str">
        <f>'Resultater - Vestdanmark'!A427</f>
        <v>Mejeri</v>
      </c>
      <c r="B427" s="94" t="str">
        <f>'Resultater - Vestdanmark'!B427</f>
        <v/>
      </c>
      <c r="C427" s="94" t="str">
        <f>'Resultater - Vestdanmark'!C427</f>
        <v/>
      </c>
      <c r="D427" s="94" t="str">
        <f>'Resultater - Vestdanmark'!D427</f>
        <v>Råmælk</v>
      </c>
      <c r="E427" s="94" t="str">
        <f>'Resultater - Vestdanmark'!E427</f>
        <v>Ton</v>
      </c>
      <c r="F427" s="94" t="str">
        <f>'Resultater - Vestdanmark'!F427</f>
        <v>Spildevandsslam</v>
      </c>
      <c r="G427" s="94" t="str">
        <f>'Resultater - Vestdanmark'!G427</f>
        <v>Ton</v>
      </c>
      <c r="H427" s="252">
        <f ca="1">'Resultater - Vestdanmark'!H427+'Resultater - Østdanmark'!H427</f>
        <v>131725</v>
      </c>
      <c r="I427" s="253">
        <f ca="1">'Resultater - Vestdanmark'!I427+'Resultater - Østdanmark'!I427</f>
        <v>130414.81585263187</v>
      </c>
      <c r="J427" s="254">
        <f ca="1">'Resultater - Vestdanmark'!J427+'Resultater - Østdanmark'!J427</f>
        <v>127992.32571203879</v>
      </c>
    </row>
    <row r="428" spans="1:10" x14ac:dyDescent="0.25">
      <c r="A428" s="94" t="str">
        <f>'Resultater - Vestdanmark'!A428</f>
        <v>Mejeri</v>
      </c>
      <c r="B428" s="94" t="str">
        <f>'Resultater - Vestdanmark'!B428</f>
        <v/>
      </c>
      <c r="C428" s="94" t="str">
        <f>'Resultater - Vestdanmark'!C428</f>
        <v/>
      </c>
      <c r="D428" s="94" t="str">
        <f>'Resultater - Vestdanmark'!D428</f>
        <v>Råmælk</v>
      </c>
      <c r="E428" s="94" t="str">
        <f>'Resultater - Vestdanmark'!E428</f>
        <v>Ton</v>
      </c>
      <c r="F428" s="94" t="str">
        <f>'Resultater - Vestdanmark'!F428</f>
        <v>Industriaffald</v>
      </c>
      <c r="G428" s="94" t="str">
        <f>'Resultater - Vestdanmark'!G428</f>
        <v>Ton</v>
      </c>
      <c r="H428" s="252">
        <f ca="1">'Resultater - Vestdanmark'!H428+'Resultater - Østdanmark'!H428</f>
        <v>17308.665000000001</v>
      </c>
      <c r="I428" s="253">
        <f ca="1">'Resultater - Vestdanmark'!I428+'Resultater - Østdanmark'!I428</f>
        <v>17136.506803035827</v>
      </c>
      <c r="J428" s="254">
        <f ca="1">'Resultater - Vestdanmark'!J428+'Resultater - Østdanmark'!J428</f>
        <v>16818.191598561898</v>
      </c>
    </row>
    <row r="429" spans="1:10" x14ac:dyDescent="0.25">
      <c r="A429" s="94" t="str">
        <f>'Resultater - Vestdanmark'!A429</f>
        <v>Mejeri</v>
      </c>
      <c r="B429" s="94" t="str">
        <f>'Resultater - Vestdanmark'!B429</f>
        <v/>
      </c>
      <c r="C429" s="94" t="str">
        <f>'Resultater - Vestdanmark'!C429</f>
        <v/>
      </c>
      <c r="D429" s="94" t="str">
        <f>'Resultater - Vestdanmark'!D429</f>
        <v>Råmælk</v>
      </c>
      <c r="E429" s="94" t="str">
        <f>'Resultater - Vestdanmark'!E429</f>
        <v>Ton</v>
      </c>
      <c r="F429" s="94" t="str">
        <f>'Resultater - Vestdanmark'!F429</f>
        <v>Mælk til foder</v>
      </c>
      <c r="G429" s="94" t="str">
        <f>'Resultater - Vestdanmark'!G429</f>
        <v>Ton</v>
      </c>
      <c r="H429" s="252">
        <f ca="1">'Resultater - Vestdanmark'!H429+'Resultater - Østdanmark'!H429</f>
        <v>1753646.8000000003</v>
      </c>
      <c r="I429" s="253">
        <f ca="1">'Resultater - Vestdanmark'!I429+'Resultater - Østdanmark'!I429</f>
        <v>1736204.3992602557</v>
      </c>
      <c r="J429" s="254">
        <f ca="1">'Resultater - Vestdanmark'!J429+'Resultater - Østdanmark'!J429</f>
        <v>1703953.9374414468</v>
      </c>
    </row>
    <row r="430" spans="1:10" x14ac:dyDescent="0.25">
      <c r="A430" s="94" t="str">
        <f>'Resultater - Vestdanmark'!A430</f>
        <v>Slagteri</v>
      </c>
      <c r="B430" s="94" t="str">
        <f>'Resultater - Vestdanmark'!B430</f>
        <v/>
      </c>
      <c r="C430" s="94" t="str">
        <f>'Resultater - Vestdanmark'!C430</f>
        <v/>
      </c>
      <c r="D430" s="94" t="str">
        <f>'Resultater - Vestdanmark'!D430</f>
        <v>Slagtesvin</v>
      </c>
      <c r="E430" s="94" t="str">
        <f>'Resultater - Vestdanmark'!E430</f>
        <v>Antal</v>
      </c>
      <c r="F430" s="94" t="str">
        <f>'Resultater - Vestdanmark'!F430</f>
        <v>Svinekød</v>
      </c>
      <c r="G430" s="94" t="str">
        <f>'Resultater - Vestdanmark'!G430</f>
        <v>Ton</v>
      </c>
      <c r="H430" s="252">
        <f>'Resultater - Vestdanmark'!H430+'Resultater - Østdanmark'!H430</f>
        <v>1601127.6966659406</v>
      </c>
      <c r="I430" s="253">
        <f>'Resultater - Vestdanmark'!I430+'Resultater - Østdanmark'!I430</f>
        <v>1521700.8329200619</v>
      </c>
      <c r="J430" s="254">
        <f>'Resultater - Vestdanmark'!J430+'Resultater - Østdanmark'!J430</f>
        <v>1380901.3834271473</v>
      </c>
    </row>
    <row r="431" spans="1:10" x14ac:dyDescent="0.25">
      <c r="A431" s="94" t="str">
        <f>'Resultater - Vestdanmark'!A431</f>
        <v>Slagteri</v>
      </c>
      <c r="B431" s="94" t="str">
        <f>'Resultater - Vestdanmark'!B431</f>
        <v/>
      </c>
      <c r="C431" s="94" t="str">
        <f>'Resultater - Vestdanmark'!C431</f>
        <v/>
      </c>
      <c r="D431" s="94" t="str">
        <f>'Resultater - Vestdanmark'!D431</f>
        <v>Slagtesvin</v>
      </c>
      <c r="E431" s="94" t="str">
        <f>'Resultater - Vestdanmark'!E431</f>
        <v>Antal</v>
      </c>
      <c r="F431" s="94" t="str">
        <f>'Resultater - Vestdanmark'!F431</f>
        <v>Industriaffald</v>
      </c>
      <c r="G431" s="94" t="str">
        <f>'Resultater - Vestdanmark'!G431</f>
        <v>Ton</v>
      </c>
      <c r="H431" s="252">
        <f>'Resultater - Vestdanmark'!H431+'Resultater - Østdanmark'!H431</f>
        <v>22728.326432774025</v>
      </c>
      <c r="I431" s="253">
        <f>'Resultater - Vestdanmark'!I431+'Resultater - Østdanmark'!I431</f>
        <v>29153.398617706007</v>
      </c>
      <c r="J431" s="254">
        <f>'Resultater - Vestdanmark'!J431+'Resultater - Østdanmark'!J431</f>
        <v>26455.902245607922</v>
      </c>
    </row>
    <row r="432" spans="1:10" x14ac:dyDescent="0.25">
      <c r="A432" s="94" t="str">
        <f>'Resultater - Vestdanmark'!A432</f>
        <v>Slagteri</v>
      </c>
      <c r="B432" s="94" t="str">
        <f>'Resultater - Vestdanmark'!B432</f>
        <v/>
      </c>
      <c r="C432" s="94" t="str">
        <f>'Resultater - Vestdanmark'!C432</f>
        <v/>
      </c>
      <c r="D432" s="94" t="str">
        <f>'Resultater - Vestdanmark'!D432</f>
        <v>Slagtesvin</v>
      </c>
      <c r="E432" s="94" t="str">
        <f>'Resultater - Vestdanmark'!E432</f>
        <v>Antal</v>
      </c>
      <c r="F432" s="94" t="str">
        <f>'Resultater - Vestdanmark'!F432</f>
        <v>Slagteriaffald til foder</v>
      </c>
      <c r="G432" s="94" t="str">
        <f>'Resultater - Vestdanmark'!G432</f>
        <v>Ton</v>
      </c>
      <c r="H432" s="252">
        <f>'Resultater - Vestdanmark'!H432+'Resultater - Østdanmark'!H432</f>
        <v>142794.72651993899</v>
      </c>
      <c r="I432" s="253">
        <f>'Resultater - Vestdanmark'!I432+'Resultater - Østdanmark'!I432</f>
        <v>135711.1333058897</v>
      </c>
      <c r="J432" s="254">
        <f>'Resultater - Vestdanmark'!J432+'Resultater - Østdanmark'!J432</f>
        <v>123154.09683318077</v>
      </c>
    </row>
    <row r="433" spans="1:10" x14ac:dyDescent="0.25">
      <c r="A433" s="94" t="str">
        <f>'Resultater - Vestdanmark'!A433</f>
        <v>Slagteri</v>
      </c>
      <c r="B433" s="94" t="str">
        <f>'Resultater - Vestdanmark'!B433</f>
        <v/>
      </c>
      <c r="C433" s="94" t="str">
        <f>'Resultater - Vestdanmark'!C433</f>
        <v/>
      </c>
      <c r="D433" s="94" t="str">
        <f>'Resultater - Vestdanmark'!D433</f>
        <v>Slagtesvin</v>
      </c>
      <c r="E433" s="94" t="str">
        <f>'Resultater - Vestdanmark'!E433</f>
        <v>Antal</v>
      </c>
      <c r="F433" s="94" t="str">
        <f>'Resultater - Vestdanmark'!F433</f>
        <v>Slagteriaffald til andet</v>
      </c>
      <c r="G433" s="94" t="str">
        <f>'Resultater - Vestdanmark'!G433</f>
        <v>Ton</v>
      </c>
      <c r="H433" s="252">
        <f>'Resultater - Vestdanmark'!H433+'Resultater - Østdanmark'!H433</f>
        <v>140895.61996077577</v>
      </c>
      <c r="I433" s="253">
        <f>'Resultater - Vestdanmark'!I433+'Resultater - Østdanmark'!I433</f>
        <v>133906.23539618502</v>
      </c>
      <c r="J433" s="254">
        <f>'Resultater - Vestdanmark'!J433+'Resultater - Østdanmark'!J433</f>
        <v>121516.20194179582</v>
      </c>
    </row>
    <row r="434" spans="1:10" x14ac:dyDescent="0.25">
      <c r="A434" s="94" t="str">
        <f>'Resultater - Vestdanmark'!A434</f>
        <v>Slagteri</v>
      </c>
      <c r="B434" s="94" t="str">
        <f>'Resultater - Vestdanmark'!B434</f>
        <v/>
      </c>
      <c r="C434" s="94" t="str">
        <f>'Resultater - Vestdanmark'!C434</f>
        <v/>
      </c>
      <c r="D434" s="94" t="str">
        <f>'Resultater - Vestdanmark'!D434</f>
        <v>Slagtekøer</v>
      </c>
      <c r="E434" s="94" t="str">
        <f>'Resultater - Vestdanmark'!E434</f>
        <v>Antal</v>
      </c>
      <c r="F434" s="94" t="str">
        <f>'Resultater - Vestdanmark'!F434</f>
        <v>Oksekød</v>
      </c>
      <c r="G434" s="94" t="str">
        <f>'Resultater - Vestdanmark'!G434</f>
        <v>Ton</v>
      </c>
      <c r="H434" s="252">
        <f ca="1">'Resultater - Vestdanmark'!H434+'Resultater - Østdanmark'!H434</f>
        <v>115671.91919191919</v>
      </c>
      <c r="I434" s="253">
        <f ca="1">'Resultater - Vestdanmark'!I434+'Resultater - Østdanmark'!I434</f>
        <v>113713.9338619913</v>
      </c>
      <c r="J434" s="254">
        <f ca="1">'Resultater - Vestdanmark'!J434+'Resultater - Østdanmark'!J434</f>
        <v>110093.6792842632</v>
      </c>
    </row>
    <row r="435" spans="1:10" x14ac:dyDescent="0.25">
      <c r="A435" s="94" t="str">
        <f>'Resultater - Vestdanmark'!A435</f>
        <v>Slagteri</v>
      </c>
      <c r="B435" s="94" t="str">
        <f>'Resultater - Vestdanmark'!B435</f>
        <v/>
      </c>
      <c r="C435" s="94" t="str">
        <f>'Resultater - Vestdanmark'!C435</f>
        <v/>
      </c>
      <c r="D435" s="94" t="str">
        <f>'Resultater - Vestdanmark'!D435</f>
        <v>Slagtekøer</v>
      </c>
      <c r="E435" s="94" t="str">
        <f>'Resultater - Vestdanmark'!E435</f>
        <v>Antal</v>
      </c>
      <c r="F435" s="94" t="str">
        <f>'Resultater - Vestdanmark'!F435</f>
        <v>Industriaffald</v>
      </c>
      <c r="G435" s="94" t="str">
        <f>'Resultater - Vestdanmark'!G435</f>
        <v>Ton</v>
      </c>
      <c r="H435" s="252">
        <f ca="1">'Resultater - Vestdanmark'!H435+'Resultater - Østdanmark'!H435</f>
        <v>50006.545454545456</v>
      </c>
      <c r="I435" s="253">
        <f ca="1">'Resultater - Vestdanmark'!I435+'Resultater - Østdanmark'!I435</f>
        <v>55152.179429823183</v>
      </c>
      <c r="J435" s="254">
        <f ca="1">'Resultater - Vestdanmark'!J435+'Resultater - Østdanmark'!J435</f>
        <v>53396.326622067689</v>
      </c>
    </row>
    <row r="436" spans="1:10" x14ac:dyDescent="0.25">
      <c r="A436" s="94" t="str">
        <f>'Resultater - Vestdanmark'!A436</f>
        <v>Slagteri</v>
      </c>
      <c r="B436" s="94" t="str">
        <f>'Resultater - Vestdanmark'!B436</f>
        <v/>
      </c>
      <c r="C436" s="94" t="str">
        <f>'Resultater - Vestdanmark'!C436</f>
        <v/>
      </c>
      <c r="D436" s="94" t="str">
        <f>'Resultater - Vestdanmark'!D436</f>
        <v>Slagtekøer</v>
      </c>
      <c r="E436" s="94" t="str">
        <f>'Resultater - Vestdanmark'!E436</f>
        <v>Antal</v>
      </c>
      <c r="F436" s="94" t="str">
        <f>'Resultater - Vestdanmark'!F436</f>
        <v>Slagteriaffald til foder</v>
      </c>
      <c r="G436" s="94" t="str">
        <f>'Resultater - Vestdanmark'!G436</f>
        <v>Ton</v>
      </c>
      <c r="H436" s="252">
        <f ca="1">'Resultater - Vestdanmark'!H436+'Resultater - Østdanmark'!H436</f>
        <v>7405.2525252525256</v>
      </c>
      <c r="I436" s="253">
        <f ca="1">'Resultater - Vestdanmark'!I436+'Resultater - Østdanmark'!I436</f>
        <v>7279.9033833851809</v>
      </c>
      <c r="J436" s="254">
        <f ca="1">'Resultater - Vestdanmark'!J436+'Resultater - Østdanmark'!J436</f>
        <v>7048.136680272929</v>
      </c>
    </row>
    <row r="437" spans="1:10" x14ac:dyDescent="0.25">
      <c r="A437" s="94" t="str">
        <f>'Resultater - Vestdanmark'!A437</f>
        <v>Slagteri</v>
      </c>
      <c r="B437" s="94" t="str">
        <f>'Resultater - Vestdanmark'!B437</f>
        <v/>
      </c>
      <c r="C437" s="94" t="str">
        <f>'Resultater - Vestdanmark'!C437</f>
        <v/>
      </c>
      <c r="D437" s="94" t="str">
        <f>'Resultater - Vestdanmark'!D437</f>
        <v>Slagtekøer</v>
      </c>
      <c r="E437" s="94" t="str">
        <f>'Resultater - Vestdanmark'!E437</f>
        <v>Antal</v>
      </c>
      <c r="F437" s="94" t="str">
        <f>'Resultater - Vestdanmark'!F437</f>
        <v>Slagteriaffald til andet</v>
      </c>
      <c r="G437" s="94" t="str">
        <f>'Resultater - Vestdanmark'!G437</f>
        <v>Ton</v>
      </c>
      <c r="H437" s="252">
        <f ca="1">'Resultater - Vestdanmark'!H437+'Resultater - Østdanmark'!H437</f>
        <v>76114.747474747448</v>
      </c>
      <c r="I437" s="253">
        <f ca="1">'Resultater - Vestdanmark'!I437+'Resultater - Østdanmark'!I437</f>
        <v>74826.348700110961</v>
      </c>
      <c r="J437" s="254">
        <f ca="1">'Resultater - Vestdanmark'!J437+'Resultater - Østdanmark'!J437</f>
        <v>72444.139042805269</v>
      </c>
    </row>
    <row r="438" spans="1:10" x14ac:dyDescent="0.25">
      <c r="A438" s="94" t="str">
        <f>'Resultater - Vestdanmark'!A438</f>
        <v>Slagteri</v>
      </c>
      <c r="B438" s="94" t="str">
        <f>'Resultater - Vestdanmark'!B438</f>
        <v/>
      </c>
      <c r="C438" s="94" t="str">
        <f>'Resultater - Vestdanmark'!C438</f>
        <v/>
      </c>
      <c r="D438" s="94" t="str">
        <f>'Resultater - Vestdanmark'!D438</f>
        <v>Slagtefjerkræ</v>
      </c>
      <c r="E438" s="94" t="str">
        <f>'Resultater - Vestdanmark'!E438</f>
        <v>Antal</v>
      </c>
      <c r="F438" s="94" t="str">
        <f>'Resultater - Vestdanmark'!F438</f>
        <v>Fjerkrækød</v>
      </c>
      <c r="G438" s="94" t="str">
        <f>'Resultater - Vestdanmark'!G438</f>
        <v>Ton</v>
      </c>
      <c r="H438" s="252">
        <f ca="1">'Resultater - Vestdanmark'!H438+'Resultater - Østdanmark'!H438</f>
        <v>201545.30567673693</v>
      </c>
      <c r="I438" s="253">
        <f ca="1">'Resultater - Vestdanmark'!I438+'Resultater - Østdanmark'!I438</f>
        <v>196872.93522310784</v>
      </c>
      <c r="J438" s="254">
        <f ca="1">'Resultater - Vestdanmark'!J438+'Resultater - Østdanmark'!J438</f>
        <v>188233.86614274088</v>
      </c>
    </row>
    <row r="439" spans="1:10" ht="15.75" thickBot="1" x14ac:dyDescent="0.3">
      <c r="A439" s="94" t="str">
        <f>'Resultater - Vestdanmark'!A439</f>
        <v>Slagteri</v>
      </c>
      <c r="B439" s="94" t="str">
        <f>'Resultater - Vestdanmark'!B439</f>
        <v/>
      </c>
      <c r="C439" s="94" t="str">
        <f>'Resultater - Vestdanmark'!C439</f>
        <v/>
      </c>
      <c r="D439" s="94" t="str">
        <f>'Resultater - Vestdanmark'!D439</f>
        <v>Slagtefjerkræ</v>
      </c>
      <c r="E439" s="94" t="str">
        <f>'Resultater - Vestdanmark'!E439</f>
        <v>Antal</v>
      </c>
      <c r="F439" s="94" t="str">
        <f>'Resultater - Vestdanmark'!F439</f>
        <v>Industriaffald</v>
      </c>
      <c r="G439" s="94" t="str">
        <f>'Resultater - Vestdanmark'!G439</f>
        <v>Ton</v>
      </c>
      <c r="H439" s="255">
        <f ca="1">'Resultater - Vestdanmark'!H439+'Resultater - Østdanmark'!H439</f>
        <v>550.81037157810442</v>
      </c>
      <c r="I439" s="256">
        <f ca="1">'Resultater - Vestdanmark'!I439+'Resultater - Østdanmark'!I439</f>
        <v>726.16257554479</v>
      </c>
      <c r="J439" s="257">
        <f ca="1">'Resultater - Vestdanmark'!J439+'Resultater - Østdanmark'!J439</f>
        <v>694.29751168215546</v>
      </c>
    </row>
    <row r="440" spans="1:10" x14ac:dyDescent="0.25">
      <c r="A440" s="94" t="str">
        <f>'Resultater - Vestdanmark'!A440</f>
        <v>Foderproduktion</v>
      </c>
      <c r="B440" s="94" t="str">
        <f>'Resultater - Vestdanmark'!B440</f>
        <v/>
      </c>
      <c r="C440" s="94" t="str">
        <f>'Resultater - Vestdanmark'!C440</f>
        <v/>
      </c>
      <c r="D440" s="94" t="str">
        <f>'Resultater - Vestdanmark'!D440</f>
        <v>Korn</v>
      </c>
      <c r="E440" s="94" t="str">
        <f>'Resultater - Vestdanmark'!E440</f>
        <v>Ton</v>
      </c>
      <c r="F440" s="94" t="str">
        <f>'Resultater - Vestdanmark'!F440</f>
        <v>Foder</v>
      </c>
      <c r="G440" s="94" t="str">
        <f>'Resultater - Vestdanmark'!G440</f>
        <v>FE</v>
      </c>
      <c r="H440" s="249">
        <f ca="1">'Resultater - Vestdanmark'!H440+'Resultater - Østdanmark'!H440</f>
        <v>5940049093.1121235</v>
      </c>
      <c r="I440" s="250">
        <f ca="1">'Resultater - Vestdanmark'!I440+'Resultater - Østdanmark'!I440</f>
        <v>5790733053.5622406</v>
      </c>
      <c r="J440" s="251">
        <f ca="1">'Resultater - Vestdanmark'!J440+'Resultater - Østdanmark'!J440</f>
        <v>5519249345.2897253</v>
      </c>
    </row>
    <row r="441" spans="1:10" x14ac:dyDescent="0.25">
      <c r="A441" s="94" t="str">
        <f>'Resultater - Vestdanmark'!A441</f>
        <v>Foderproduktion</v>
      </c>
      <c r="B441" s="94" t="str">
        <f>'Resultater - Vestdanmark'!B441</f>
        <v/>
      </c>
      <c r="C441" s="94" t="str">
        <f>'Resultater - Vestdanmark'!C441</f>
        <v/>
      </c>
      <c r="D441" s="94" t="str">
        <f>'Resultater - Vestdanmark'!D441</f>
        <v>Halm</v>
      </c>
      <c r="E441" s="94" t="str">
        <f>'Resultater - Vestdanmark'!E441</f>
        <v>Ton</v>
      </c>
      <c r="F441" s="94" t="str">
        <f>'Resultater - Vestdanmark'!F441</f>
        <v>Foder</v>
      </c>
      <c r="G441" s="94" t="str">
        <f>'Resultater - Vestdanmark'!G441</f>
        <v>FE</v>
      </c>
      <c r="H441" s="252">
        <f ca="1">'Resultater - Vestdanmark'!H441+'Resultater - Østdanmark'!H441</f>
        <v>164945487.85478973</v>
      </c>
      <c r="I441" s="253">
        <f ca="1">'Resultater - Vestdanmark'!I441+'Resultater - Østdanmark'!I441</f>
        <v>160799224.65022138</v>
      </c>
      <c r="J441" s="254">
        <f ca="1">'Resultater - Vestdanmark'!J441+'Resultater - Østdanmark'!J441</f>
        <v>153260564.27827886</v>
      </c>
    </row>
    <row r="442" spans="1:10" x14ac:dyDescent="0.25">
      <c r="A442" s="94" t="str">
        <f>'Resultater - Vestdanmark'!A442</f>
        <v>Foderproduktion</v>
      </c>
      <c r="B442" s="94" t="str">
        <f>'Resultater - Vestdanmark'!B442</f>
        <v/>
      </c>
      <c r="C442" s="94" t="str">
        <f>'Resultater - Vestdanmark'!C442</f>
        <v/>
      </c>
      <c r="D442" s="94" t="str">
        <f>'Resultater - Vestdanmark'!D442</f>
        <v>Kartofler</v>
      </c>
      <c r="E442" s="94" t="str">
        <f>'Resultater - Vestdanmark'!E442</f>
        <v>Ton</v>
      </c>
      <c r="F442" s="94" t="str">
        <f>'Resultater - Vestdanmark'!F442</f>
        <v>Foder</v>
      </c>
      <c r="G442" s="94" t="str">
        <f>'Resultater - Vestdanmark'!G442</f>
        <v>FE</v>
      </c>
      <c r="H442" s="252">
        <f ca="1">'Resultater - Vestdanmark'!H442+'Resultater - Østdanmark'!H442</f>
        <v>0</v>
      </c>
      <c r="I442" s="253">
        <f ca="1">'Resultater - Vestdanmark'!I442+'Resultater - Østdanmark'!I442</f>
        <v>0</v>
      </c>
      <c r="J442" s="254">
        <f ca="1">'Resultater - Vestdanmark'!J442+'Resultater - Østdanmark'!J442</f>
        <v>0</v>
      </c>
    </row>
    <row r="443" spans="1:10" x14ac:dyDescent="0.25">
      <c r="A443" s="94" t="str">
        <f>'Resultater - Vestdanmark'!A443</f>
        <v>Foderproduktion</v>
      </c>
      <c r="B443" s="94" t="str">
        <f>'Resultater - Vestdanmark'!B443</f>
        <v/>
      </c>
      <c r="C443" s="94" t="str">
        <f>'Resultater - Vestdanmark'!C443</f>
        <v/>
      </c>
      <c r="D443" s="94" t="str">
        <f>'Resultater - Vestdanmark'!D443</f>
        <v>Bælgsæd</v>
      </c>
      <c r="E443" s="94" t="str">
        <f>'Resultater - Vestdanmark'!E443</f>
        <v>Ton</v>
      </c>
      <c r="F443" s="94" t="str">
        <f>'Resultater - Vestdanmark'!F443</f>
        <v>Foder</v>
      </c>
      <c r="G443" s="94" t="str">
        <f>'Resultater - Vestdanmark'!G443</f>
        <v>FE</v>
      </c>
      <c r="H443" s="252">
        <f ca="1">'Resultater - Vestdanmark'!H443+'Resultater - Østdanmark'!H443</f>
        <v>78449683.248009756</v>
      </c>
      <c r="I443" s="253">
        <f ca="1">'Resultater - Vestdanmark'!I443+'Resultater - Østdanmark'!I443</f>
        <v>76477680.016568691</v>
      </c>
      <c r="J443" s="254">
        <f ca="1">'Resultater - Vestdanmark'!J443+'Resultater - Østdanmark'!J443</f>
        <v>72892219.595766783</v>
      </c>
    </row>
    <row r="444" spans="1:10" x14ac:dyDescent="0.25">
      <c r="A444" s="94" t="str">
        <f>'Resultater - Vestdanmark'!A444</f>
        <v>Foderproduktion</v>
      </c>
      <c r="B444" s="94" t="str">
        <f>'Resultater - Vestdanmark'!B444</f>
        <v/>
      </c>
      <c r="C444" s="94" t="str">
        <f>'Resultater - Vestdanmark'!C444</f>
        <v/>
      </c>
      <c r="D444" s="94" t="str">
        <f>'Resultater - Vestdanmark'!D444</f>
        <v>Roer</v>
      </c>
      <c r="E444" s="94" t="str">
        <f>'Resultater - Vestdanmark'!E444</f>
        <v>Ton</v>
      </c>
      <c r="F444" s="94" t="str">
        <f>'Resultater - Vestdanmark'!F444</f>
        <v>Foder</v>
      </c>
      <c r="G444" s="94" t="str">
        <f>'Resultater - Vestdanmark'!G444</f>
        <v>FE</v>
      </c>
      <c r="H444" s="252">
        <f ca="1">'Resultater - Vestdanmark'!H444+'Resultater - Østdanmark'!H444</f>
        <v>143824419.28801787</v>
      </c>
      <c r="I444" s="253">
        <f ca="1">'Resultater - Vestdanmark'!I444+'Resultater - Østdanmark'!I444</f>
        <v>140209080.03037596</v>
      </c>
      <c r="J444" s="254">
        <f ca="1">'Resultater - Vestdanmark'!J444+'Resultater - Østdanmark'!J444</f>
        <v>133635735.92557243</v>
      </c>
    </row>
    <row r="445" spans="1:10" x14ac:dyDescent="0.25">
      <c r="A445" s="94" t="str">
        <f>'Resultater - Vestdanmark'!A445</f>
        <v>Foderproduktion</v>
      </c>
      <c r="B445" s="94" t="str">
        <f>'Resultater - Vestdanmark'!B445</f>
        <v/>
      </c>
      <c r="C445" s="94" t="str">
        <f>'Resultater - Vestdanmark'!C445</f>
        <v/>
      </c>
      <c r="D445" s="94" t="str">
        <f>'Resultater - Vestdanmark'!D445</f>
        <v>Majs</v>
      </c>
      <c r="E445" s="94" t="str">
        <f>'Resultater - Vestdanmark'!E445</f>
        <v>Ton</v>
      </c>
      <c r="F445" s="94" t="str">
        <f>'Resultater - Vestdanmark'!F445</f>
        <v>Foder</v>
      </c>
      <c r="G445" s="94" t="str">
        <f>'Resultater - Vestdanmark'!G445</f>
        <v>FE</v>
      </c>
      <c r="H445" s="252">
        <f ca="1">'Resultater - Vestdanmark'!H445+'Resultater - Østdanmark'!H445</f>
        <v>1682645129.1528244</v>
      </c>
      <c r="I445" s="253">
        <f ca="1">'Resultater - Vestdanmark'!I445+'Resultater - Østdanmark'!I445</f>
        <v>1640348188.0476851</v>
      </c>
      <c r="J445" s="254">
        <f ca="1">'Resultater - Vestdanmark'!J445+'Resultater - Østdanmark'!J445</f>
        <v>1563444658.7656128</v>
      </c>
    </row>
    <row r="446" spans="1:10" x14ac:dyDescent="0.25">
      <c r="A446" s="94" t="str">
        <f>'Resultater - Vestdanmark'!A446</f>
        <v>Foderproduktion</v>
      </c>
      <c r="B446" s="94" t="str">
        <f>'Resultater - Vestdanmark'!B446</f>
        <v/>
      </c>
      <c r="C446" s="94" t="str">
        <f>'Resultater - Vestdanmark'!C446</f>
        <v/>
      </c>
      <c r="D446" s="94" t="str">
        <f>'Resultater - Vestdanmark'!D446</f>
        <v>Rapskage</v>
      </c>
      <c r="E446" s="94" t="str">
        <f>'Resultater - Vestdanmark'!E446</f>
        <v>Ton</v>
      </c>
      <c r="F446" s="94" t="str">
        <f>'Resultater - Vestdanmark'!F446</f>
        <v>Foder</v>
      </c>
      <c r="G446" s="94" t="str">
        <f>'Resultater - Vestdanmark'!G446</f>
        <v>FE</v>
      </c>
      <c r="H446" s="252">
        <f ca="1">'Resultater - Vestdanmark'!H446+'Resultater - Østdanmark'!H446</f>
        <v>242389405.93295321</v>
      </c>
      <c r="I446" s="253">
        <f ca="1">'Resultater - Vestdanmark'!I446+'Resultater - Østdanmark'!I446</f>
        <v>236296421.58965459</v>
      </c>
      <c r="J446" s="254">
        <f ca="1">'Resultater - Vestdanmark'!J446+'Resultater - Østdanmark'!J446</f>
        <v>225218268.23820248</v>
      </c>
    </row>
    <row r="447" spans="1:10" x14ac:dyDescent="0.25">
      <c r="A447" s="94" t="str">
        <f>'Resultater - Vestdanmark'!A447</f>
        <v>Foderproduktion</v>
      </c>
      <c r="B447" s="94" t="str">
        <f>'Resultater - Vestdanmark'!B447</f>
        <v/>
      </c>
      <c r="C447" s="94" t="str">
        <f>'Resultater - Vestdanmark'!C447</f>
        <v/>
      </c>
      <c r="D447" s="94" t="str">
        <f>'Resultater - Vestdanmark'!D447</f>
        <v>Tang</v>
      </c>
      <c r="E447" s="94" t="str">
        <f>'Resultater - Vestdanmark'!E447</f>
        <v>Ton</v>
      </c>
      <c r="F447" s="94" t="str">
        <f>'Resultater - Vestdanmark'!F447</f>
        <v>Foder</v>
      </c>
      <c r="G447" s="94" t="str">
        <f>'Resultater - Vestdanmark'!G447</f>
        <v>FE</v>
      </c>
      <c r="H447" s="252">
        <f ca="1">'Resultater - Vestdanmark'!H447+'Resultater - Østdanmark'!H447</f>
        <v>0</v>
      </c>
      <c r="I447" s="253">
        <f ca="1">'Resultater - Vestdanmark'!I447+'Resultater - Østdanmark'!I447</f>
        <v>0</v>
      </c>
      <c r="J447" s="254">
        <f ca="1">'Resultater - Vestdanmark'!J447+'Resultater - Østdanmark'!J447</f>
        <v>0</v>
      </c>
    </row>
    <row r="448" spans="1:10" x14ac:dyDescent="0.25">
      <c r="A448" s="94" t="str">
        <f>'Resultater - Vestdanmark'!A448</f>
        <v>Foderproduktion</v>
      </c>
      <c r="B448" s="94" t="str">
        <f>'Resultater - Vestdanmark'!B448</f>
        <v/>
      </c>
      <c r="C448" s="94" t="str">
        <f>'Resultater - Vestdanmark'!C448</f>
        <v/>
      </c>
      <c r="D448" s="94" t="str">
        <f>'Resultater - Vestdanmark'!D448</f>
        <v>Muslinger</v>
      </c>
      <c r="E448" s="94" t="str">
        <f>'Resultater - Vestdanmark'!E448</f>
        <v>Ton</v>
      </c>
      <c r="F448" s="94" t="str">
        <f>'Resultater - Vestdanmark'!F448</f>
        <v>Foder</v>
      </c>
      <c r="G448" s="94" t="str">
        <f>'Resultater - Vestdanmark'!G448</f>
        <v>FE</v>
      </c>
      <c r="H448" s="252">
        <f ca="1">'Resultater - Vestdanmark'!H448+'Resultater - Østdanmark'!H448</f>
        <v>0</v>
      </c>
      <c r="I448" s="253">
        <f ca="1">'Resultater - Vestdanmark'!I448+'Resultater - Østdanmark'!I448</f>
        <v>0</v>
      </c>
      <c r="J448" s="254">
        <f ca="1">'Resultater - Vestdanmark'!J448+'Resultater - Østdanmark'!J448</f>
        <v>0</v>
      </c>
    </row>
    <row r="449" spans="1:10" x14ac:dyDescent="0.25">
      <c r="A449" s="94" t="str">
        <f>'Resultater - Vestdanmark'!A449</f>
        <v>Foderproduktion</v>
      </c>
      <c r="B449" s="94" t="str">
        <f>'Resultater - Vestdanmark'!B449</f>
        <v/>
      </c>
      <c r="C449" s="94" t="str">
        <f>'Resultater - Vestdanmark'!C449</f>
        <v/>
      </c>
      <c r="D449" s="94" t="str">
        <f>'Resultater - Vestdanmark'!D449</f>
        <v>Græs</v>
      </c>
      <c r="E449" s="94" t="str">
        <f>'Resultater - Vestdanmark'!E449</f>
        <v>Ton</v>
      </c>
      <c r="F449" s="94" t="str">
        <f>'Resultater - Vestdanmark'!F449</f>
        <v>Foder</v>
      </c>
      <c r="G449" s="94" t="str">
        <f>'Resultater - Vestdanmark'!G449</f>
        <v>FE</v>
      </c>
      <c r="H449" s="252">
        <f ca="1">'Resultater - Vestdanmark'!H449+'Resultater - Østdanmark'!H449</f>
        <v>2285098465.8907456</v>
      </c>
      <c r="I449" s="253">
        <f ca="1">'Resultater - Vestdanmark'!I449+'Resultater - Østdanmark'!I449</f>
        <v>2227657551.2518468</v>
      </c>
      <c r="J449" s="254">
        <f ca="1">'Resultater - Vestdanmark'!J449+'Resultater - Østdanmark'!J449</f>
        <v>2123219524.6356678</v>
      </c>
    </row>
    <row r="450" spans="1:10" x14ac:dyDescent="0.25">
      <c r="A450" s="94" t="str">
        <f>'Resultater - Vestdanmark'!A450</f>
        <v>Foderproduktion</v>
      </c>
      <c r="B450" s="94" t="str">
        <f>'Resultater - Vestdanmark'!B450</f>
        <v/>
      </c>
      <c r="C450" s="94" t="str">
        <f>'Resultater - Vestdanmark'!C450</f>
        <v/>
      </c>
      <c r="D450" s="94" t="str">
        <f>'Resultater - Vestdanmark'!D450</f>
        <v>Mælk til foder</v>
      </c>
      <c r="E450" s="94" t="str">
        <f>'Resultater - Vestdanmark'!E450</f>
        <v>Ton</v>
      </c>
      <c r="F450" s="94" t="str">
        <f>'Resultater - Vestdanmark'!F450</f>
        <v>Foder</v>
      </c>
      <c r="G450" s="94" t="str">
        <f>'Resultater - Vestdanmark'!G450</f>
        <v>FE</v>
      </c>
      <c r="H450" s="252">
        <f ca="1">'Resultater - Vestdanmark'!H450+'Resultater - Østdanmark'!H450</f>
        <v>163939722.68494347</v>
      </c>
      <c r="I450" s="253">
        <f ca="1">'Resultater - Vestdanmark'!I450+'Resultater - Østdanmark'!I450</f>
        <v>159818741.5730859</v>
      </c>
      <c r="J450" s="254">
        <f ca="1">'Resultater - Vestdanmark'!J450+'Resultater - Østdanmark'!J450</f>
        <v>152326048.6424357</v>
      </c>
    </row>
    <row r="451" spans="1:10" x14ac:dyDescent="0.25">
      <c r="A451" s="94" t="str">
        <f>'Resultater - Vestdanmark'!A451</f>
        <v>Foderproduktion</v>
      </c>
      <c r="B451" s="94" t="str">
        <f>'Resultater - Vestdanmark'!B451</f>
        <v/>
      </c>
      <c r="C451" s="94" t="str">
        <f>'Resultater - Vestdanmark'!C451</f>
        <v/>
      </c>
      <c r="D451" s="94" t="str">
        <f>'Resultater - Vestdanmark'!D451</f>
        <v>Fiberfraktion</v>
      </c>
      <c r="E451" s="94" t="str">
        <f>'Resultater - Vestdanmark'!E451</f>
        <v>Ton</v>
      </c>
      <c r="F451" s="94" t="str">
        <f>'Resultater - Vestdanmark'!F451</f>
        <v>Foder</v>
      </c>
      <c r="G451" s="94" t="str">
        <f>'Resultater - Vestdanmark'!G451</f>
        <v>FE</v>
      </c>
      <c r="H451" s="252">
        <f ca="1">'Resultater - Vestdanmark'!H451+'Resultater - Østdanmark'!H451</f>
        <v>0</v>
      </c>
      <c r="I451" s="253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4">
        <f ca="1">'Resultater - Vestdanmark'!J451+'Resultater - Østdanmark'!J451</f>
        <v>0</v>
      </c>
    </row>
    <row r="452" spans="1:10" x14ac:dyDescent="0.25">
      <c r="A452" s="94" t="str">
        <f>'Resultater - Vestdanmark'!A452</f>
        <v>Foderproduktion</v>
      </c>
      <c r="B452" s="94" t="str">
        <f>'Resultater - Vestdanmark'!B452</f>
        <v/>
      </c>
      <c r="C452" s="94" t="str">
        <f>'Resultater - Vestdanmark'!C452</f>
        <v/>
      </c>
      <c r="D452" s="94" t="str">
        <f>'Resultater - Vestdanmark'!D452</f>
        <v>Græsprotein</v>
      </c>
      <c r="E452" s="94" t="str">
        <f>'Resultater - Vestdanmark'!E452</f>
        <v>Ton</v>
      </c>
      <c r="F452" s="94" t="str">
        <f>'Resultater - Vestdanmark'!F452</f>
        <v>Foder</v>
      </c>
      <c r="G452" s="94" t="str">
        <f>'Resultater - Vestdanmark'!G452</f>
        <v>FE</v>
      </c>
      <c r="H452" s="252">
        <f ca="1">'Resultater - Vestdanmark'!H452+'Resultater - Østdanmark'!H452</f>
        <v>0</v>
      </c>
      <c r="I452" s="253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54">
        <f ca="1">'Resultater - Vestdanmark'!J452+'Resultater - Østdanmark'!J452</f>
        <v>0</v>
      </c>
    </row>
    <row r="453" spans="1:10" x14ac:dyDescent="0.25">
      <c r="A453" s="94" t="str">
        <f>'Resultater - Vestdanmark'!A453</f>
        <v>Foderproduktion</v>
      </c>
      <c r="B453" s="94" t="str">
        <f>'Resultater - Vestdanmark'!B453</f>
        <v/>
      </c>
      <c r="C453" s="94" t="str">
        <f>'Resultater - Vestdanmark'!C453</f>
        <v/>
      </c>
      <c r="D453" s="94" t="str">
        <f>'Resultater - Vestdanmark'!D453</f>
        <v>Slagteriaffald til foder</v>
      </c>
      <c r="E453" s="94" t="str">
        <f>'Resultater - Vestdanmark'!E453</f>
        <v>Ton</v>
      </c>
      <c r="F453" s="94" t="str">
        <f>'Resultater - Vestdanmark'!F453</f>
        <v>Foder</v>
      </c>
      <c r="G453" s="94" t="str">
        <f>'Resultater - Vestdanmark'!G453</f>
        <v>FE</v>
      </c>
      <c r="H453" s="252">
        <f ca="1">'Resultater - Vestdanmark'!H453+'Resultater - Østdanmark'!H453</f>
        <v>121697585.55139975</v>
      </c>
      <c r="I453" s="253">
        <f ca="1">'Resultater - Vestdanmark'!I453+'Resultater - Østdanmark'!I453</f>
        <v>118638452.33339506</v>
      </c>
      <c r="J453" s="254">
        <f ca="1">'Resultater - Vestdanmark'!J453+'Resultater - Østdanmark'!J453</f>
        <v>113076391.93702284</v>
      </c>
    </row>
    <row r="454" spans="1:10" x14ac:dyDescent="0.25">
      <c r="A454" s="94" t="str">
        <f>'Resultater - Vestdanmark'!A454</f>
        <v>Foderproduktion</v>
      </c>
      <c r="B454" s="94" t="str">
        <f>'Resultater - Vestdanmark'!B454</f>
        <v/>
      </c>
      <c r="C454" s="94" t="str">
        <f>'Resultater - Vestdanmark'!C454</f>
        <v/>
      </c>
      <c r="D454" s="94" t="str">
        <f>'Resultater - Vestdanmark'!D454</f>
        <v>Import af foder</v>
      </c>
      <c r="E454" s="94" t="str">
        <f>'Resultater - Vestdanmark'!E454</f>
        <v>Ton</v>
      </c>
      <c r="F454" s="94" t="str">
        <f>'Resultater - Vestdanmark'!F454</f>
        <v>Foder</v>
      </c>
      <c r="G454" s="94" t="str">
        <f>'Resultater - Vestdanmark'!G454</f>
        <v>FE</v>
      </c>
      <c r="H454" s="252">
        <f ca="1">'Resultater - Vestdanmark'!H454+'Resultater - Østdanmark'!H454</f>
        <v>4029095270.4041944</v>
      </c>
      <c r="I454" s="253">
        <f ca="1">'Resultater - Vestdanmark'!I454+'Resultater - Østdanmark'!I454</f>
        <v>3927815207.0047979</v>
      </c>
      <c r="J454" s="254">
        <f ca="1">'Resultater - Vestdanmark'!J454+'Resultater - Østdanmark'!J454</f>
        <v>3743669637.1877141</v>
      </c>
    </row>
    <row r="455" spans="1:10" x14ac:dyDescent="0.25">
      <c r="A455" s="94" t="str">
        <f>'Resultater - Vestdanmark'!A455</f>
        <v>Biogasanlæg</v>
      </c>
      <c r="B455" s="94" t="str">
        <f>'Resultater - Vestdanmark'!B455</f>
        <v/>
      </c>
      <c r="C455" s="94" t="str">
        <f>'Resultater - Vestdanmark'!C455</f>
        <v/>
      </c>
      <c r="D455" s="94" t="str">
        <f>'Resultater - Vestdanmark'!D455</f>
        <v>Halm</v>
      </c>
      <c r="E455" s="94" t="str">
        <f>'Resultater - Vestdanmark'!E455</f>
        <v>Ton</v>
      </c>
      <c r="F455" s="94" t="str">
        <f>'Resultater - Vestdanmark'!F455</f>
        <v>Biogas</v>
      </c>
      <c r="G455" s="94" t="str">
        <f>'Resultater - Vestdanmark'!G455</f>
        <v>Nm3 CH4</v>
      </c>
      <c r="H455" s="252">
        <f ca="1">'Resultater - Vestdanmark'!H455+'Resultater - Østdanmark'!H455</f>
        <v>12195000.399999995</v>
      </c>
      <c r="I455" s="253">
        <f ca="1">'Resultater - Vestdanmark'!I455+'Resultater - Østdanmark'!I455</f>
        <v>0</v>
      </c>
      <c r="J455" s="254">
        <f ca="1">'Resultater - Vestdanmark'!J455+'Resultater - Østdanmark'!J455</f>
        <v>0</v>
      </c>
    </row>
    <row r="456" spans="1:10" x14ac:dyDescent="0.25">
      <c r="A456" s="94" t="str">
        <f>'Resultater - Vestdanmark'!A456</f>
        <v>Biogasanlæg</v>
      </c>
      <c r="B456" s="94" t="str">
        <f>'Resultater - Vestdanmark'!B456</f>
        <v/>
      </c>
      <c r="C456" s="94" t="str">
        <f>'Resultater - Vestdanmark'!C456</f>
        <v/>
      </c>
      <c r="D456" s="94" t="str">
        <f>'Resultater - Vestdanmark'!D456</f>
        <v>Korn</v>
      </c>
      <c r="E456" s="94" t="str">
        <f>'Resultater - Vestdanmark'!E456</f>
        <v>Ton</v>
      </c>
      <c r="F456" s="94" t="str">
        <f>'Resultater - Vestdanmark'!F456</f>
        <v>Biogas</v>
      </c>
      <c r="G456" s="94" t="str">
        <f>'Resultater - Vestdanmark'!G456</f>
        <v>Nm3 CH4</v>
      </c>
      <c r="H456" s="252">
        <f>'Resultater - Vestdanmark'!H456+'Resultater - Østdanmark'!H456</f>
        <v>361184.4</v>
      </c>
      <c r="I456" s="253">
        <f>'Resultater - Vestdanmark'!I456+'Resultater - Østdanmark'!I456</f>
        <v>0</v>
      </c>
      <c r="J456" s="254">
        <f>'Resultater - Vestdanmark'!J456+'Resultater - Østdanmark'!J456</f>
        <v>0</v>
      </c>
    </row>
    <row r="457" spans="1:10" x14ac:dyDescent="0.25">
      <c r="A457" s="94" t="str">
        <f>'Resultater - Vestdanmark'!A457</f>
        <v>Biogasanlæg</v>
      </c>
      <c r="B457" s="94" t="str">
        <f>'Resultater - Vestdanmark'!B457</f>
        <v/>
      </c>
      <c r="C457" s="94" t="str">
        <f>'Resultater - Vestdanmark'!C457</f>
        <v/>
      </c>
      <c r="D457" s="94" t="str">
        <f>'Resultater - Vestdanmark'!D457</f>
        <v>Græs</v>
      </c>
      <c r="E457" s="94" t="str">
        <f>'Resultater - Vestdanmark'!E457</f>
        <v>Ton</v>
      </c>
      <c r="F457" s="94" t="str">
        <f>'Resultater - Vestdanmark'!F457</f>
        <v>Biogas</v>
      </c>
      <c r="G457" s="94" t="str">
        <f>'Resultater - Vestdanmark'!G457</f>
        <v>Nm3 CH4</v>
      </c>
      <c r="H457" s="252">
        <f>'Resultater - Vestdanmark'!H457+'Resultater - Østdanmark'!H457</f>
        <v>4390946.2499999981</v>
      </c>
      <c r="I457" s="253">
        <f>'Resultater - Vestdanmark'!I457+'Resultater - Østdanmark'!I457</f>
        <v>0</v>
      </c>
      <c r="J457" s="254">
        <f>'Resultater - Vestdanmark'!J457+'Resultater - Østdanmark'!J457</f>
        <v>0</v>
      </c>
    </row>
    <row r="458" spans="1:10" x14ac:dyDescent="0.25">
      <c r="A458" s="94" t="str">
        <f>'Resultater - Vestdanmark'!A458</f>
        <v>Biogasanlæg</v>
      </c>
      <c r="B458" s="94" t="str">
        <f>'Resultater - Vestdanmark'!B458</f>
        <v/>
      </c>
      <c r="C458" s="94" t="str">
        <f>'Resultater - Vestdanmark'!C458</f>
        <v/>
      </c>
      <c r="D458" s="94" t="str">
        <f>'Resultater - Vestdanmark'!D458</f>
        <v>Svinegylle</v>
      </c>
      <c r="E458" s="94" t="str">
        <f>'Resultater - Vestdanmark'!E458</f>
        <v>Ton</v>
      </c>
      <c r="F458" s="94" t="str">
        <f>'Resultater - Vestdanmark'!F458</f>
        <v>Biogas</v>
      </c>
      <c r="G458" s="94" t="str">
        <f>'Resultater - Vestdanmark'!G458</f>
        <v>Nm3 CH4</v>
      </c>
      <c r="H458" s="252">
        <f>'Resultater - Vestdanmark'!H458+'Resultater - Østdanmark'!H458</f>
        <v>34978432</v>
      </c>
      <c r="I458" s="253">
        <f>'Resultater - Vestdanmark'!I458+'Resultater - Østdanmark'!I458</f>
        <v>149820409.48538473</v>
      </c>
      <c r="J458" s="254">
        <f>'Resultater - Vestdanmark'!J458+'Resultater - Østdanmark'!J458</f>
        <v>160608315.11358762</v>
      </c>
    </row>
    <row r="459" spans="1:10" x14ac:dyDescent="0.25">
      <c r="A459" s="94" t="str">
        <f>'Resultater - Vestdanmark'!A459</f>
        <v>Biogasanlæg</v>
      </c>
      <c r="B459" s="94" t="str">
        <f>'Resultater - Vestdanmark'!B459</f>
        <v/>
      </c>
      <c r="C459" s="94" t="str">
        <f>'Resultater - Vestdanmark'!C459</f>
        <v/>
      </c>
      <c r="D459" s="94" t="str">
        <f>'Resultater - Vestdanmark'!D459</f>
        <v>Svinegylle</v>
      </c>
      <c r="E459" s="94" t="str">
        <f>'Resultater - Vestdanmark'!E459</f>
        <v>Ton</v>
      </c>
      <c r="F459" s="94" t="str">
        <f>'Resultater - Vestdanmark'!F459</f>
        <v>CO2 - atmosfære</v>
      </c>
      <c r="G459" s="94" t="str">
        <f>'Resultater - Vestdanmark'!G459</f>
        <v>t CO2-ækvivalenter</v>
      </c>
      <c r="H459" s="258">
        <f>'Resultater - Vestdanmark'!H459+'Resultater - Østdanmark'!H459</f>
        <v>-37099.291058504961</v>
      </c>
      <c r="I459" s="259">
        <f>'Resultater - Vestdanmark'!I459+'Resultater - Østdanmark'!I459</f>
        <v>-158904.5208773991</v>
      </c>
      <c r="J459" s="260">
        <f>'Resultater - Vestdanmark'!J459+'Resultater - Østdanmark'!J459</f>
        <v>-170346.53322410415</v>
      </c>
    </row>
    <row r="460" spans="1:10" x14ac:dyDescent="0.25">
      <c r="A460" s="94" t="str">
        <f>'Resultater - Vestdanmark'!A460</f>
        <v>Biogasanlæg</v>
      </c>
      <c r="B460" s="94" t="str">
        <f>'Resultater - Vestdanmark'!B460</f>
        <v/>
      </c>
      <c r="C460" s="94" t="str">
        <f>'Resultater - Vestdanmark'!C460</f>
        <v/>
      </c>
      <c r="D460" s="94" t="str">
        <f>'Resultater - Vestdanmark'!D460</f>
        <v>Kvæggylle</v>
      </c>
      <c r="E460" s="94" t="str">
        <f>'Resultater - Vestdanmark'!E460</f>
        <v>Ton</v>
      </c>
      <c r="F460" s="94" t="str">
        <f>'Resultater - Vestdanmark'!F460</f>
        <v>Biogas</v>
      </c>
      <c r="G460" s="94" t="str">
        <f>'Resultater - Vestdanmark'!G460</f>
        <v>Nm3 CH4</v>
      </c>
      <c r="H460" s="252">
        <f ca="1">'Resultater - Vestdanmark'!H460+'Resultater - Østdanmark'!H460</f>
        <v>61384486.300000004</v>
      </c>
      <c r="I460" s="253">
        <f ca="1">'Resultater - Vestdanmark'!I460+'Resultater - Østdanmark'!I460</f>
        <v>147058973.22332105</v>
      </c>
      <c r="J460" s="254">
        <f ca="1">'Resultater - Vestdanmark'!J460+'Resultater - Østdanmark'!J460</f>
        <v>173098743.31879258</v>
      </c>
    </row>
    <row r="461" spans="1:10" x14ac:dyDescent="0.25">
      <c r="A461" s="94" t="str">
        <f>'Resultater - Vestdanmark'!A461</f>
        <v>Biogasanlæg</v>
      </c>
      <c r="B461" s="94" t="str">
        <f>'Resultater - Vestdanmark'!B461</f>
        <v/>
      </c>
      <c r="C461" s="94" t="str">
        <f>'Resultater - Vestdanmark'!C461</f>
        <v/>
      </c>
      <c r="D461" s="94" t="str">
        <f>'Resultater - Vestdanmark'!D461</f>
        <v>Kvæggylle</v>
      </c>
      <c r="E461" s="94" t="str">
        <f>'Resultater - Vestdanmark'!E461</f>
        <v>Ton</v>
      </c>
      <c r="F461" s="94" t="str">
        <f>'Resultater - Vestdanmark'!F461</f>
        <v>CO2 - atmosfære</v>
      </c>
      <c r="G461" s="94" t="str">
        <f>'Resultater - Vestdanmark'!G461</f>
        <v>t CO2-ækvivalenter</v>
      </c>
      <c r="H461" s="258">
        <f ca="1">'Resultater - Vestdanmark'!H461+'Resultater - Østdanmark'!H461</f>
        <v>-128107.91983655478</v>
      </c>
      <c r="I461" s="259">
        <f ca="1">'Resultater - Vestdanmark'!I461+'Resultater - Østdanmark'!I461</f>
        <v>-306908.47620466718</v>
      </c>
      <c r="J461" s="260">
        <f ca="1">'Resultater - Vestdanmark'!J461+'Resultater - Østdanmark'!J461</f>
        <v>-361252.83877943363</v>
      </c>
    </row>
    <row r="462" spans="1:10" x14ac:dyDescent="0.25">
      <c r="A462" s="94" t="str">
        <f>'Resultater - Vestdanmark'!A462</f>
        <v>Biogasanlæg</v>
      </c>
      <c r="B462" s="94" t="str">
        <f>'Resultater - Vestdanmark'!B462</f>
        <v/>
      </c>
      <c r="C462" s="94" t="str">
        <f>'Resultater - Vestdanmark'!C462</f>
        <v/>
      </c>
      <c r="D462" s="94" t="str">
        <f>'Resultater - Vestdanmark'!D462</f>
        <v>Fjerkrægylle</v>
      </c>
      <c r="E462" s="94" t="str">
        <f>'Resultater - Vestdanmark'!E462</f>
        <v>Ton</v>
      </c>
      <c r="F462" s="94" t="str">
        <f>'Resultater - Vestdanmark'!F462</f>
        <v>Biogas</v>
      </c>
      <c r="G462" s="94" t="str">
        <f>'Resultater - Vestdanmark'!G462</f>
        <v>Nm3 CH4</v>
      </c>
      <c r="H462" s="252">
        <f ca="1">'Resultater - Vestdanmark'!H462+'Resultater - Østdanmark'!H462</f>
        <v>58183.649999999994</v>
      </c>
      <c r="I462" s="253">
        <f ca="1">'Resultater - Vestdanmark'!I462+'Resultater - Østdanmark'!I462</f>
        <v>88846.768196361154</v>
      </c>
      <c r="J462" s="254">
        <f ca="1">'Resultater - Vestdanmark'!J462+'Resultater - Østdanmark'!J462</f>
        <v>110102.449113043</v>
      </c>
    </row>
    <row r="463" spans="1:10" x14ac:dyDescent="0.25">
      <c r="A463" s="94" t="str">
        <f>'Resultater - Vestdanmark'!A463</f>
        <v>Biogasanlæg</v>
      </c>
      <c r="B463" s="94" t="str">
        <f>'Resultater - Vestdanmark'!B463</f>
        <v/>
      </c>
      <c r="C463" s="94" t="str">
        <f>'Resultater - Vestdanmark'!C463</f>
        <v/>
      </c>
      <c r="D463" s="94" t="str">
        <f>'Resultater - Vestdanmark'!D463</f>
        <v>Dybstrøelse</v>
      </c>
      <c r="E463" s="94" t="str">
        <f>'Resultater - Vestdanmark'!E463</f>
        <v>Ton</v>
      </c>
      <c r="F463" s="94" t="str">
        <f>'Resultater - Vestdanmark'!F463</f>
        <v>Biogas</v>
      </c>
      <c r="G463" s="94" t="str">
        <f>'Resultater - Vestdanmark'!G463</f>
        <v>Nm3 CH4</v>
      </c>
      <c r="H463" s="252">
        <f ca="1">'Resultater - Vestdanmark'!H463+'Resultater - Østdanmark'!H463</f>
        <v>45425220.000000007</v>
      </c>
      <c r="I463" s="253">
        <f ca="1">'Resultater - Vestdanmark'!I463+'Resultater - Østdanmark'!I463</f>
        <v>131342041.8151201</v>
      </c>
      <c r="J463" s="254">
        <f ca="1">'Resultater - Vestdanmark'!J463+'Resultater - Østdanmark'!J463</f>
        <v>155478565.68889201</v>
      </c>
    </row>
    <row r="464" spans="1:10" x14ac:dyDescent="0.25">
      <c r="A464" s="94" t="str">
        <f>'Resultater - Vestdanmark'!A464</f>
        <v>Biogasanlæg</v>
      </c>
      <c r="B464" s="94" t="str">
        <f>'Resultater - Vestdanmark'!B464</f>
        <v/>
      </c>
      <c r="C464" s="94" t="str">
        <f>'Resultater - Vestdanmark'!C464</f>
        <v/>
      </c>
      <c r="D464" s="94" t="str">
        <f>'Resultater - Vestdanmark'!D464</f>
        <v>Majs</v>
      </c>
      <c r="E464" s="94" t="str">
        <f>'Resultater - Vestdanmark'!E464</f>
        <v>Ton</v>
      </c>
      <c r="F464" s="94" t="str">
        <f>'Resultater - Vestdanmark'!F464</f>
        <v>Biogas</v>
      </c>
      <c r="G464" s="94" t="str">
        <f>'Resultater - Vestdanmark'!G464</f>
        <v>Nm3 CH4</v>
      </c>
      <c r="H464" s="252">
        <f>'Resultater - Vestdanmark'!H464+'Resultater - Østdanmark'!H464</f>
        <v>33002600</v>
      </c>
      <c r="I464" s="253">
        <f>'Resultater - Vestdanmark'!I464+'Resultater - Østdanmark'!I464</f>
        <v>0</v>
      </c>
      <c r="J464" s="254">
        <f>'Resultater - Vestdanmark'!J464+'Resultater - Østdanmark'!J464</f>
        <v>0</v>
      </c>
    </row>
    <row r="465" spans="1:12" x14ac:dyDescent="0.25">
      <c r="A465" s="94" t="str">
        <f>'Resultater - Vestdanmark'!A465</f>
        <v>Biogasanlæg</v>
      </c>
      <c r="B465" s="94" t="str">
        <f>'Resultater - Vestdanmark'!B465</f>
        <v/>
      </c>
      <c r="C465" s="94" t="str">
        <f>'Resultater - Vestdanmark'!C465</f>
        <v/>
      </c>
      <c r="D465" s="94" t="str">
        <f>'Resultater - Vestdanmark'!D465</f>
        <v>Roer</v>
      </c>
      <c r="E465" s="94" t="str">
        <f>'Resultater - Vestdanmark'!E465</f>
        <v>Ton</v>
      </c>
      <c r="F465" s="94" t="str">
        <f>'Resultater - Vestdanmark'!F465</f>
        <v>Biogas</v>
      </c>
      <c r="G465" s="94" t="str">
        <f>'Resultater - Vestdanmark'!G465</f>
        <v>Nm3 CH4</v>
      </c>
      <c r="H465" s="252">
        <f>'Resultater - Vestdanmark'!H465+'Resultater - Østdanmark'!H465</f>
        <v>2165561.9999999995</v>
      </c>
      <c r="I465" s="253">
        <f>'Resultater - Vestdanmark'!I465+'Resultater - Østdanmark'!I465</f>
        <v>0</v>
      </c>
      <c r="J465" s="254">
        <f>'Resultater - Vestdanmark'!J465+'Resultater - Østdanmark'!J465</f>
        <v>0</v>
      </c>
    </row>
    <row r="466" spans="1:12" x14ac:dyDescent="0.25">
      <c r="A466" s="94" t="str">
        <f>'Resultater - Vestdanmark'!A466</f>
        <v>Biogasanlæg</v>
      </c>
      <c r="B466" s="94" t="str">
        <f>'Resultater - Vestdanmark'!B466</f>
        <v/>
      </c>
      <c r="C466" s="94" t="str">
        <f>'Resultater - Vestdanmark'!C466</f>
        <v/>
      </c>
      <c r="D466" s="94" t="str">
        <f>'Resultater - Vestdanmark'!D466</f>
        <v>Bioaffald</v>
      </c>
      <c r="E466" s="94" t="str">
        <f>'Resultater - Vestdanmark'!E466</f>
        <v>Ton</v>
      </c>
      <c r="F466" s="94" t="str">
        <f>'Resultater - Vestdanmark'!F466</f>
        <v>Biogas</v>
      </c>
      <c r="G466" s="94" t="str">
        <f>'Resultater - Vestdanmark'!G466</f>
        <v>Nm3 CH4</v>
      </c>
      <c r="H466" s="252">
        <f ca="1">'Resultater - Vestdanmark'!H466+'Resultater - Østdanmark'!H466</f>
        <v>69194816.600000009</v>
      </c>
      <c r="I466" s="253">
        <f ca="1">'Resultater - Vestdanmark'!I466+'Resultater - Østdanmark'!I466</f>
        <v>0</v>
      </c>
      <c r="J466" s="254">
        <f ca="1">'Resultater - Vestdanmark'!J466+'Resultater - Østdanmark'!J466</f>
        <v>0</v>
      </c>
    </row>
    <row r="467" spans="1:12" x14ac:dyDescent="0.25">
      <c r="A467" s="94" t="str">
        <f>'Resultater - Vestdanmark'!A467</f>
        <v>Biogasanlæg</v>
      </c>
      <c r="B467" s="94" t="str">
        <f>'Resultater - Vestdanmark'!B467</f>
        <v/>
      </c>
      <c r="C467" s="94" t="str">
        <f>'Resultater - Vestdanmark'!C467</f>
        <v/>
      </c>
      <c r="D467" s="94" t="str">
        <f>'Resultater - Vestdanmark'!D467</f>
        <v>Industriaffald</v>
      </c>
      <c r="E467" s="94" t="str">
        <f>'Resultater - Vestdanmark'!E467</f>
        <v>Ton</v>
      </c>
      <c r="F467" s="94" t="str">
        <f>'Resultater - Vestdanmark'!F467</f>
        <v>Biogas</v>
      </c>
      <c r="G467" s="94" t="str">
        <f>'Resultater - Vestdanmark'!G467</f>
        <v>Nm3 CH4</v>
      </c>
      <c r="H467" s="252">
        <f ca="1">'Resultater - Vestdanmark'!H467+'Resultater - Østdanmark'!H467</f>
        <v>102149122.13</v>
      </c>
      <c r="I467" s="253">
        <f ca="1">'Resultater - Vestdanmark'!I467+'Resultater - Østdanmark'!I467</f>
        <v>0</v>
      </c>
      <c r="J467" s="254">
        <f ca="1">'Resultater - Vestdanmark'!J467+'Resultater - Østdanmark'!J467</f>
        <v>0</v>
      </c>
    </row>
    <row r="468" spans="1:12" x14ac:dyDescent="0.25">
      <c r="A468" s="94" t="str">
        <f>'Resultater - Vestdanmark'!A468</f>
        <v>Biogasanlæg</v>
      </c>
      <c r="B468" s="94" t="str">
        <f>'Resultater - Vestdanmark'!B468</f>
        <v/>
      </c>
      <c r="C468" s="94" t="str">
        <f>'Resultater - Vestdanmark'!C468</f>
        <v/>
      </c>
      <c r="D468" s="94" t="str">
        <f>'Resultater - Vestdanmark'!D468</f>
        <v>Muslinger</v>
      </c>
      <c r="E468" s="94" t="str">
        <f>'Resultater - Vestdanmark'!E468</f>
        <v>Ton</v>
      </c>
      <c r="F468" s="94" t="str">
        <f>'Resultater - Vestdanmark'!F468</f>
        <v>Biogas</v>
      </c>
      <c r="G468" s="94" t="str">
        <f>'Resultater - Vestdanmark'!G468</f>
        <v>Nm3 CH4</v>
      </c>
      <c r="H468" s="252">
        <f>'Resultater - Vestdanmark'!H468+'Resultater - Østdanmark'!H468</f>
        <v>0</v>
      </c>
      <c r="I468" s="253">
        <f>'Resultater - Vestdanmark'!I468+'Resultater - Østdanmark'!I468</f>
        <v>0</v>
      </c>
      <c r="J468" s="254">
        <f>'Resultater - Vestdanmark'!J468+'Resultater - Østdanmark'!J468</f>
        <v>0</v>
      </c>
    </row>
    <row r="469" spans="1:12" x14ac:dyDescent="0.25">
      <c r="A469" s="94" t="str">
        <f>'Resultater - Vestdanmark'!A469</f>
        <v>Biogasanlæg</v>
      </c>
      <c r="B469" s="94" t="str">
        <f>'Resultater - Vestdanmark'!B469</f>
        <v/>
      </c>
      <c r="C469" s="94" t="str">
        <f>'Resultater - Vestdanmark'!C469</f>
        <v/>
      </c>
      <c r="D469" s="94" t="str">
        <f>'Resultater - Vestdanmark'!D469</f>
        <v>Tang</v>
      </c>
      <c r="E469" s="94" t="str">
        <f>'Resultater - Vestdanmark'!E469</f>
        <v>Ton</v>
      </c>
      <c r="F469" s="94" t="str">
        <f>'Resultater - Vestdanmark'!F469</f>
        <v>Biogas</v>
      </c>
      <c r="G469" s="94" t="str">
        <f>'Resultater - Vestdanmark'!G469</f>
        <v>Nm3 CH4</v>
      </c>
      <c r="H469" s="252">
        <f>'Resultater - Vestdanmark'!H469+'Resultater - Østdanmark'!H469</f>
        <v>0</v>
      </c>
      <c r="I469" s="253">
        <f>'Resultater - Vestdanmark'!I469+'Resultater - Østdanmark'!I469</f>
        <v>0</v>
      </c>
      <c r="J469" s="254">
        <f>'Resultater - Vestdanmark'!J469+'Resultater - Østdanmark'!J469</f>
        <v>0</v>
      </c>
    </row>
    <row r="470" spans="1:12" x14ac:dyDescent="0.25">
      <c r="A470" s="94" t="str">
        <f>'Resultater - Vestdanmark'!A470</f>
        <v>Biogasanlæg</v>
      </c>
      <c r="B470" s="94" t="str">
        <f>'Resultater - Vestdanmark'!B470</f>
        <v/>
      </c>
      <c r="C470" s="94" t="str">
        <f>'Resultater - Vestdanmark'!C470</f>
        <v/>
      </c>
      <c r="D470" s="94" t="str">
        <f>'Resultater - Vestdanmark'!D470</f>
        <v>Have/parkaffald</v>
      </c>
      <c r="E470" s="94" t="str">
        <f>'Resultater - Vestdanmark'!E470</f>
        <v>Ton</v>
      </c>
      <c r="F470" s="94" t="str">
        <f>'Resultater - Vestdanmark'!F470</f>
        <v>Biogas</v>
      </c>
      <c r="G470" s="94" t="str">
        <f>'Resultater - Vestdanmark'!G470</f>
        <v>Nm3 CH4</v>
      </c>
      <c r="H470" s="252">
        <f>'Resultater - Vestdanmark'!H470+'Resultater - Østdanmark'!H470</f>
        <v>3689.3999999999996</v>
      </c>
      <c r="I470" s="253">
        <f>'Resultater - Vestdanmark'!I470+'Resultater - Østdanmark'!I470</f>
        <v>35475000</v>
      </c>
      <c r="J470" s="254">
        <f>'Resultater - Vestdanmark'!J470+'Resultater - Østdanmark'!J470</f>
        <v>46354000</v>
      </c>
    </row>
    <row r="471" spans="1:12" x14ac:dyDescent="0.25">
      <c r="A471" s="94" t="str">
        <f>'Resultater - Vestdanmark'!A471</f>
        <v>Biogasanlæg</v>
      </c>
      <c r="B471" s="94" t="str">
        <f>'Resultater - Vestdanmark'!B471</f>
        <v/>
      </c>
      <c r="C471" s="94" t="str">
        <f>'Resultater - Vestdanmark'!C471</f>
        <v/>
      </c>
      <c r="D471" s="94" t="str">
        <f>'Resultater - Vestdanmark'!D471</f>
        <v>Brun saft</v>
      </c>
      <c r="E471" s="94" t="str">
        <f>'Resultater - Vestdanmark'!E471</f>
        <v>PJ</v>
      </c>
      <c r="F471" s="94" t="str">
        <f>'Resultater - Vestdanmark'!F471</f>
        <v>Biogas</v>
      </c>
      <c r="G471" s="94" t="str">
        <f>'Resultater - Vestdanmark'!G471</f>
        <v>Nm3 CH4</v>
      </c>
      <c r="H471" s="252">
        <f ca="1">'Resultater - Vestdanmark'!H471+'Resultater - Østdanmark'!H471</f>
        <v>0</v>
      </c>
      <c r="I471" s="253">
        <f ca="1">'Resultater - Vestdanmark'!I471+'Resultater - Østdanmark'!I471</f>
        <v>0</v>
      </c>
      <c r="J471" s="254">
        <f ca="1">'Resultater - Vestdanmark'!J471+'Resultater - Østdanmark'!J471</f>
        <v>0</v>
      </c>
    </row>
    <row r="472" spans="1:12" x14ac:dyDescent="0.25">
      <c r="A472" s="94" t="str">
        <f>'Resultater - Vestdanmark'!A472</f>
        <v>Biogasanlæg</v>
      </c>
      <c r="B472" s="94" t="str">
        <f>'Resultater - Vestdanmark'!B472</f>
        <v/>
      </c>
      <c r="C472" s="94" t="str">
        <f>'Resultater - Vestdanmark'!C472</f>
        <v/>
      </c>
      <c r="D472" s="94" t="str">
        <f>'Resultater - Vestdanmark'!D472</f>
        <v>Glycerin</v>
      </c>
      <c r="E472" s="94" t="str">
        <f>'Resultater - Vestdanmark'!E472</f>
        <v>Ton</v>
      </c>
      <c r="F472" s="94" t="str">
        <f>'Resultater - Vestdanmark'!F472</f>
        <v>Biogas</v>
      </c>
      <c r="G472" s="94" t="str">
        <f>'Resultater - Vestdanmark'!G472</f>
        <v>Nm3 CH4</v>
      </c>
      <c r="H472" s="252">
        <f>'Resultater - Vestdanmark'!H472+'Resultater - Østdanmark'!H472</f>
        <v>60431253.120000005</v>
      </c>
      <c r="I472" s="253">
        <f>'Resultater - Vestdanmark'!I472+'Resultater - Østdanmark'!I472</f>
        <v>60431253.120000005</v>
      </c>
      <c r="J472" s="254">
        <f>'Resultater - Vestdanmark'!J472+'Resultater - Østdanmark'!J472</f>
        <v>60431253.120000005</v>
      </c>
    </row>
    <row r="473" spans="1:12" x14ac:dyDescent="0.25">
      <c r="A473" s="94" t="str">
        <f>'Resultater - Vestdanmark'!A473</f>
        <v>Biogasanlæg</v>
      </c>
      <c r="B473" s="94" t="str">
        <f>'Resultater - Vestdanmark'!B473</f>
        <v/>
      </c>
      <c r="C473" s="94" t="str">
        <f>'Resultater - Vestdanmark'!C473</f>
        <v/>
      </c>
      <c r="D473" s="94" t="str">
        <f>'Resultater - Vestdanmark'!D473</f>
        <v>Spildevandsslam</v>
      </c>
      <c r="E473" s="94" t="str">
        <f>'Resultater - Vestdanmark'!E473</f>
        <v>Ton</v>
      </c>
      <c r="F473" s="94" t="str">
        <f>'Resultater - Vestdanmark'!F473</f>
        <v>Biogas</v>
      </c>
      <c r="G473" s="94" t="str">
        <f>'Resultater - Vestdanmark'!G473</f>
        <v>Nm3 CH4</v>
      </c>
      <c r="H473" s="252">
        <f ca="1">'Resultater - Vestdanmark'!H473+'Resultater - Østdanmark'!H473</f>
        <v>37096792.599999994</v>
      </c>
      <c r="I473" s="253">
        <f ca="1">'Resultater - Vestdanmark'!I473+'Resultater - Østdanmark'!I473</f>
        <v>76289786.045203626</v>
      </c>
      <c r="J473" s="254">
        <f ca="1">'Resultater - Vestdanmark'!J473+'Resultater - Østdanmark'!J473</f>
        <v>95352647.261167347</v>
      </c>
      <c r="L473" s="94"/>
    </row>
    <row r="474" spans="1:12" x14ac:dyDescent="0.25">
      <c r="A474" s="94" t="str">
        <f>'Resultater - Vestdanmark'!A474</f>
        <v>Biogasanlæg</v>
      </c>
      <c r="B474" s="94" t="str">
        <f>'Resultater - Vestdanmark'!B474</f>
        <v/>
      </c>
      <c r="C474" s="94" t="str">
        <f>'Resultater - Vestdanmark'!C474</f>
        <v/>
      </c>
      <c r="D474" s="94" t="str">
        <f>'Resultater - Vestdanmark'!D474</f>
        <v>Total til biogas</v>
      </c>
      <c r="E474" s="94" t="str">
        <f>'Resultater - Vestdanmark'!E474</f>
        <v>Ton</v>
      </c>
      <c r="F474" s="94" t="str">
        <f>'Resultater - Vestdanmark'!F474</f>
        <v>Biogasgylle</v>
      </c>
      <c r="G474" s="94" t="str">
        <f>'Resultater - Vestdanmark'!G474</f>
        <v>Ton</v>
      </c>
      <c r="H474" s="258">
        <f ca="1">'Resultater - Vestdanmark'!H474+'Resultater - Østdanmark'!H474</f>
        <v>12034020.807749998</v>
      </c>
      <c r="I474" s="259">
        <f ca="1">'Resultater - Vestdanmark'!I474+'Resultater - Østdanmark'!I474</f>
        <v>28950393.886534661</v>
      </c>
      <c r="J474" s="260">
        <f ca="1">'Resultater - Vestdanmark'!J474+'Resultater - Østdanmark'!J474</f>
        <v>33318090.389208868</v>
      </c>
    </row>
    <row r="475" spans="1:12" x14ac:dyDescent="0.25">
      <c r="A475" s="94" t="str">
        <f>'Resultater - Vestdanmark'!A475</f>
        <v>Gødning</v>
      </c>
      <c r="B475" s="94" t="str">
        <f>'Resultater - Vestdanmark'!B475</f>
        <v/>
      </c>
      <c r="C475" s="94" t="str">
        <f>'Resultater - Vestdanmark'!C475</f>
        <v/>
      </c>
      <c r="D475" s="94" t="str">
        <f>'Resultater - Vestdanmark'!D475</f>
        <v>Svinegylle</v>
      </c>
      <c r="E475" s="94" t="str">
        <f>'Resultater - Vestdanmark'!E475</f>
        <v>Ton</v>
      </c>
      <c r="F475" s="94" t="str">
        <f>'Resultater - Vestdanmark'!F475</f>
        <v>Gødning</v>
      </c>
      <c r="G475" s="94" t="str">
        <f>'Resultater - Vestdanmark'!G475</f>
        <v>kg N</v>
      </c>
      <c r="H475" s="258">
        <f>'Resultater - Vestdanmark'!H475+'Resultater - Østdanmark'!H475</f>
        <v>78133292.533333316</v>
      </c>
      <c r="I475" s="259">
        <f>'Resultater - Vestdanmark'!I475+'Resultater - Østdanmark'!I475</f>
        <v>22056893.618681639</v>
      </c>
      <c r="J475" s="260">
        <f>'Resultater - Vestdanmark'!J475+'Resultater - Østdanmark'!J475</f>
        <v>7881704.3527964279</v>
      </c>
    </row>
    <row r="476" spans="1:12" x14ac:dyDescent="0.25">
      <c r="A476" s="94" t="str">
        <f>'Resultater - Vestdanmark'!A476</f>
        <v>Gødning</v>
      </c>
      <c r="B476" s="94" t="str">
        <f>'Resultater - Vestdanmark'!B476</f>
        <v/>
      </c>
      <c r="C476" s="94" t="str">
        <f>'Resultater - Vestdanmark'!C476</f>
        <v/>
      </c>
      <c r="D476" s="94" t="str">
        <f>'Resultater - Vestdanmark'!D476</f>
        <v>Kvæggylle</v>
      </c>
      <c r="E476" s="94" t="str">
        <f>'Resultater - Vestdanmark'!E476</f>
        <v>Ton</v>
      </c>
      <c r="F476" s="94" t="str">
        <f>'Resultater - Vestdanmark'!F476</f>
        <v>Gødning</v>
      </c>
      <c r="G476" s="94" t="str">
        <f>'Resultater - Vestdanmark'!G476</f>
        <v>kg N</v>
      </c>
      <c r="H476" s="258">
        <f ca="1">'Resultater - Vestdanmark'!H476+'Resultater - Østdanmark'!H476</f>
        <v>77571922.666666672</v>
      </c>
      <c r="I476" s="259">
        <f ca="1">'Resultater - Vestdanmark'!I476+'Resultater - Østdanmark'!I476</f>
        <v>27812571.768003982</v>
      </c>
      <c r="J476" s="260">
        <f ca="1">'Resultater - Vestdanmark'!J476+'Resultater - Østdanmark'!J476</f>
        <v>10912450.327425849</v>
      </c>
    </row>
    <row r="477" spans="1:12" x14ac:dyDescent="0.25">
      <c r="A477" s="94" t="str">
        <f>'Resultater - Vestdanmark'!A477</f>
        <v>Gødning</v>
      </c>
      <c r="B477" s="94" t="str">
        <f>'Resultater - Vestdanmark'!B477</f>
        <v/>
      </c>
      <c r="C477" s="94" t="str">
        <f>'Resultater - Vestdanmark'!C477</f>
        <v/>
      </c>
      <c r="D477" s="94" t="str">
        <f>'Resultater - Vestdanmark'!D477</f>
        <v>Fjerkrægylle</v>
      </c>
      <c r="E477" s="94" t="str">
        <f>'Resultater - Vestdanmark'!E477</f>
        <v>Ton</v>
      </c>
      <c r="F477" s="94" t="str">
        <f>'Resultater - Vestdanmark'!F477</f>
        <v>Gødning</v>
      </c>
      <c r="G477" s="94" t="str">
        <f>'Resultater - Vestdanmark'!G477</f>
        <v>kg N</v>
      </c>
      <c r="H477" s="258">
        <f ca="1">'Resultater - Vestdanmark'!H477+'Resultater - Østdanmark'!H477</f>
        <v>31090.5</v>
      </c>
      <c r="I477" s="259">
        <f ca="1">'Resultater - Vestdanmark'!I477+'Resultater - Østdanmark'!I477</f>
        <v>15825.124106222091</v>
      </c>
      <c r="J477" s="260">
        <f ca="1">'Resultater - Vestdanmark'!J477+'Resultater - Østdanmark'!J477</f>
        <v>6537.0410838956805</v>
      </c>
    </row>
    <row r="478" spans="1:12" x14ac:dyDescent="0.25">
      <c r="A478" s="94" t="str">
        <f>'Resultater - Vestdanmark'!A478</f>
        <v>Gødning</v>
      </c>
      <c r="B478" s="94" t="str">
        <f>'Resultater - Vestdanmark'!B478</f>
        <v/>
      </c>
      <c r="C478" s="94" t="str">
        <f>'Resultater - Vestdanmark'!C478</f>
        <v/>
      </c>
      <c r="D478" s="94" t="str">
        <f>'Resultater - Vestdanmark'!D478</f>
        <v>Dybstrøelse</v>
      </c>
      <c r="E478" s="94" t="str">
        <f>'Resultater - Vestdanmark'!E478</f>
        <v>Ton</v>
      </c>
      <c r="F478" s="94" t="str">
        <f>'Resultater - Vestdanmark'!F478</f>
        <v>Gødning</v>
      </c>
      <c r="G478" s="94" t="str">
        <f>'Resultater - Vestdanmark'!G478</f>
        <v>kg N</v>
      </c>
      <c r="H478" s="258">
        <f ca="1">'Resultater - Vestdanmark'!H478+'Resultater - Østdanmark'!H478</f>
        <v>11532709.900000002</v>
      </c>
      <c r="I478" s="259">
        <f ca="1">'Resultater - Vestdanmark'!I478+'Resultater - Østdanmark'!I478</f>
        <v>3867293.4534452027</v>
      </c>
      <c r="J478" s="260">
        <f ca="1">'Resultater - Vestdanmark'!J478+'Resultater - Østdanmark'!J478</f>
        <v>1525993.3299094955</v>
      </c>
    </row>
    <row r="479" spans="1:12" x14ac:dyDescent="0.25">
      <c r="A479" s="94" t="str">
        <f>'Resultater - Vestdanmark'!A479</f>
        <v>Gødning</v>
      </c>
      <c r="B479" s="94" t="str">
        <f>'Resultater - Vestdanmark'!B479</f>
        <v/>
      </c>
      <c r="C479" s="94" t="str">
        <f>'Resultater - Vestdanmark'!C479</f>
        <v/>
      </c>
      <c r="D479" s="94" t="str">
        <f>'Resultater - Vestdanmark'!D479</f>
        <v>Biogasgylle</v>
      </c>
      <c r="E479" s="94" t="str">
        <f>'Resultater - Vestdanmark'!E479</f>
        <v>Ton</v>
      </c>
      <c r="F479" s="94" t="str">
        <f>'Resultater - Vestdanmark'!F479</f>
        <v>Gødning</v>
      </c>
      <c r="G479" s="94" t="str">
        <f>'Resultater - Vestdanmark'!G479</f>
        <v>kg N</v>
      </c>
      <c r="H479" s="258">
        <f ca="1">'Resultater - Vestdanmark'!H479+'Resultater - Østdanmark'!H479</f>
        <v>61624442.148559391</v>
      </c>
      <c r="I479" s="259">
        <f ca="1">'Resultater - Vestdanmark'!I479+'Resultater - Østdanmark'!I479</f>
        <v>163502663.09768856</v>
      </c>
      <c r="J479" s="260">
        <f ca="1">'Resultater - Vestdanmark'!J479+'Resultater - Østdanmark'!J479</f>
        <v>184042217.07933244</v>
      </c>
    </row>
    <row r="480" spans="1:12" x14ac:dyDescent="0.25">
      <c r="A480" s="94" t="str">
        <f>'Resultater - Vestdanmark'!A480</f>
        <v>Gødning</v>
      </c>
      <c r="B480" s="94" t="str">
        <f>'Resultater - Vestdanmark'!B480</f>
        <v/>
      </c>
      <c r="C480" s="94" t="str">
        <f>'Resultater - Vestdanmark'!C480</f>
        <v/>
      </c>
      <c r="D480" s="94" t="str">
        <f>'Resultater - Vestdanmark'!D480</f>
        <v>Kunstgødning</v>
      </c>
      <c r="E480" s="94" t="str">
        <f>'Resultater - Vestdanmark'!E480</f>
        <v>Ton</v>
      </c>
      <c r="F480" s="94" t="str">
        <f>'Resultater - Vestdanmark'!F480</f>
        <v>Gødning</v>
      </c>
      <c r="G480" s="94" t="str">
        <f>'Resultater - Vestdanmark'!G480</f>
        <v>kg N</v>
      </c>
      <c r="H480" s="258">
        <f ca="1">'Resultater - Vestdanmark'!H480+'Resultater - Østdanmark'!H480</f>
        <v>151170766.56868804</v>
      </c>
      <c r="I480" s="259">
        <f ca="1">'Resultater - Vestdanmark'!I480+'Resultater - Østdanmark'!I480</f>
        <v>139133209.9123143</v>
      </c>
      <c r="J480" s="260">
        <f ca="1">'Resultater - Vestdanmark'!J480+'Resultater - Østdanmark'!J480</f>
        <v>122328612.85235009</v>
      </c>
    </row>
    <row r="481" spans="1:13" x14ac:dyDescent="0.25">
      <c r="A481" s="94" t="str">
        <f>'Resultater - Vestdanmark'!A481</f>
        <v>Til energi</v>
      </c>
      <c r="B481" s="94" t="str">
        <f>'Resultater - Vestdanmark'!B481</f>
        <v/>
      </c>
      <c r="C481" s="94" t="str">
        <f>'Resultater - Vestdanmark'!C481</f>
        <v/>
      </c>
      <c r="D481" s="94" t="str">
        <f>'Resultater - Vestdanmark'!D481</f>
        <v>Halm</v>
      </c>
      <c r="E481" s="94" t="str">
        <f>'Resultater - Vestdanmark'!E481</f>
        <v>Ton</v>
      </c>
      <c r="F481" s="94" t="str">
        <f>'Resultater - Vestdanmark'!F481</f>
        <v>Energi</v>
      </c>
      <c r="G481" s="94" t="str">
        <f>'Resultater - Vestdanmark'!G481</f>
        <v>PJ</v>
      </c>
      <c r="H481" s="262">
        <f ca="1">'Resultater - Vestdanmark'!H481+'Resultater - Østdanmark'!H481</f>
        <v>19.591464268115235</v>
      </c>
      <c r="I481" s="263">
        <f ca="1">'Resultater - Vestdanmark'!I481+'Resultater - Østdanmark'!I481</f>
        <v>34.290082635146881</v>
      </c>
      <c r="J481" s="264">
        <f ca="1">'Resultater - Vestdanmark'!J481+'Resultater - Østdanmark'!J481</f>
        <v>40.755915968061302</v>
      </c>
      <c r="L481" s="152" t="s">
        <v>215</v>
      </c>
      <c r="M481" s="150">
        <v>17963.28</v>
      </c>
    </row>
    <row r="482" spans="1:13" x14ac:dyDescent="0.25">
      <c r="A482" s="94" t="str">
        <f>'Resultater - Vestdanmark'!A482</f>
        <v>Til energi</v>
      </c>
      <c r="B482" s="94" t="str">
        <f>'Resultater - Vestdanmark'!B482</f>
        <v/>
      </c>
      <c r="C482" s="94" t="str">
        <f>'Resultater - Vestdanmark'!C482</f>
        <v/>
      </c>
      <c r="D482" s="94" t="str">
        <f>'Resultater - Vestdanmark'!D482</f>
        <v>Rapsolie</v>
      </c>
      <c r="E482" s="94" t="str">
        <f>'Resultater - Vestdanmark'!E482</f>
        <v>Ton</v>
      </c>
      <c r="F482" s="94" t="str">
        <f>'Resultater - Vestdanmark'!F482</f>
        <v>Energi</v>
      </c>
      <c r="G482" s="94" t="str">
        <f>'Resultater - Vestdanmark'!G482</f>
        <v>PJ</v>
      </c>
      <c r="H482" s="262">
        <f>'Resultater - Vestdanmark'!H482+'Resultater - Østdanmark'!H482</f>
        <v>3.9505661308495017</v>
      </c>
      <c r="I482" s="263">
        <f>'Resultater - Vestdanmark'!I482+'Resultater - Østdanmark'!I482</f>
        <v>7.6221916971264054</v>
      </c>
      <c r="J482" s="264">
        <f>'Resultater - Vestdanmark'!J482+'Resultater - Østdanmark'!J482</f>
        <v>7.5264568791286592</v>
      </c>
      <c r="L482" s="152" t="s">
        <v>219</v>
      </c>
      <c r="M482" s="150">
        <v>14758.1</v>
      </c>
    </row>
    <row r="483" spans="1:13" x14ac:dyDescent="0.25">
      <c r="A483" s="94" t="str">
        <f>'Resultater - Vestdanmark'!A483</f>
        <v>Til energi</v>
      </c>
      <c r="B483" s="94" t="str">
        <f>'Resultater - Vestdanmark'!B483</f>
        <v/>
      </c>
      <c r="C483" s="94" t="str">
        <f>'Resultater - Vestdanmark'!C483</f>
        <v/>
      </c>
      <c r="D483" s="94" t="str">
        <f>'Resultater - Vestdanmark'!D483</f>
        <v>Pil &amp; poppel</v>
      </c>
      <c r="E483" s="94" t="str">
        <f>'Resultater - Vestdanmark'!E483</f>
        <v>Ton</v>
      </c>
      <c r="F483" s="94" t="str">
        <f>'Resultater - Vestdanmark'!F483</f>
        <v>Energi</v>
      </c>
      <c r="G483" s="94" t="str">
        <f>'Resultater - Vestdanmark'!G483</f>
        <v>PJ</v>
      </c>
      <c r="H483" s="261">
        <f>'Resultater - Vestdanmark'!H483+'Resultater - Østdanmark'!H483</f>
        <v>3.8615553516557766</v>
      </c>
      <c r="I483" s="263">
        <f>'Resultater - Vestdanmark'!I483+'Resultater - Østdanmark'!I483</f>
        <v>3.7811782688348994</v>
      </c>
      <c r="J483" s="264">
        <f>'Resultater - Vestdanmark'!J483+'Resultater - Østdanmark'!J483</f>
        <v>3.3751563384477912</v>
      </c>
      <c r="L483" s="152" t="s">
        <v>216</v>
      </c>
      <c r="M483" s="150">
        <v>1988.19</v>
      </c>
    </row>
    <row r="484" spans="1:13" x14ac:dyDescent="0.25">
      <c r="A484" s="94" t="str">
        <f>'Resultater - Vestdanmark'!A484</f>
        <v>Til energi</v>
      </c>
      <c r="B484" s="94" t="str">
        <f>'Resultater - Vestdanmark'!B484</f>
        <v/>
      </c>
      <c r="C484" s="94" t="str">
        <f>'Resultater - Vestdanmark'!C484</f>
        <v/>
      </c>
      <c r="D484" s="94" t="str">
        <f>'Resultater - Vestdanmark'!D484</f>
        <v>Træ til energi</v>
      </c>
      <c r="E484" s="94" t="str">
        <f>'Resultater - Vestdanmark'!E484</f>
        <v>m3</v>
      </c>
      <c r="F484" s="94" t="str">
        <f>'Resultater - Vestdanmark'!F484</f>
        <v>Energi</v>
      </c>
      <c r="G484" s="94" t="str">
        <f>'Resultater - Vestdanmark'!G484</f>
        <v>PJ</v>
      </c>
      <c r="H484" s="261">
        <f ca="1">'Resultater - Vestdanmark'!H484+'Resultater - Østdanmark'!H484</f>
        <v>43.629875452920871</v>
      </c>
      <c r="I484" s="263">
        <f ca="1">'Resultater - Vestdanmark'!I484+'Resultater - Østdanmark'!I484</f>
        <v>41.66669115626091</v>
      </c>
      <c r="J484" s="264">
        <f ca="1">'Resultater - Vestdanmark'!J484+'Resultater - Østdanmark'!J484</f>
        <v>42.823268788341721</v>
      </c>
      <c r="L484" s="152" t="s">
        <v>217</v>
      </c>
      <c r="M484" s="150">
        <v>8944.93</v>
      </c>
    </row>
    <row r="485" spans="1:13" x14ac:dyDescent="0.25">
      <c r="A485" s="94" t="str">
        <f>'Resultater - Vestdanmark'!A485</f>
        <v>Til energi</v>
      </c>
      <c r="B485" s="94" t="str">
        <f>'Resultater - Vestdanmark'!B485</f>
        <v/>
      </c>
      <c r="C485" s="94" t="str">
        <f>'Resultater - Vestdanmark'!C485</f>
        <v/>
      </c>
      <c r="D485" s="94" t="str">
        <f>'Resultater - Vestdanmark'!D485</f>
        <v>Have/parkaffald</v>
      </c>
      <c r="E485" s="94" t="str">
        <f>'Resultater - Vestdanmark'!E485</f>
        <v>Ton</v>
      </c>
      <c r="F485" s="94" t="str">
        <f>'Resultater - Vestdanmark'!F485</f>
        <v>Energi</v>
      </c>
      <c r="G485" s="94" t="str">
        <f>'Resultater - Vestdanmark'!G485</f>
        <v>PJ</v>
      </c>
      <c r="H485" s="261">
        <f>'Resultater - Vestdanmark'!H485+'Resultater - Østdanmark'!H485</f>
        <v>17.543930524502301</v>
      </c>
      <c r="I485" s="263">
        <f>'Resultater - Vestdanmark'!I485+'Resultater - Østdanmark'!I485</f>
        <v>4.1561576071975512</v>
      </c>
      <c r="J485" s="264">
        <f>'Resultater - Vestdanmark'!J485+'Resultater - Østdanmark'!J485</f>
        <v>5.014688744257171E-2</v>
      </c>
      <c r="L485" s="152" t="s">
        <v>218</v>
      </c>
      <c r="M485" s="150">
        <v>18651.71</v>
      </c>
    </row>
    <row r="486" spans="1:13" x14ac:dyDescent="0.25">
      <c r="A486" s="94" t="str">
        <f>'Resultater - Vestdanmark'!A486</f>
        <v>Til energi</v>
      </c>
      <c r="B486" s="94" t="str">
        <f>'Resultater - Vestdanmark'!B486</f>
        <v/>
      </c>
      <c r="C486" s="94" t="str">
        <f>'Resultater - Vestdanmark'!C486</f>
        <v/>
      </c>
      <c r="D486" s="94" t="str">
        <f>'Resultater - Vestdanmark'!D486</f>
        <v>Bioaffald</v>
      </c>
      <c r="E486" s="94" t="str">
        <f>'Resultater - Vestdanmark'!E486</f>
        <v>Ton</v>
      </c>
      <c r="F486" s="94" t="str">
        <f>'Resultater - Vestdanmark'!F486</f>
        <v>Energi</v>
      </c>
      <c r="G486" s="94" t="str">
        <f>'Resultater - Vestdanmark'!G486</f>
        <v>PJ</v>
      </c>
      <c r="H486" s="261">
        <f ca="1">'Resultater - Vestdanmark'!H486+'Resultater - Østdanmark'!H486</f>
        <v>0</v>
      </c>
      <c r="I486" s="263">
        <f ca="1">'Resultater - Vestdanmark'!I486+'Resultater - Østdanmark'!I486</f>
        <v>6.4981185039678975</v>
      </c>
      <c r="J486" s="264">
        <f ca="1">'Resultater - Vestdanmark'!J486+'Resultater - Østdanmark'!J486</f>
        <v>6.6013372467689999</v>
      </c>
      <c r="L486" s="151" t="s">
        <v>109</v>
      </c>
      <c r="M486" s="150">
        <v>16604.849999999999</v>
      </c>
    </row>
    <row r="487" spans="1:13" x14ac:dyDescent="0.25">
      <c r="A487" s="94" t="str">
        <f>'Resultater - Vestdanmark'!A487</f>
        <v>Til energi</v>
      </c>
      <c r="B487" s="94" t="str">
        <f>'Resultater - Vestdanmark'!B487</f>
        <v/>
      </c>
      <c r="C487" s="94" t="str">
        <f>'Resultater - Vestdanmark'!C487</f>
        <v/>
      </c>
      <c r="D487" s="94" t="str">
        <f>'Resultater - Vestdanmark'!D487</f>
        <v>Pyrolyseolie</v>
      </c>
      <c r="E487" s="94" t="str">
        <f>'Resultater - Vestdanmark'!E487</f>
        <v>Ton</v>
      </c>
      <c r="F487" s="94" t="str">
        <f>'Resultater - Vestdanmark'!F487</f>
        <v>Energi</v>
      </c>
      <c r="G487" s="94" t="str">
        <f>'Resultater - Vestdanmark'!G487</f>
        <v>PJ</v>
      </c>
      <c r="H487" s="261">
        <f ca="1">'Resultater - Vestdanmark'!H487+'Resultater - Østdanmark'!H487</f>
        <v>0</v>
      </c>
      <c r="I487" s="263">
        <f ca="1">'Resultater - Vestdanmark'!I487+'Resultater - Østdanmark'!I487</f>
        <v>0</v>
      </c>
      <c r="J487" s="264">
        <f ca="1">'Resultater - Vestdanmark'!J487+'Resultater - Østdanmark'!J487</f>
        <v>0</v>
      </c>
      <c r="L487" s="151"/>
      <c r="M487" s="150"/>
    </row>
    <row r="488" spans="1:13" x14ac:dyDescent="0.25">
      <c r="A488" s="94" t="str">
        <f>'Resultater - Vestdanmark'!A488</f>
        <v>Til energi</v>
      </c>
      <c r="B488" s="94" t="str">
        <f>'Resultater - Vestdanmark'!B488</f>
        <v/>
      </c>
      <c r="C488" s="94" t="str">
        <f>'Resultater - Vestdanmark'!C488</f>
        <v/>
      </c>
      <c r="D488" s="94" t="str">
        <f>'Resultater - Vestdanmark'!D488</f>
        <v>Pyrolysegas</v>
      </c>
      <c r="E488" s="94" t="str">
        <f>'Resultater - Vestdanmark'!E488</f>
        <v>Ton</v>
      </c>
      <c r="F488" s="94" t="str">
        <f>'Resultater - Vestdanmark'!F488</f>
        <v>Energi</v>
      </c>
      <c r="G488" s="94" t="str">
        <f>'Resultater - Vestdanmark'!G488</f>
        <v>PJ</v>
      </c>
      <c r="H488" s="261">
        <f ca="1">'Resultater - Vestdanmark'!H488+'Resultater - Østdanmark'!H488</f>
        <v>0</v>
      </c>
      <c r="I488" s="263">
        <f ca="1">'Resultater - Vestdanmark'!I488+'Resultater - Østdanmark'!I488</f>
        <v>0</v>
      </c>
      <c r="J488" s="264">
        <f ca="1">'Resultater - Vestdanmark'!J488+'Resultater - Østdanmark'!J488</f>
        <v>0</v>
      </c>
      <c r="L488" s="151"/>
      <c r="M488" s="150"/>
    </row>
    <row r="489" spans="1:13" x14ac:dyDescent="0.25">
      <c r="A489" s="94" t="str">
        <f>'Resultater - Vestdanmark'!A489</f>
        <v>Til energi</v>
      </c>
      <c r="B489" s="94" t="str">
        <f>'Resultater - Vestdanmark'!B489</f>
        <v/>
      </c>
      <c r="C489" s="94" t="str">
        <f>'Resultater - Vestdanmark'!C489</f>
        <v/>
      </c>
      <c r="D489" s="94" t="str">
        <f>'Resultater - Vestdanmark'!D489</f>
        <v>Biogas</v>
      </c>
      <c r="E489" s="94" t="str">
        <f>'Resultater - Vestdanmark'!E489</f>
        <v>Nm3 CH4</v>
      </c>
      <c r="F489" s="94" t="str">
        <f>'Resultater - Vestdanmark'!F489</f>
        <v>Energi</v>
      </c>
      <c r="G489" s="94" t="str">
        <f>'Resultater - Vestdanmark'!G489</f>
        <v>PJ</v>
      </c>
      <c r="H489" s="265">
        <f ca="1">'Resultater - Vestdanmark'!H489+'Resultater - Østdanmark'!H489</f>
        <v>16.609927730843868</v>
      </c>
      <c r="I489" s="266">
        <f ca="1">'Resultater - Vestdanmark'!I489+'Resultater - Østdanmark'!I489</f>
        <v>21.541453858819168</v>
      </c>
      <c r="J489" s="267">
        <f ca="1">'Resultater - Vestdanmark'!J489+'Resultater - Østdanmark'!J489</f>
        <v>24.803382790105807</v>
      </c>
    </row>
    <row r="490" spans="1:13" x14ac:dyDescent="0.25">
      <c r="A490" s="94" t="str">
        <f>'Resultater - Vestdanmark'!A490</f>
        <v>Proteinproces</v>
      </c>
      <c r="B490" s="94" t="str">
        <f>'Resultater - Vestdanmark'!B490</f>
        <v/>
      </c>
      <c r="C490" s="94" t="str">
        <f>'Resultater - Vestdanmark'!C490</f>
        <v/>
      </c>
      <c r="D490" s="94" t="str">
        <f>'Resultater - Vestdanmark'!D490</f>
        <v>Græs</v>
      </c>
      <c r="E490" s="94" t="str">
        <f>'Resultater - Vestdanmark'!E490</f>
        <v>Ton</v>
      </c>
      <c r="F490" s="94" t="str">
        <f>'Resultater - Vestdanmark'!F490</f>
        <v>Græsprotein</v>
      </c>
      <c r="G490" s="94" t="str">
        <f>'Resultater - Vestdanmark'!G490</f>
        <v>Ton</v>
      </c>
      <c r="H490" s="268">
        <f ca="1">'Resultater - Vestdanmark'!H490+'Resultater - Østdanmark'!H490</f>
        <v>0</v>
      </c>
      <c r="I490" s="269">
        <f ca="1">'Resultater - Vestdanmark'!I490+'Resultater - Østdanmark'!I490</f>
        <v>0</v>
      </c>
      <c r="J490" s="270">
        <f ca="1">'Resultater - Vestdanmark'!J490+'Resultater - Østdanmark'!J490</f>
        <v>0</v>
      </c>
    </row>
    <row r="491" spans="1:13" x14ac:dyDescent="0.25">
      <c r="A491" s="94" t="str">
        <f>'Resultater - Vestdanmark'!A491</f>
        <v>Proteinproces</v>
      </c>
      <c r="B491" s="94" t="str">
        <f>'Resultater - Vestdanmark'!B491</f>
        <v/>
      </c>
      <c r="C491" s="94" t="str">
        <f>'Resultater - Vestdanmark'!C491</f>
        <v/>
      </c>
      <c r="D491" s="94" t="str">
        <f>'Resultater - Vestdanmark'!D491</f>
        <v>Græs</v>
      </c>
      <c r="E491" s="94" t="str">
        <f>'Resultater - Vestdanmark'!E491</f>
        <v>Ton</v>
      </c>
      <c r="F491" s="94" t="str">
        <f>'Resultater - Vestdanmark'!F491</f>
        <v>Fiberfraktion</v>
      </c>
      <c r="G491" s="94" t="str">
        <f>'Resultater - Vestdanmark'!G491</f>
        <v>Ton</v>
      </c>
      <c r="H491" s="268">
        <f ca="1">'Resultater - Vestdanmark'!H491+'Resultater - Østdanmark'!H491</f>
        <v>0</v>
      </c>
      <c r="I491" s="269">
        <f ca="1">'Resultater - Vestdanmark'!I491+'Resultater - Østdanmark'!I491</f>
        <v>0</v>
      </c>
      <c r="J491" s="270">
        <f ca="1">'Resultater - Vestdanmark'!J491+'Resultater - Østdanmark'!J491</f>
        <v>0</v>
      </c>
    </row>
    <row r="492" spans="1:13" x14ac:dyDescent="0.25">
      <c r="A492" s="94" t="str">
        <f>'Resultater - Vestdanmark'!A492</f>
        <v>Proteinproces</v>
      </c>
      <c r="B492" s="94" t="str">
        <f>'Resultater - Vestdanmark'!B492</f>
        <v/>
      </c>
      <c r="C492" s="94" t="str">
        <f>'Resultater - Vestdanmark'!C492</f>
        <v/>
      </c>
      <c r="D492" s="94" t="str">
        <f>'Resultater - Vestdanmark'!D492</f>
        <v>Græs</v>
      </c>
      <c r="E492" s="94" t="str">
        <f>'Resultater - Vestdanmark'!E492</f>
        <v>Ton</v>
      </c>
      <c r="F492" s="94" t="str">
        <f>'Resultater - Vestdanmark'!F492</f>
        <v>Brun saft</v>
      </c>
      <c r="G492" s="94" t="str">
        <f>'Resultater - Vestdanmark'!G492</f>
        <v>PJ</v>
      </c>
      <c r="H492" s="268">
        <f ca="1">'Resultater - Vestdanmark'!H492+'Resultater - Østdanmark'!H492</f>
        <v>0</v>
      </c>
      <c r="I492" s="269">
        <f ca="1">'Resultater - Vestdanmark'!I492+'Resultater - Østdanmark'!I492</f>
        <v>0</v>
      </c>
      <c r="J492" s="270">
        <f ca="1">'Resultater - Vestdanmark'!J492+'Resultater - Østdanmark'!J492</f>
        <v>0</v>
      </c>
    </row>
    <row r="493" spans="1:13" x14ac:dyDescent="0.25">
      <c r="A493" s="94" t="str">
        <f>'Resultater - Vestdanmark'!A493</f>
        <v>Rapskageproduktion</v>
      </c>
      <c r="B493" s="94" t="str">
        <f>'Resultater - Vestdanmark'!B493</f>
        <v/>
      </c>
      <c r="C493" s="94" t="str">
        <f>'Resultater - Vestdanmark'!C493</f>
        <v/>
      </c>
      <c r="D493" s="94" t="str">
        <f>'Resultater - Vestdanmark'!D493</f>
        <v>Raps</v>
      </c>
      <c r="E493" s="94" t="str">
        <f>'Resultater - Vestdanmark'!E493</f>
        <v>Ton</v>
      </c>
      <c r="F493" s="94" t="str">
        <f>'Resultater - Vestdanmark'!F493</f>
        <v>Rapskage</v>
      </c>
      <c r="G493" s="94" t="str">
        <f>'Resultater - Vestdanmark'!G493</f>
        <v>Ton</v>
      </c>
      <c r="H493" s="268">
        <f>'Resultater - Vestdanmark'!H493+'Resultater - Østdanmark'!H493</f>
        <v>339162.61425562343</v>
      </c>
      <c r="I493" s="269">
        <f>'Resultater - Vestdanmark'!I493+'Resultater - Østdanmark'!I493</f>
        <v>340276.41505028598</v>
      </c>
      <c r="J493" s="270">
        <f>'Resultater - Vestdanmark'!J493+'Resultater - Østdanmark'!J493</f>
        <v>336002.53924681514</v>
      </c>
    </row>
    <row r="494" spans="1:13" x14ac:dyDescent="0.25">
      <c r="A494" s="94" t="str">
        <f>'Resultater - Vestdanmark'!A494</f>
        <v>Rapskageproduktion</v>
      </c>
      <c r="B494" s="94" t="str">
        <f>'Resultater - Vestdanmark'!B494</f>
        <v/>
      </c>
      <c r="C494" s="94" t="str">
        <f>'Resultater - Vestdanmark'!C494</f>
        <v/>
      </c>
      <c r="D494" s="94" t="str">
        <f>'Resultater - Vestdanmark'!D494</f>
        <v>Raps</v>
      </c>
      <c r="E494" s="94" t="str">
        <f>'Resultater - Vestdanmark'!E494</f>
        <v>Ton</v>
      </c>
      <c r="F494" s="94" t="str">
        <f>'Resultater - Vestdanmark'!F494</f>
        <v>Rapsolie</v>
      </c>
      <c r="G494" s="94" t="str">
        <f>'Resultater - Vestdanmark'!G494</f>
        <v>Ton</v>
      </c>
      <c r="H494" s="268">
        <f>'Resultater - Vestdanmark'!H494+'Resultater - Østdanmark'!H494</f>
        <v>217064.073123599</v>
      </c>
      <c r="I494" s="269">
        <f>'Resultater - Vestdanmark'!I494+'Resultater - Østdanmark'!I494</f>
        <v>217776.90563218304</v>
      </c>
      <c r="J494" s="270">
        <f>'Resultater - Vestdanmark'!J494+'Resultater - Østdanmark'!J494</f>
        <v>215041.6251179617</v>
      </c>
    </row>
    <row r="495" spans="1:13" x14ac:dyDescent="0.25">
      <c r="A495" s="94" t="str">
        <f>'Resultater - Vestdanmark'!A495</f>
        <v>Pyrolyseproces</v>
      </c>
      <c r="B495" s="94" t="str">
        <f>'Resultater - Vestdanmark'!B495</f>
        <v/>
      </c>
      <c r="C495" s="94" t="str">
        <f>'Resultater - Vestdanmark'!C495</f>
        <v/>
      </c>
      <c r="D495" s="94" t="str">
        <f>'Resultater - Vestdanmark'!D495</f>
        <v>Halm</v>
      </c>
      <c r="E495" s="94" t="str">
        <f>'Resultater - Vestdanmark'!E495</f>
        <v>Ton</v>
      </c>
      <c r="F495" s="94" t="str">
        <f>'Resultater - Vestdanmark'!F495</f>
        <v>CO2 - atmosfære</v>
      </c>
      <c r="G495" s="94" t="str">
        <f>'Resultater - Vestdanmark'!G495</f>
        <v>t CO2-ækvivalenter</v>
      </c>
      <c r="H495" s="268">
        <f ca="1">'Resultater - Vestdanmark'!H495+'Resultater - Østdanmark'!H495</f>
        <v>0</v>
      </c>
      <c r="I495" s="269">
        <f ca="1">'Resultater - Vestdanmark'!I495+'Resultater - Østdanmark'!I495</f>
        <v>0</v>
      </c>
      <c r="J495" s="270">
        <f ca="1">'Resultater - Vestdanmark'!J495+'Resultater - Østdanmark'!J495</f>
        <v>0</v>
      </c>
    </row>
    <row r="496" spans="1:13" x14ac:dyDescent="0.25">
      <c r="A496" s="94" t="str">
        <f>'Resultater - Vestdanmark'!A496</f>
        <v>Pyrolyseproces</v>
      </c>
      <c r="B496" s="94" t="str">
        <f>'Resultater - Vestdanmark'!B496</f>
        <v/>
      </c>
      <c r="C496" s="94" t="str">
        <f>'Resultater - Vestdanmark'!C496</f>
        <v/>
      </c>
      <c r="D496" s="94" t="str">
        <f>'Resultater - Vestdanmark'!D496</f>
        <v>Halm</v>
      </c>
      <c r="E496" s="94" t="str">
        <f>'Resultater - Vestdanmark'!E496</f>
        <v>Ton</v>
      </c>
      <c r="F496" s="94" t="str">
        <f>'Resultater - Vestdanmark'!F496</f>
        <v>Pyrolyseolie</v>
      </c>
      <c r="G496" s="94" t="str">
        <f>'Resultater - Vestdanmark'!G496</f>
        <v>Ton</v>
      </c>
      <c r="H496" s="268">
        <f ca="1">'Resultater - Vestdanmark'!H496+'Resultater - Østdanmark'!H496</f>
        <v>0</v>
      </c>
      <c r="I496" s="269">
        <f ca="1">'Resultater - Vestdanmark'!I496+'Resultater - Østdanmark'!I496</f>
        <v>0</v>
      </c>
      <c r="J496" s="270">
        <f ca="1">'Resultater - Vestdanmark'!J496+'Resultater - Østdanmark'!J496</f>
        <v>0</v>
      </c>
    </row>
    <row r="497" spans="1:10" ht="15.75" thickBot="1" x14ac:dyDescent="0.3">
      <c r="A497" s="94" t="str">
        <f>'Resultater - Vestdanmark'!A497</f>
        <v>Pyrolyseproces</v>
      </c>
      <c r="B497" s="94" t="str">
        <f>'Resultater - Vestdanmark'!B497</f>
        <v/>
      </c>
      <c r="C497" s="94" t="str">
        <f>'Resultater - Vestdanmark'!C497</f>
        <v/>
      </c>
      <c r="D497" s="94" t="str">
        <f>'Resultater - Vestdanmark'!D497</f>
        <v>Halm</v>
      </c>
      <c r="E497" s="94" t="str">
        <f>'Resultater - Vestdanmark'!E497</f>
        <v>Ton</v>
      </c>
      <c r="F497" s="94" t="str">
        <f>'Resultater - Vestdanmark'!F497</f>
        <v>Pyrolysegas</v>
      </c>
      <c r="G497" s="94" t="str">
        <f>'Resultater - Vestdanmark'!G497</f>
        <v>Ton</v>
      </c>
      <c r="H497" s="271">
        <f ca="1">'Resultater - Vestdanmark'!H497+'Resultater - Østdanmark'!H497</f>
        <v>0</v>
      </c>
      <c r="I497" s="272">
        <f ca="1">'Resultater - Vestdanmark'!I497+'Resultater - Østdanmark'!I497</f>
        <v>0</v>
      </c>
      <c r="J497" s="273">
        <f ca="1">'Resultater - Vestdanmark'!J497+'Resultater - Østdanmark'!J497</f>
        <v>0</v>
      </c>
    </row>
    <row r="498" spans="1:10" x14ac:dyDescent="0.25">
      <c r="A498" s="94"/>
      <c r="B498" s="94"/>
      <c r="C498" s="94"/>
      <c r="D498" s="94"/>
      <c r="E498" s="94"/>
      <c r="F498" s="94"/>
      <c r="G498" s="94"/>
      <c r="H498" s="93"/>
      <c r="I498" s="93"/>
      <c r="J498" s="93"/>
    </row>
    <row r="499" spans="1:10" x14ac:dyDescent="0.25">
      <c r="A499" s="94"/>
      <c r="B499" s="94"/>
      <c r="C499" s="94"/>
      <c r="D499" s="94"/>
      <c r="E499" s="94"/>
      <c r="F499" s="94"/>
      <c r="G499" s="94"/>
      <c r="H499" s="93"/>
      <c r="I499" s="93"/>
      <c r="J499" s="93"/>
    </row>
    <row r="500" spans="1:10" x14ac:dyDescent="0.25">
      <c r="A500" s="94"/>
      <c r="B500" s="94"/>
      <c r="C500" s="94"/>
      <c r="D500" s="94"/>
      <c r="E500" s="94"/>
      <c r="F500" s="94"/>
      <c r="G500" s="94"/>
      <c r="H500" s="93"/>
      <c r="I500" s="93"/>
      <c r="J500" s="93"/>
    </row>
    <row r="501" spans="1:10" x14ac:dyDescent="0.25">
      <c r="A501" s="94"/>
      <c r="B501" s="94"/>
      <c r="C501" s="94"/>
      <c r="D501" s="94"/>
      <c r="E501" s="94"/>
      <c r="F501" s="94"/>
      <c r="G501" s="94"/>
      <c r="H501" s="93"/>
      <c r="I501" s="93"/>
      <c r="J501" s="93"/>
    </row>
    <row r="502" spans="1:10" x14ac:dyDescent="0.25">
      <c r="A502" s="94"/>
      <c r="B502" s="94"/>
      <c r="C502" s="94"/>
      <c r="D502" s="94"/>
      <c r="E502" s="94"/>
      <c r="F502" s="94"/>
      <c r="G502" s="94"/>
      <c r="H502" s="93"/>
      <c r="I502" s="93"/>
      <c r="J502" s="93"/>
    </row>
    <row r="503" spans="1:10" x14ac:dyDescent="0.25">
      <c r="A503" s="94"/>
      <c r="B503" s="94"/>
      <c r="C503" s="94"/>
      <c r="D503" s="94"/>
      <c r="E503" s="94"/>
      <c r="F503" s="94"/>
      <c r="G503" s="94"/>
      <c r="H503" s="93"/>
      <c r="I503" s="93"/>
      <c r="J503" s="93"/>
    </row>
    <row r="504" spans="1:10" x14ac:dyDescent="0.25">
      <c r="A504" s="94"/>
      <c r="B504" s="94"/>
      <c r="C504" s="94"/>
      <c r="D504" s="94"/>
      <c r="E504" s="94"/>
      <c r="F504" s="94"/>
      <c r="G504" s="94"/>
      <c r="H504" s="93"/>
      <c r="I504" s="93"/>
      <c r="J504" s="93"/>
    </row>
    <row r="505" spans="1:10" x14ac:dyDescent="0.25">
      <c r="A505" s="94"/>
      <c r="B505" s="94"/>
      <c r="C505" s="94"/>
      <c r="D505" s="94"/>
      <c r="E505" s="94"/>
      <c r="F505" s="94"/>
      <c r="G505" s="94"/>
      <c r="H505" s="93"/>
      <c r="I505" s="93"/>
      <c r="J505" s="93"/>
    </row>
    <row r="506" spans="1:10" x14ac:dyDescent="0.25">
      <c r="A506" s="94"/>
      <c r="B506" s="94"/>
      <c r="C506" s="94"/>
      <c r="D506" s="94"/>
      <c r="E506" s="94"/>
      <c r="F506" s="94"/>
      <c r="G506" s="94"/>
      <c r="H506" s="93"/>
      <c r="I506" s="93"/>
      <c r="J506" s="93"/>
    </row>
    <row r="507" spans="1:10" x14ac:dyDescent="0.25">
      <c r="A507" s="94"/>
      <c r="B507" s="94"/>
      <c r="C507" s="94"/>
      <c r="D507" s="94"/>
      <c r="E507" s="94"/>
      <c r="F507" s="94"/>
      <c r="G507" s="94"/>
      <c r="H507" s="93"/>
      <c r="I507" s="93"/>
      <c r="J507" s="93"/>
    </row>
    <row r="508" spans="1:10" x14ac:dyDescent="0.25">
      <c r="A508" s="94"/>
      <c r="B508" s="94"/>
      <c r="C508" s="94"/>
      <c r="D508" s="94"/>
      <c r="E508" s="94"/>
      <c r="F508" s="94"/>
      <c r="G508" s="94"/>
      <c r="H508" s="93"/>
      <c r="I508" s="93"/>
      <c r="J508" s="93"/>
    </row>
    <row r="509" spans="1:10" x14ac:dyDescent="0.25">
      <c r="A509" s="94"/>
      <c r="B509" s="94"/>
      <c r="C509" s="94"/>
      <c r="D509" s="94"/>
      <c r="E509" s="94"/>
      <c r="F509" s="94"/>
      <c r="G509" s="94"/>
      <c r="H509" s="93"/>
      <c r="I509" s="93"/>
      <c r="J509" s="93"/>
    </row>
    <row r="510" spans="1:10" x14ac:dyDescent="0.25">
      <c r="H510" s="93"/>
      <c r="I510" s="93"/>
      <c r="J510" s="93"/>
    </row>
    <row r="511" spans="1:10" x14ac:dyDescent="0.25">
      <c r="H511" s="93"/>
      <c r="I511" s="93"/>
      <c r="J511" s="93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AE291"/>
  <sheetViews>
    <sheetView zoomScale="106" workbookViewId="0">
      <pane xSplit="6" ySplit="3" topLeftCell="G4" activePane="bottomRight" state="frozen"/>
      <selection pane="topRight" activeCell="F1" sqref="F1"/>
      <selection pane="bottomLeft" activeCell="A3" sqref="A3"/>
      <selection pane="bottomRight" activeCell="Q4" sqref="Q4"/>
    </sheetView>
  </sheetViews>
  <sheetFormatPr defaultColWidth="18" defaultRowHeight="15" x14ac:dyDescent="0.25"/>
  <cols>
    <col min="1" max="2" width="18.140625" bestFit="1" customWidth="1"/>
    <col min="3" max="3" width="8.140625" bestFit="1" customWidth="1"/>
    <col min="4" max="4" width="8.140625" customWidth="1"/>
    <col min="5" max="5" width="7.85546875" customWidth="1"/>
    <col min="6" max="6" width="11.140625" bestFit="1" customWidth="1"/>
    <col min="7" max="7" width="14.28515625" bestFit="1" customWidth="1"/>
    <col min="8" max="9" width="12" bestFit="1" customWidth="1"/>
    <col min="10" max="10" width="9.140625" bestFit="1" customWidth="1"/>
    <col min="11" max="12" width="9.7109375" bestFit="1" customWidth="1"/>
    <col min="13" max="13" width="12" bestFit="1" customWidth="1"/>
    <col min="14" max="14" width="20.140625" bestFit="1" customWidth="1"/>
    <col min="15" max="15" width="26.42578125" bestFit="1" customWidth="1"/>
    <col min="16" max="16" width="21.42578125" bestFit="1" customWidth="1"/>
    <col min="17" max="17" width="20.5703125" bestFit="1" customWidth="1"/>
    <col min="18" max="18" width="20.28515625" bestFit="1" customWidth="1"/>
    <col min="19" max="19" width="19.85546875" bestFit="1" customWidth="1"/>
    <col min="20" max="20" width="18.5703125" bestFit="1" customWidth="1"/>
    <col min="21" max="21" width="23.7109375" bestFit="1" customWidth="1"/>
    <col min="22" max="22" width="24" bestFit="1" customWidth="1"/>
    <col min="23" max="23" width="23.42578125" bestFit="1" customWidth="1"/>
    <col min="24" max="24" width="22.28515625" bestFit="1" customWidth="1"/>
    <col min="25" max="25" width="27.42578125" bestFit="1" customWidth="1"/>
  </cols>
  <sheetData>
    <row r="1" spans="1:31" ht="15.75" thickTop="1" x14ac:dyDescent="0.25">
      <c r="A1" s="428" t="s">
        <v>248</v>
      </c>
      <c r="B1" s="428"/>
      <c r="C1" s="428"/>
      <c r="D1" s="393"/>
      <c r="G1" s="429" t="s">
        <v>250</v>
      </c>
      <c r="H1" s="429"/>
      <c r="I1" s="429"/>
      <c r="J1" s="429"/>
      <c r="K1" s="429"/>
      <c r="L1" s="429"/>
      <c r="M1" s="429"/>
      <c r="N1" s="430"/>
      <c r="O1" s="431" t="s">
        <v>251</v>
      </c>
      <c r="P1" s="432"/>
      <c r="Q1" s="433"/>
      <c r="R1" s="425" t="s">
        <v>122</v>
      </c>
      <c r="S1" s="425"/>
      <c r="T1" s="425"/>
      <c r="U1" s="426"/>
      <c r="V1" s="427" t="s">
        <v>229</v>
      </c>
      <c r="W1" s="425"/>
      <c r="X1" s="425"/>
      <c r="Y1" s="426"/>
      <c r="AB1" s="424" t="s">
        <v>337</v>
      </c>
      <c r="AC1" s="424"/>
      <c r="AD1">
        <f>År1</f>
        <v>2019</v>
      </c>
      <c r="AE1">
        <f ca="1">SUMIF($E$4:$E$291,$AD1,AC$4:AC$291)</f>
        <v>19.960490719951665</v>
      </c>
    </row>
    <row r="2" spans="1:31" x14ac:dyDescent="0.25">
      <c r="A2" s="393"/>
      <c r="B2" s="393"/>
      <c r="C2" s="393"/>
      <c r="D2" s="393"/>
      <c r="G2" s="394"/>
      <c r="H2" s="394">
        <v>1</v>
      </c>
      <c r="I2" s="394">
        <v>1</v>
      </c>
      <c r="J2" s="394">
        <v>0</v>
      </c>
      <c r="K2" s="394">
        <v>1</v>
      </c>
      <c r="L2" s="394">
        <v>1</v>
      </c>
      <c r="M2" s="394">
        <v>0</v>
      </c>
      <c r="N2" s="394">
        <v>0</v>
      </c>
      <c r="O2" s="395"/>
      <c r="P2" s="396"/>
      <c r="Q2" s="397"/>
      <c r="R2" s="396"/>
      <c r="S2" s="396"/>
      <c r="T2" s="396"/>
      <c r="U2" s="398"/>
      <c r="V2" s="399"/>
      <c r="W2" s="396"/>
      <c r="X2" s="396"/>
      <c r="Y2" s="398"/>
      <c r="AD2">
        <f>År2</f>
        <v>2030</v>
      </c>
      <c r="AE2">
        <f ca="1">SUMIF($E$4:$E$291,$AD2,AC$4:AC$291)</f>
        <v>21.088956515607077</v>
      </c>
    </row>
    <row r="3" spans="1:31" x14ac:dyDescent="0.25">
      <c r="A3" s="91" t="s">
        <v>128</v>
      </c>
      <c r="B3" s="91" t="s">
        <v>311</v>
      </c>
      <c r="C3" s="91" t="s">
        <v>129</v>
      </c>
      <c r="D3" s="91" t="s">
        <v>339</v>
      </c>
      <c r="E3" s="91" t="s">
        <v>58</v>
      </c>
      <c r="F3" s="91" t="s">
        <v>64</v>
      </c>
      <c r="G3" s="91" t="s">
        <v>132</v>
      </c>
      <c r="H3" s="91" t="s">
        <v>112</v>
      </c>
      <c r="I3" s="91" t="s">
        <v>124</v>
      </c>
      <c r="J3" s="91" t="s">
        <v>127</v>
      </c>
      <c r="K3" s="91" t="s">
        <v>109</v>
      </c>
      <c r="L3" s="91" t="s">
        <v>114</v>
      </c>
      <c r="M3" s="91" t="s">
        <v>120</v>
      </c>
      <c r="N3" s="91" t="s">
        <v>223</v>
      </c>
      <c r="O3" s="177" t="s">
        <v>249</v>
      </c>
      <c r="P3" s="91" t="s">
        <v>130</v>
      </c>
      <c r="Q3" s="178" t="s">
        <v>190</v>
      </c>
      <c r="R3" s="91" t="s">
        <v>131</v>
      </c>
      <c r="S3" s="91" t="s">
        <v>232</v>
      </c>
      <c r="T3" s="91" t="s">
        <v>233</v>
      </c>
      <c r="U3" s="176" t="s">
        <v>284</v>
      </c>
      <c r="V3" s="175" t="s">
        <v>235</v>
      </c>
      <c r="W3" s="91" t="s">
        <v>234</v>
      </c>
      <c r="X3" s="91" t="s">
        <v>236</v>
      </c>
      <c r="Y3" s="176" t="s">
        <v>283</v>
      </c>
      <c r="Z3" s="91" t="s">
        <v>278</v>
      </c>
      <c r="AA3" s="91" t="s">
        <v>300</v>
      </c>
      <c r="AB3" s="91" t="s">
        <v>338</v>
      </c>
      <c r="AC3" s="91" t="s">
        <v>340</v>
      </c>
      <c r="AD3">
        <f>År3</f>
        <v>2050</v>
      </c>
      <c r="AE3">
        <f ca="1">SUMIF($E$4:$E$291,$AD3,AC$4:AC$291)</f>
        <v>21.592419108386828</v>
      </c>
    </row>
    <row r="4" spans="1:31" x14ac:dyDescent="0.25">
      <c r="A4" s="171" t="s">
        <v>15</v>
      </c>
      <c r="B4" s="171"/>
      <c r="C4" s="171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71">
        <v>1</v>
      </c>
      <c r="E4" s="171">
        <f t="shared" ref="E4:E16" si="0">År1</f>
        <v>2019</v>
      </c>
      <c r="F4" t="s">
        <v>23</v>
      </c>
      <c r="G4" s="94">
        <f>IF(F4="Vestdanmark",SUMIFS(IF(E4=År1,'Resultater - Vestdanmark'!H$3:H$504,IF(E4=År2,'Resultater - Vestdanmark'!I$3:I$504,'Resultater - Vestdanmark'!J$3:J$504)),'Resultater - Vestdanmark'!$F$3:$F$504,$A4,IF(E4=År1,'Resultater - Vestdanmark'!H$3:H$504,IF(E4=År2,'Resultater - Vestdanmark'!I$3:I$504,'Resultater - Vestdanmark'!J$3:J$504)),"&gt;0"),SUMIFS(IF(E4=År1,'Resultater - Østdanmark'!H$3:H$504,IF(E4=År2,'Resultater - Østdanmark'!I$3:I$504,'Resultater - Østdanmark'!J$3:J$504)),'Resultater - Østdanmark'!$F$3:$F$504,$A4,IF(E4=År1,'Resultater - Østdanmark'!H$3:H$504,IF(E4=År2,'Resultater - Østdanmark'!I$3:I$504,'Resultater - Østdanmark'!J$3:J$504)),"&gt;0"))</f>
        <v>216549.9929685164</v>
      </c>
      <c r="H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forbrug'!H$3,'Forbrug af biomasse'!$B$2:$B$425,$F4)</f>
        <v>0</v>
      </c>
      <c r="I4">
        <f>IF(F4="Vestdanmark",-IF(A4="Halm",SUMIFS(IF(E4=År1,'Resultater - Vestdanmark'!H$3:H$504,IF(E4=År2,'Resultater - Vestdanmark'!I$3:I$504,'Resultater - Vestdanmark'!J$3:J$504)),'Resultater - Vestdanmark'!$F$3:$F$504,$A4,'Resultater - Vestdanmark'!H$3:H$504,"&lt;0"),0),-IF(A4="Halm",SUMIFS(IF(E4=År1,'Resultater - Østdanmark'!H$3:H$504,IF(E4=År2,'Resultater - Østdanmark'!I$3:I$504,'Resultater - Østdanmark'!J$3:J$504)),'Resultater - Østdanmark'!$F$3:$F$504,$A4,'Resultater - Østdanmark'!H$3:H$504,"&lt;0"),0))</f>
        <v>0</v>
      </c>
      <c r="J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forbrug'!J$3,'Forbrug af biomasse'!$B$2:$B$425,$F4)</f>
        <v>31522.55833067331</v>
      </c>
      <c r="K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forbrug'!K$3,'Forbrug af biomasse'!$B$2:$B$425,$F4)</f>
        <v>0</v>
      </c>
      <c r="L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forbrug'!L$3,'Forbrug af biomasse'!$B$2:$B$425,$F4)</f>
        <v>0</v>
      </c>
      <c r="M4" s="94">
        <f>IF(A4&lt;&gt;"Biogas",SUMIFS('Forbrug af biomasse'!$E$2:$E$425,'Forbrug af biomasse'!$C$2:$C$425,'Resultat-Produktion &amp; forbrug'!$A4,'Forbrug af biomasse'!$D$2:$D$425,'Resultat-Produktion &amp; forbrug'!$E4,'Forbrug af biomasse'!$A$2:$A$425,'Resultat-Produktion &amp; forbrug'!M$3,'Forbrug af biomasse'!$B$2:$B$425,$F4),G4)</f>
        <v>0</v>
      </c>
      <c r="N4" s="94">
        <f>SUMIFS('Forbrug af biomasse'!E:E,'Forbrug af biomasse'!C:C,'Resultat-Produktion &amp; forbrug'!$A4,'Forbrug af biomasse'!D:D,'Resultat-Produktion &amp; forbrug'!$E4,'Forbrug af biomasse'!G:G,1,'Forbrug af biomasse'!B:B,$F4)</f>
        <v>0</v>
      </c>
      <c r="O4" s="179">
        <f>G4-SUM(H4:N4)</f>
        <v>185027.43463784308</v>
      </c>
      <c r="P4" s="94">
        <f>IF(C4=1,IF(O4+IF(SUMIFS($O$4:$O$291,$A$4:$A$291,A4,$E$4:$E$291,E4,$F$4:$F$291,"&lt;&gt;"&amp;F4)&lt;0,SUMIFS($O$4:$O$291,$A$4:$A$291,A4,$E$4:$E$291,E4,$F$4:$F$291,"&lt;&gt;"&amp;F4),0)&gt;0,O4+IF(SUMIFS($O$4:$O$291,$A$4:$A$291,A4,$E$4:$E$291,E4,$F$4:$F$291,"&lt;&gt;"&amp;F4)&lt;0,SUMIFS($O$4:$O$291,$A$4:$A$291,A4,$E$4:$E$291,E4,$F$4:$F$291,"&lt;&gt;"&amp;F4),0),0),0)</f>
        <v>0</v>
      </c>
      <c r="Q4" s="180">
        <f>SUM(K4,M4)</f>
        <v>0</v>
      </c>
      <c r="R4">
        <f>IFERROR(VLOOKUP(A4,[1]Energiindhold!$A$2:$C$11,3,FALSE),IFERROR(VLOOKUP(A4,[1]Biogasudbytte!$A$2:$B$18,2,FALSE)*[1]Energiindhold!$C$10,0))*P4</f>
        <v>0</v>
      </c>
      <c r="S4">
        <f>IF(A4&lt;&gt;"Biogas",IFERROR(VLOOKUP(A4,[1]Biogasudbytte!$A$2:$B$18,2,FALSE)*[1]Energiindhold!$C$10,0)*K4*IFERROR(VLOOKUP(A4,Biogasanlæg!$F$3:$G$8,2,FALSE),1)+IFERROR(VLOOKUP(A4,[1]Energiindhold!$A$2:$C$11,3,FALSE),0)*M4+IF(E4&lt;&gt;År1,R4,0),0)</f>
        <v>0</v>
      </c>
      <c r="T4">
        <f>IFERROR(VLOOKUP(A4,[1]Biogasudbytte!$A$2:$B$18,2,FALSE)*[1]Energiindhold!$C$10,0)*K4*IFERROR(VLOOKUP(A4,Biogasanlæg!$F$3:$G$8,2,FALSE),1)</f>
        <v>0</v>
      </c>
      <c r="U4" s="170">
        <f>S4-T4</f>
        <v>0</v>
      </c>
      <c r="V4" s="169">
        <f>P4*IFERROR(VLOOKUP(A4,[1]Tørstofindhold!A$2:B$24,2,FALSE),0)</f>
        <v>0</v>
      </c>
      <c r="W4">
        <f>IF(E4=År1,Q4,SUM(P4,Q4))*IFERROR(VLOOKUP(A4,[1]Tørstofindhold!A$2:B$24,2,FALSE),0)</f>
        <v>0</v>
      </c>
      <c r="X4">
        <f>K4*IFERROR(VLOOKUP(A4,[1]Tørstofindhold!A$2:B$24,2,FALSE),0)</f>
        <v>0</v>
      </c>
      <c r="Y4" s="170">
        <f>W4-X4</f>
        <v>0</v>
      </c>
      <c r="Z4">
        <f t="shared" ref="Z4:Z67" ca="1" si="1">IF(SUMIFS($O$4:$O$291,$A$4:$A$291,A4,$E$4:$E$291,E4)&lt;0,1,0)</f>
        <v>0</v>
      </c>
      <c r="AA4">
        <f t="shared" ref="AA4:AA67" ca="1" si="2">IF(SUMIFS($O$4:$O$291,$A$4:$A$291,A4,$E$4:$E$291,E4)&gt;0,1,0)</f>
        <v>1</v>
      </c>
      <c r="AB4" s="94">
        <f>G4-SUMPRODUCT($H$2:$N$2,H4:N4)</f>
        <v>216549.9929685164</v>
      </c>
      <c r="AC4">
        <f>AB4*D4*10000*VLOOKUP(A4,[1]kcal!$A$2:$C$49,3,FALSE)/1000000000000</f>
        <v>0.29883899029655259</v>
      </c>
    </row>
    <row r="5" spans="1:31" x14ac:dyDescent="0.25">
      <c r="A5" s="171" t="s">
        <v>49</v>
      </c>
      <c r="B5" s="171"/>
      <c r="C5" s="171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0</v>
      </c>
      <c r="D5" s="171">
        <v>1</v>
      </c>
      <c r="E5" s="171">
        <f t="shared" si="0"/>
        <v>2019</v>
      </c>
      <c r="F5" t="s">
        <v>23</v>
      </c>
      <c r="G5" s="94">
        <f>IF(F5="Vestdanmark",SUMIFS(IF(E5=År1,'Resultater - Vestdanmark'!H$3:H$504,IF(E5=År2,'Resultater - Vestdanmark'!I$3:I$504,'Resultater - Vestdanmark'!J$3:J$504)),'Resultater - Vestdanmark'!$F$3:$F$504,$A5,IF(E5=År1,'Resultater - Vestdanmark'!H$3:H$504,IF(E5=År2,'Resultater - Vestdanmark'!I$3:I$504,'Resultater - Vestdanmark'!J$3:J$504)),"&gt;0"),SUMIFS(IF(E5=År1,'Resultater - Østdanmark'!H$3:H$504,IF(E5=År2,'Resultater - Østdanmark'!I$3:I$504,'Resultater - Østdanmark'!J$3:J$504)),'Resultater - Østdanmark'!$F$3:$F$504,$A5,IF(E5=År1,'Resultater - Østdanmark'!H$3:H$504,IF(E5=År2,'Resultater - Østdanmark'!I$3:I$504,'Resultater - Østdanmark'!J$3:J$504)),"&gt;0"))</f>
        <v>258397.36122446082</v>
      </c>
      <c r="H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forbrug'!H$3,'Forbrug af biomasse'!$B$2:$B$425,$F5)</f>
        <v>64498.47547519199</v>
      </c>
      <c r="I5">
        <f>IF(F5="Vestdanmark",-IF(A5="Halm",SUMIFS(IF(E5=År1,'Resultater - Vestdanmark'!H$3:H$504,IF(E5=År2,'Resultater - Vestdanmark'!I$3:I$504,'Resultater - Vestdanmark'!J$3:J$504)),'Resultater - Vestdanmark'!$F$3:$F$504,$A5,'Resultater - Vestdanmark'!H$3:H$504,"&lt;0"),0),-IF(A5="Halm",SUMIFS(IF(E5=År1,'Resultater - Østdanmark'!H$3:H$504,IF(E5=År2,'Resultater - Østdanmark'!I$3:I$504,'Resultater - Østdanmark'!J$3:J$504)),'Resultater - Østdanmark'!$F$3:$F$504,$A5,'Resultater - Østdanmark'!H$3:H$504,"&lt;0"),0))</f>
        <v>0</v>
      </c>
      <c r="J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forbrug'!J$3,'Forbrug af biomasse'!$B$2:$B$425,$F5)</f>
        <v>0</v>
      </c>
      <c r="K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forbrug'!K$3,'Forbrug af biomasse'!$B$2:$B$425,$F5)</f>
        <v>0</v>
      </c>
      <c r="L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forbrug'!L$3,'Forbrug af biomasse'!$B$2:$B$425,$F5)</f>
        <v>0</v>
      </c>
      <c r="M5" s="94">
        <f>IF(A5&lt;&gt;"Biogas",SUMIFS('Forbrug af biomasse'!$E$2:$E$425,'Forbrug af biomasse'!$C$2:$C$425,'Resultat-Produktion &amp; forbrug'!$A5,'Forbrug af biomasse'!$D$2:$D$425,'Resultat-Produktion &amp; forbrug'!$E5,'Forbrug af biomasse'!$A$2:$A$425,'Resultat-Produktion &amp; forbrug'!M$3,'Forbrug af biomasse'!$B$2:$B$425,$F5),G5)</f>
        <v>0</v>
      </c>
      <c r="N5" s="94">
        <f>SUMIFS('Forbrug af biomasse'!E:E,'Forbrug af biomasse'!C:C,'Resultat-Produktion &amp; forbrug'!$A5,'Forbrug af biomasse'!D:D,'Resultat-Produktion &amp; forbrug'!$E5,'Forbrug af biomasse'!G:G,1,'Forbrug af biomasse'!B:B,$F5)</f>
        <v>0</v>
      </c>
      <c r="O5" s="179">
        <f t="shared" ref="O5:O16" si="3">G5-SUM(H5:N5)</f>
        <v>193898.88574926884</v>
      </c>
      <c r="P5" s="94">
        <f t="shared" ref="P5:P67" si="4">IF(C5=1,IF(O5+IF(SUMIFS($O$4:$O$291,$A$4:$A$291,A5,$E$4:$E$291,E5,$F$4:$F$291,"&lt;&gt;"&amp;F5)&lt;0,SUMIFS($O$4:$O$291,$A$4:$A$291,A5,$E$4:$E$291,E5,$F$4:$F$291,"&lt;&gt;"&amp;F5),0)&gt;0,O5+IF(SUMIFS($O$4:$O$291,$A$4:$A$291,A5,$E$4:$E$291,E5,$F$4:$F$291,"&lt;&gt;"&amp;F5)&lt;0,SUMIFS($O$4:$O$291,$A$4:$A$291,A5,$E$4:$E$291,E5,$F$4:$F$291,"&lt;&gt;"&amp;F5),0),0),0)</f>
        <v>0</v>
      </c>
      <c r="Q5" s="180">
        <f t="shared" ref="Q5:Q16" si="5">SUM(K5,M5)</f>
        <v>0</v>
      </c>
      <c r="R5">
        <f>IFERROR(VLOOKUP(A5,[1]Energiindhold!$A$2:$C$11,3,FALSE),IFERROR(VLOOKUP(A5,[1]Biogasudbytte!$A$2:$B$18,2,FALSE)*[1]Energiindhold!$C$10,0))*P5</f>
        <v>0</v>
      </c>
      <c r="S5">
        <f>IF(A5&lt;&gt;"Biogas",IFERROR(VLOOKUP(A5,[1]Biogasudbytte!$A$2:$B$18,2,FALSE)*[1]Energiindhold!$C$10,0)*K5*IFERROR(VLOOKUP(A5,Biogasanlæg!$F$3:$G$8,2,FALSE),1)+IFERROR(VLOOKUP(A5,[1]Energiindhold!$A$2:$C$11,3,FALSE),0)*M5+IF(E5&lt;&gt;År1,R5,0),0)</f>
        <v>0</v>
      </c>
      <c r="T5">
        <f>IFERROR(VLOOKUP(A5,[1]Biogasudbytte!$A$2:$B$18,2,FALSE)*[1]Energiindhold!$C$10,0)*K5*IFERROR(VLOOKUP(A5,Biogasanlæg!$F$3:$G$8,2,FALSE),1)</f>
        <v>0</v>
      </c>
      <c r="U5" s="170">
        <f t="shared" ref="U5:U16" si="6">S5-T5</f>
        <v>0</v>
      </c>
      <c r="V5" s="169">
        <f>P5*IFERROR(VLOOKUP(A5,[1]Tørstofindhold!A$2:B$24,2,FALSE),0)</f>
        <v>0</v>
      </c>
      <c r="W5">
        <f>IF(E5=År1,Q5,SUM(P5,Q5))*IFERROR(VLOOKUP(A5,[1]Tørstofindhold!A$2:B$24,2,FALSE),0)</f>
        <v>0</v>
      </c>
      <c r="X5">
        <f>K5*IFERROR(VLOOKUP(A5,[1]Tørstofindhold!A$2:B$24,2,FALSE),0)</f>
        <v>0</v>
      </c>
      <c r="Y5" s="170">
        <f t="shared" ref="Y5:Y16" si="7">W5-X5</f>
        <v>0</v>
      </c>
      <c r="Z5">
        <f t="shared" ca="1" si="1"/>
        <v>0</v>
      </c>
      <c r="AA5">
        <f t="shared" ca="1" si="2"/>
        <v>1</v>
      </c>
      <c r="AB5" s="94">
        <f t="shared" ref="AB5:AB68" si="8">G5-SUMPRODUCT($H$2:$N$2,H5:N5)</f>
        <v>193898.88574926884</v>
      </c>
      <c r="AC5">
        <f>AB5*D5*10000*VLOOKUP(A5,[1]kcal!$A$2:$C$49,3,FALSE)/1000000000000</f>
        <v>1.3466277615286721</v>
      </c>
    </row>
    <row r="6" spans="1:31" x14ac:dyDescent="0.25">
      <c r="A6" s="171" t="s">
        <v>102</v>
      </c>
      <c r="B6" s="171" t="s">
        <v>230</v>
      </c>
      <c r="C6" s="171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71">
        <v>0</v>
      </c>
      <c r="E6" s="171">
        <f t="shared" si="0"/>
        <v>2019</v>
      </c>
      <c r="F6" t="s">
        <v>23</v>
      </c>
      <c r="G6" s="94">
        <f ca="1">IF(F6="Vestdanmark",SUMIFS(IF(E6=År1,'Resultater - Vestdanmark'!H$3:H$504,IF(E6=År2,'Resultater - Vestdanmark'!I$3:I$504,'Resultater - Vestdanmark'!J$3:J$504)),'Resultater - Vestdanmark'!$F$3:$F$504,$A6,IF(E6=År1,'Resultater - Vestdanmark'!H$3:H$504,IF(E6=År2,'Resultater - Vestdanmark'!I$3:I$504,'Resultater - Vestdanmark'!J$3:J$504)),"&gt;0"),SUMIFS(IF(E6=År1,'Resultater - Østdanmark'!H$3:H$504,IF(E6=År2,'Resultater - Østdanmark'!I$3:I$504,'Resultater - Østdanmark'!J$3:J$504)),'Resultater - Østdanmark'!$F$3:$F$504,$A6,IF(E6=År1,'Resultater - Østdanmark'!H$3:H$504,IF(E6=År2,'Resultater - Østdanmark'!I$3:I$504,'Resultater - Østdanmark'!J$3:J$504)),"&gt;0"))</f>
        <v>193591.30306616417</v>
      </c>
      <c r="H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forbrug'!H$3,'Forbrug af biomasse'!$B$2:$B$425,$F6)</f>
        <v>0</v>
      </c>
      <c r="I6">
        <f>IF(F6="Vestdanmark",-IF(A6="Halm",SUMIFS(IF(E6=År1,'Resultater - Vestdanmark'!H$3:H$504,IF(E6=År2,'Resultater - Vestdanmark'!I$3:I$504,'Resultater - Vestdanmark'!J$3:J$504)),'Resultater - Vestdanmark'!$F$3:$F$504,$A6,'Resultater - Vestdanmark'!H$3:H$504,"&lt;0"),0),-IF(A6="Halm",SUMIFS(IF(E6=År1,'Resultater - Østdanmark'!H$3:H$504,IF(E6=År2,'Resultater - Østdanmark'!I$3:I$504,'Resultater - Østdanmark'!J$3:J$504)),'Resultater - Østdanmark'!$F$3:$F$504,$A6,'Resultater - Østdanmark'!H$3:H$504,"&lt;0"),0))</f>
        <v>0</v>
      </c>
      <c r="J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forbrug'!J$3,'Forbrug af biomasse'!$B$2:$B$425,$F6)</f>
        <v>0</v>
      </c>
      <c r="K6" s="94">
        <f ca="1">SUMIFS('Forbrug af biomasse'!$E$2:$E$425,'Forbrug af biomasse'!$C$2:$C$425,'Resultat-Produktion &amp; forbrug'!$A6,'Forbrug af biomasse'!$D$2:$D$425,'Resultat-Produktion &amp; forbrug'!$E6,'Forbrug af biomasse'!$A$2:$A$425,'Resultat-Produktion &amp; forbrug'!K$3,'Forbrug af biomasse'!$B$2:$B$425,$F6)</f>
        <v>393543.64426779439</v>
      </c>
      <c r="L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forbrug'!L$3,'Forbrug af biomasse'!$B$2:$B$425,$F6)</f>
        <v>0</v>
      </c>
      <c r="M6" s="94">
        <f ca="1">IF(A6&lt;&gt;"Biogas",SUMIFS('Forbrug af biomasse'!$E$2:$E$425,'Forbrug af biomasse'!$C$2:$C$425,'Resultat-Produktion &amp; forbrug'!$A6,'Forbrug af biomasse'!$D$2:$D$425,'Resultat-Produktion &amp; forbrug'!$E6,'Forbrug af biomasse'!$A$2:$A$425,'Resultat-Produktion &amp; forbrug'!M$3,'Forbrug af biomasse'!$B$2:$B$425,$F6),G6)</f>
        <v>0</v>
      </c>
      <c r="N6" s="94">
        <f ca="1">SUMIFS('Forbrug af biomasse'!E:E,'Forbrug af biomasse'!C:C,'Resultat-Produktion &amp; forbrug'!$A6,'Forbrug af biomasse'!D:D,'Resultat-Produktion &amp; forbrug'!$E6,'Forbrug af biomasse'!G:G,1,'Forbrug af biomasse'!B:B,$F6)</f>
        <v>0</v>
      </c>
      <c r="O6" s="179">
        <f t="shared" ca="1" si="3"/>
        <v>-199952.34120163022</v>
      </c>
      <c r="P6" s="94">
        <f t="shared" ca="1" si="4"/>
        <v>0</v>
      </c>
      <c r="Q6" s="180">
        <f t="shared" ca="1" si="5"/>
        <v>393543.64426779439</v>
      </c>
      <c r="R6">
        <f ca="1">IFERROR(VLOOKUP(A6,[1]Energiindhold!$A$2:$C$11,3,FALSE),IFERROR(VLOOKUP(A6,[1]Biogasudbytte!$A$2:$B$18,2,FALSE)*[1]Energiindhold!$C$10,0))*P6</f>
        <v>0</v>
      </c>
      <c r="S6">
        <f ca="1">IF(A6&lt;&gt;"Biogas",IFERROR(VLOOKUP(A6,[1]Biogasudbytte!$A$2:$B$18,2,FALSE)*[1]Energiindhold!$C$10,0)*K6*IFERROR(VLOOKUP(A6,Biogasanlæg!$F$3:$G$8,2,FALSE),1)+IFERROR(VLOOKUP(A6,[1]Energiindhold!$A$2:$C$11,3,FALSE),0)*M6+IF(E6&lt;&gt;År1,R6,0),0)</f>
        <v>1.3407677770923916</v>
      </c>
      <c r="T6">
        <f ca="1">IFERROR(VLOOKUP(A6,[1]Biogasudbytte!$A$2:$B$18,2,FALSE)*[1]Energiindhold!$C$10,0)*K6*IFERROR(VLOOKUP(A6,Biogasanlæg!$F$3:$G$8,2,FALSE),1)</f>
        <v>1.3407677770923916</v>
      </c>
      <c r="U6" s="170">
        <f t="shared" ca="1" si="6"/>
        <v>0</v>
      </c>
      <c r="V6" s="169">
        <f ca="1">P6*IFERROR(VLOOKUP(A6,[1]Tørstofindhold!A$2:B$24,2,FALSE),0)</f>
        <v>0</v>
      </c>
      <c r="W6">
        <f ca="1">IF(E6=År1,Q6,SUM(P6,Q6))*IFERROR(VLOOKUP(A6,[1]Tørstofindhold!A$2:B$24,2,FALSE),0)</f>
        <v>110192.22039498243</v>
      </c>
      <c r="X6">
        <f ca="1">K6*IFERROR(VLOOKUP(A6,[1]Tørstofindhold!A$2:B$24,2,FALSE),0)</f>
        <v>110192.22039498243</v>
      </c>
      <c r="Y6" s="170">
        <f t="shared" ca="1" si="7"/>
        <v>0</v>
      </c>
      <c r="Z6">
        <f t="shared" ca="1" si="1"/>
        <v>1</v>
      </c>
      <c r="AA6">
        <f t="shared" ca="1" si="2"/>
        <v>0</v>
      </c>
      <c r="AB6" s="94">
        <f t="shared" ca="1" si="8"/>
        <v>-199952.34120163022</v>
      </c>
      <c r="AC6">
        <f ca="1">AB6*D6*10000*VLOOKUP(A6,[1]kcal!$A$2:$C$49,3,FALSE)/1000000000000</f>
        <v>0</v>
      </c>
    </row>
    <row r="7" spans="1:31" x14ac:dyDescent="0.25">
      <c r="A7" s="171" t="s">
        <v>109</v>
      </c>
      <c r="B7" s="171"/>
      <c r="C7" s="171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1</v>
      </c>
      <c r="D7" s="171">
        <v>0</v>
      </c>
      <c r="E7" s="171">
        <f t="shared" si="0"/>
        <v>2019</v>
      </c>
      <c r="F7" t="s">
        <v>23</v>
      </c>
      <c r="G7" s="94">
        <f ca="1">IF(F7="Vestdanmark",SUMIFS(IF(E7=År1,'Resultater - Vestdanmark'!H$3:H$504,IF(E7=År2,'Resultater - Vestdanmark'!I$3:I$504,'Resultater - Vestdanmark'!J$3:J$504)),'Resultater - Vestdanmark'!$F$3:$F$504,$A7,IF(E7=År1,'Resultater - Vestdanmark'!H$3:H$504,IF(E7=År2,'Resultater - Vestdanmark'!I$3:I$504,'Resultater - Vestdanmark'!J$3:J$504)),"&gt;0"),SUMIFS(IF(E7=År1,'Resultater - Østdanmark'!H$3:H$504,IF(E7=År2,'Resultater - Østdanmark'!I$3:I$504,'Resultater - Østdanmark'!J$3:J$504)),'Resultater - Østdanmark'!$F$3:$F$504,$A7,IF(E7=År1,'Resultater - Østdanmark'!H$3:H$504,IF(E7=År2,'Resultater - Østdanmark'!I$3:I$504,'Resultater - Østdanmark'!J$3:J$504)),"&gt;0"))</f>
        <v>352020220.25091624</v>
      </c>
      <c r="H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forbrug'!H$3,'Forbrug af biomasse'!$B$2:$B$425,$F7)</f>
        <v>0</v>
      </c>
      <c r="I7">
        <f>IF(F7="Vestdanmark",-IF(A7="Halm",SUMIFS(IF(E7=År1,'Resultater - Vestdanmark'!H$3:H$504,IF(E7=År2,'Resultater - Vestdanmark'!I$3:I$504,'Resultater - Vestdanmark'!J$3:J$504)),'Resultater - Vestdanmark'!$F$3:$F$504,$A7,'Resultater - Vestdanmark'!H$3:H$504,"&lt;0"),0),-IF(A7="Halm",SUMIFS(IF(E7=År1,'Resultater - Østdanmark'!H$3:H$504,IF(E7=År2,'Resultater - Østdanmark'!I$3:I$504,'Resultater - Østdanmark'!J$3:J$504)),'Resultater - Østdanmark'!$F$3:$F$504,$A7,'Resultater - Østdanmark'!H$3:H$504,"&lt;0"),0))</f>
        <v>0</v>
      </c>
      <c r="J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forbrug'!J$3,'Forbrug af biomasse'!$B$2:$B$425,$F7)</f>
        <v>0</v>
      </c>
      <c r="K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forbrug'!K$3,'Forbrug af biomasse'!$B$2:$B$425,$F7)</f>
        <v>0</v>
      </c>
      <c r="L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forbrug'!L$3,'Forbrug af biomasse'!$B$2:$B$425,$F7)</f>
        <v>0</v>
      </c>
      <c r="M7" s="94">
        <f ca="1">IF(A7&lt;&gt;"Biogas",SUMIFS('Forbrug af biomasse'!$E$2:$E$425,'Forbrug af biomasse'!$C$2:$C$425,'Resultat-Produktion &amp; forbrug'!$A7,'Forbrug af biomasse'!$D$2:$D$425,'Resultat-Produktion &amp; forbrug'!$E7,'Forbrug af biomasse'!$A$2:$A$425,'Resultat-Produktion &amp; forbrug'!M$3,'Forbrug af biomasse'!$B$2:$B$425,$F7),G7)</f>
        <v>352020220.25091624</v>
      </c>
      <c r="N7" s="94">
        <f>SUMIFS('Forbrug af biomasse'!E:E,'Forbrug af biomasse'!C:C,'Resultat-Produktion &amp; forbrug'!$A7,'Forbrug af biomasse'!D:D,'Resultat-Produktion &amp; forbrug'!$E7,'Forbrug af biomasse'!G:G,1,'Forbrug af biomasse'!B:B,$F7)</f>
        <v>0</v>
      </c>
      <c r="O7" s="179">
        <f t="shared" ca="1" si="3"/>
        <v>0</v>
      </c>
      <c r="P7" s="94">
        <f t="shared" ca="1" si="4"/>
        <v>0</v>
      </c>
      <c r="Q7" s="180">
        <f t="shared" ca="1" si="5"/>
        <v>352020220.25091624</v>
      </c>
      <c r="R7">
        <f ca="1">IFERROR(VLOOKUP(A7,[1]Energiindhold!$A$2:$C$11,3,FALSE),IFERROR(VLOOKUP(A7,[1]Biogasudbytte!$A$2:$B$18,2,FALSE)*[1]Energiindhold!$C$10,0))*P7</f>
        <v>0</v>
      </c>
      <c r="S7">
        <f>IF(A7&lt;&gt;"Biogas",IFERROR(VLOOKUP(A7,[1]Biogasudbytte!$A$2:$B$18,2,FALSE)*[1]Energiindhold!$C$10,0)*K7*IFERROR(VLOOKUP(A7,Biogasanlæg!$F$3:$G$8,2,FALSE),1)+IFERROR(VLOOKUP(A7,[1]Energiindhold!$A$2:$C$11,3,FALSE),0)*M7+IF(E7&lt;&gt;År1,R7,0),0)</f>
        <v>0</v>
      </c>
      <c r="T7">
        <f>IFERROR(VLOOKUP(A7,[1]Biogasudbytte!$A$2:$B$18,2,FALSE)*[1]Energiindhold!$C$10,0)*K7*IFERROR(VLOOKUP(A7,Biogasanlæg!$F$3:$G$8,2,FALSE),1)</f>
        <v>0</v>
      </c>
      <c r="U7" s="170">
        <f t="shared" si="6"/>
        <v>0</v>
      </c>
      <c r="V7" s="169">
        <f ca="1">P7*IFERROR(VLOOKUP(A7,[1]Tørstofindhold!A$2:B$24,2,FALSE),0)</f>
        <v>0</v>
      </c>
      <c r="W7">
        <f ca="1">IF(E7=År1,Q7,SUM(P7,Q7))*IFERROR(VLOOKUP(A7,[1]Tørstofindhold!A$2:B$24,2,FALSE),0)</f>
        <v>0</v>
      </c>
      <c r="X7">
        <f>K7*IFERROR(VLOOKUP(A7,[1]Tørstofindhold!A$2:B$24,2,FALSE),0)</f>
        <v>0</v>
      </c>
      <c r="Y7" s="170">
        <f t="shared" ca="1" si="7"/>
        <v>0</v>
      </c>
      <c r="Z7">
        <f t="shared" ca="1" si="1"/>
        <v>0</v>
      </c>
      <c r="AA7">
        <f t="shared" ca="1" si="2"/>
        <v>0</v>
      </c>
      <c r="AB7" s="94">
        <f t="shared" ca="1" si="8"/>
        <v>352020220.25091624</v>
      </c>
      <c r="AC7">
        <f ca="1">AB7*D7*10000*VLOOKUP(A7,[1]kcal!$A$2:$C$49,3,FALSE)/1000000000000</f>
        <v>0</v>
      </c>
    </row>
    <row r="8" spans="1:31" x14ac:dyDescent="0.25">
      <c r="A8" s="171" t="s">
        <v>110</v>
      </c>
      <c r="B8" s="171"/>
      <c r="C8" s="171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0</v>
      </c>
      <c r="D8" s="171">
        <v>0</v>
      </c>
      <c r="E8" s="171">
        <f t="shared" si="0"/>
        <v>2019</v>
      </c>
      <c r="F8" t="s">
        <v>23</v>
      </c>
      <c r="G8" s="94">
        <f ca="1">IF(F8="Vestdanmark",SUMIFS(IF(E8=År1,'Resultater - Vestdanmark'!H$3:H$504,IF(E8=År2,'Resultater - Vestdanmark'!I$3:I$504,'Resultater - Vestdanmark'!J$3:J$504)),'Resultater - Vestdanmark'!$F$3:$F$504,$A8,IF(E8=År1,'Resultater - Vestdanmark'!H$3:H$504,IF(E8=År2,'Resultater - Vestdanmark'!I$3:I$504,'Resultater - Vestdanmark'!J$3:J$504)),"&gt;0"),SUMIFS(IF(E8=År1,'Resultater - Østdanmark'!H$3:H$504,IF(E8=År2,'Resultater - Østdanmark'!I$3:I$504,'Resultater - Østdanmark'!J$3:J$504)),'Resultater - Østdanmark'!$F$3:$F$504,$A8,IF(E8=År1,'Resultater - Østdanmark'!H$3:H$504,IF(E8=År2,'Resultater - Østdanmark'!I$3:I$504,'Resultater - Østdanmark'!J$3:J$504)),"&gt;0"))</f>
        <v>9570947.4163383078</v>
      </c>
      <c r="H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forbrug'!H$3,'Forbrug af biomasse'!$B$2:$B$425,$F8)</f>
        <v>0</v>
      </c>
      <c r="I8">
        <f>IF(F8="Vestdanmark",-IF(A8="Halm",SUMIFS(IF(E8=År1,'Resultater - Vestdanmark'!H$3:H$504,IF(E8=År2,'Resultater - Vestdanmark'!I$3:I$504,'Resultater - Vestdanmark'!J$3:J$504)),'Resultater - Vestdanmark'!$F$3:$F$504,$A8,'Resultater - Vestdanmark'!H$3:H$504,"&lt;0"),0),-IF(A8="Halm",SUMIFS(IF(E8=År1,'Resultater - Østdanmark'!H$3:H$504,IF(E8=År2,'Resultater - Østdanmark'!I$3:I$504,'Resultater - Østdanmark'!J$3:J$504)),'Resultater - Østdanmark'!$F$3:$F$504,$A8,'Resultater - Østdanmark'!H$3:H$504,"&lt;0"),0))</f>
        <v>0</v>
      </c>
      <c r="J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forbrug'!J$3,'Forbrug af biomasse'!$B$2:$B$425,$F8)</f>
        <v>0</v>
      </c>
      <c r="K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forbrug'!K$3,'Forbrug af biomasse'!$B$2:$B$425,$F8)</f>
        <v>0</v>
      </c>
      <c r="L8" s="94">
        <f ca="1">SUMIFS('Forbrug af biomasse'!$E$2:$E$425,'Forbrug af biomasse'!$C$2:$C$425,'Resultat-Produktion &amp; forbrug'!$A8,'Forbrug af biomasse'!$D$2:$D$425,'Resultat-Produktion &amp; forbrug'!$E8,'Forbrug af biomasse'!$A$2:$A$425,'Resultat-Produktion &amp; forbrug'!L$3,'Forbrug af biomasse'!$B$2:$B$425,$F8)</f>
        <v>7001629.6154696662</v>
      </c>
      <c r="M8" s="94">
        <f>IF(A8&lt;&gt;"Biogas",SUMIFS('Forbrug af biomasse'!$E$2:$E$425,'Forbrug af biomasse'!$C$2:$C$425,'Resultat-Produktion &amp; forbrug'!$A8,'Forbrug af biomasse'!$D$2:$D$425,'Resultat-Produktion &amp; forbrug'!$E8,'Forbrug af biomasse'!$A$2:$A$425,'Resultat-Produktion &amp; forbrug'!M$3,'Forbrug af biomasse'!$B$2:$B$425,$F8),G8)</f>
        <v>0</v>
      </c>
      <c r="N8" s="94">
        <f>SUMIFS('Forbrug af biomasse'!E:E,'Forbrug af biomasse'!C:C,'Resultat-Produktion &amp; forbrug'!$A8,'Forbrug af biomasse'!D:D,'Resultat-Produktion &amp; forbrug'!$E8,'Forbrug af biomasse'!G:G,1,'Forbrug af biomasse'!B:B,$F8)</f>
        <v>0</v>
      </c>
      <c r="O8" s="179">
        <f t="shared" ca="1" si="3"/>
        <v>2569317.8008686416</v>
      </c>
      <c r="P8" s="94">
        <f t="shared" si="4"/>
        <v>0</v>
      </c>
      <c r="Q8" s="180">
        <f t="shared" si="5"/>
        <v>0</v>
      </c>
      <c r="R8">
        <f>IFERROR(VLOOKUP(A8,[1]Energiindhold!$A$2:$C$11,3,FALSE),IFERROR(VLOOKUP(A8,[1]Biogasudbytte!$A$2:$B$18,2,FALSE)*[1]Energiindhold!$C$10,0))*P8</f>
        <v>0</v>
      </c>
      <c r="S8">
        <f>IF(A8&lt;&gt;"Biogas",IFERROR(VLOOKUP(A8,[1]Biogasudbytte!$A$2:$B$18,2,FALSE)*[1]Energiindhold!$C$10,0)*K8*IFERROR(VLOOKUP(A8,Biogasanlæg!$F$3:$G$8,2,FALSE),1)+IFERROR(VLOOKUP(A8,[1]Energiindhold!$A$2:$C$11,3,FALSE),0)*M8+IF(E8&lt;&gt;År1,R8,0),0)</f>
        <v>0</v>
      </c>
      <c r="T8">
        <f>IFERROR(VLOOKUP(A8,[1]Biogasudbytte!$A$2:$B$18,2,FALSE)*[1]Energiindhold!$C$10,0)*K8*IFERROR(VLOOKUP(A8,Biogasanlæg!$F$3:$G$8,2,FALSE),1)</f>
        <v>0</v>
      </c>
      <c r="U8" s="170">
        <f t="shared" si="6"/>
        <v>0</v>
      </c>
      <c r="V8" s="169">
        <f>P8*IFERROR(VLOOKUP(A8,[1]Tørstofindhold!A$2:B$24,2,FALSE),0)</f>
        <v>0</v>
      </c>
      <c r="W8">
        <f>IF(E8=År1,Q8,SUM(P8,Q8))*IFERROR(VLOOKUP(A8,[1]Tørstofindhold!A$2:B$24,2,FALSE),0)</f>
        <v>0</v>
      </c>
      <c r="X8">
        <f>K8*IFERROR(VLOOKUP(A8,[1]Tørstofindhold!A$2:B$24,2,FALSE),0)</f>
        <v>0</v>
      </c>
      <c r="Y8" s="170">
        <f t="shared" si="7"/>
        <v>0</v>
      </c>
      <c r="Z8">
        <f t="shared" ca="1" si="1"/>
        <v>0</v>
      </c>
      <c r="AA8">
        <f t="shared" ca="1" si="2"/>
        <v>1</v>
      </c>
      <c r="AB8" s="94">
        <f ca="1">G8-SUMPRODUCT($H$2:$N$2,H8:N8)</f>
        <v>2569317.8008686416</v>
      </c>
      <c r="AC8">
        <f ca="1">AB8*D8*10000*VLOOKUP(A8,[1]kcal!$A$2:$C$49,3,FALSE)/1000000000000</f>
        <v>0</v>
      </c>
    </row>
    <row r="9" spans="1:31" x14ac:dyDescent="0.25">
      <c r="A9" s="171" t="s">
        <v>208</v>
      </c>
      <c r="B9" s="171" t="s">
        <v>230</v>
      </c>
      <c r="C9" s="171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71">
        <v>0</v>
      </c>
      <c r="E9" s="171">
        <f t="shared" si="0"/>
        <v>2019</v>
      </c>
      <c r="F9" t="s">
        <v>23</v>
      </c>
      <c r="G9" s="94">
        <f>IF(F9="Vestdanmark",SUMIFS(IF(E9=År1,'Resultater - Vestdanmark'!H$3:H$504,IF(E9=År2,'Resultater - Vestdanmark'!I$3:I$504,'Resultater - Vestdanmark'!J$3:J$504)),'Resultater - Vestdanmark'!$F$3:$F$504,$A9,IF(E9=År1,'Resultater - Vestdanmark'!H$3:H$504,IF(E9=År2,'Resultater - Vestdanmark'!I$3:I$504,'Resultater - Vestdanmark'!J$3:J$504)),"&gt;0"),SUMIFS(IF(E9=År1,'Resultater - Østdanmark'!H$3:H$504,IF(E9=År2,'Resultater - Østdanmark'!I$3:I$504,'Resultater - Østdanmark'!J$3:J$504)),'Resultater - Østdanmark'!$F$3:$F$504,$A9,IF(E9=År1,'Resultater - Østdanmark'!H$3:H$504,IF(E9=År2,'Resultater - Østdanmark'!I$3:I$504,'Resultater - Østdanmark'!J$3:J$504)),"&gt;0"))</f>
        <v>0</v>
      </c>
      <c r="H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forbrug'!H$3,'Forbrug af biomasse'!$B$2:$B$425,$F9)</f>
        <v>0</v>
      </c>
      <c r="I9">
        <f>IF(F9="Vestdanmark",-IF(A9="Halm",SUMIFS(IF(E9=År1,'Resultater - Vestdanmark'!H$3:H$504,IF(E9=År2,'Resultater - Vestdanmark'!I$3:I$504,'Resultater - Vestdanmark'!J$3:J$504)),'Resultater - Vestdanmark'!$F$3:$F$504,$A9,'Resultater - Vestdanmark'!H$3:H$504,"&lt;0"),0),-IF(A9="Halm",SUMIFS(IF(E9=År1,'Resultater - Østdanmark'!H$3:H$504,IF(E9=År2,'Resultater - Østdanmark'!I$3:I$504,'Resultater - Østdanmark'!J$3:J$504)),'Resultater - Østdanmark'!$F$3:$F$504,$A9,'Resultater - Østdanmark'!H$3:H$504,"&lt;0"),0))</f>
        <v>0</v>
      </c>
      <c r="J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forbrug'!J$3,'Forbrug af biomasse'!$B$2:$B$425,$F9)</f>
        <v>0</v>
      </c>
      <c r="K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forbrug'!K$3,'Forbrug af biomasse'!$B$2:$B$425,$F9)</f>
        <v>0</v>
      </c>
      <c r="L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forbrug'!L$3,'Forbrug af biomasse'!$B$2:$B$425,$F9)</f>
        <v>0</v>
      </c>
      <c r="M9" s="94">
        <f>IF(A9&lt;&gt;"Biogas",SUMIFS('Forbrug af biomasse'!$E$2:$E$425,'Forbrug af biomasse'!$C$2:$C$425,'Resultat-Produktion &amp; forbrug'!$A9,'Forbrug af biomasse'!$D$2:$D$425,'Resultat-Produktion &amp; forbrug'!$E9,'Forbrug af biomasse'!$A$2:$A$425,'Resultat-Produktion &amp; forbrug'!M$3,'Forbrug af biomasse'!$B$2:$B$425,$F9),G9)</f>
        <v>0</v>
      </c>
      <c r="N9" s="94">
        <f>SUMIFS('Forbrug af biomasse'!E:E,'Forbrug af biomasse'!C:C,'Resultat-Produktion &amp; forbrug'!$A9,'Forbrug af biomasse'!D:D,'Resultat-Produktion &amp; forbrug'!$E9,'Forbrug af biomasse'!G:G,1,'Forbrug af biomasse'!B:B,$F9)</f>
        <v>0</v>
      </c>
      <c r="O9" s="179">
        <f t="shared" si="3"/>
        <v>0</v>
      </c>
      <c r="P9" s="94">
        <f t="shared" ca="1" si="4"/>
        <v>0</v>
      </c>
      <c r="Q9" s="180">
        <f t="shared" si="5"/>
        <v>0</v>
      </c>
      <c r="R9">
        <f ca="1">IFERROR(VLOOKUP(A9,[1]Energiindhold!$A$2:$C$11,3,FALSE),IFERROR(VLOOKUP(A9,[1]Biogasudbytte!$A$2:$B$18,2,FALSE)*[1]Energiindhold!$C$10,0))*P9</f>
        <v>0</v>
      </c>
      <c r="S9">
        <f>IF(A9&lt;&gt;"Biogas",IFERROR(VLOOKUP(A9,[1]Biogasudbytte!$A$2:$B$18,2,FALSE)*[1]Energiindhold!$C$10,0)*K9*IFERROR(VLOOKUP(A9,Biogasanlæg!$F$3:$G$8,2,FALSE),1)+IFERROR(VLOOKUP(A9,[1]Energiindhold!$A$2:$C$11,3,FALSE),0)*M9+IF(E9&lt;&gt;År1,R9,0),0)</f>
        <v>0</v>
      </c>
      <c r="T9">
        <f>IFERROR(VLOOKUP(A9,[1]Biogasudbytte!$A$2:$B$18,2,FALSE)*[1]Energiindhold!$C$10,0)*K9*IFERROR(VLOOKUP(A9,Biogasanlæg!$F$3:$G$8,2,FALSE),1)</f>
        <v>0</v>
      </c>
      <c r="U9" s="170">
        <f t="shared" si="6"/>
        <v>0</v>
      </c>
      <c r="V9" s="169">
        <f ca="1">P9*IFERROR(VLOOKUP(A9,[1]Tørstofindhold!A$2:B$24,2,FALSE),0)</f>
        <v>0</v>
      </c>
      <c r="W9">
        <f>IF(E9=År1,Q9,SUM(P9,Q9))*IFERROR(VLOOKUP(A9,[1]Tørstofindhold!A$2:B$24,2,FALSE),0)</f>
        <v>0</v>
      </c>
      <c r="X9">
        <f>K9*IFERROR(VLOOKUP(A9,[1]Tørstofindhold!A$2:B$24,2,FALSE),0)</f>
        <v>0</v>
      </c>
      <c r="Y9" s="170">
        <f t="shared" si="7"/>
        <v>0</v>
      </c>
      <c r="Z9">
        <f t="shared" ca="1" si="1"/>
        <v>0</v>
      </c>
      <c r="AA9">
        <f t="shared" ca="1" si="2"/>
        <v>0</v>
      </c>
      <c r="AB9" s="94">
        <f t="shared" si="8"/>
        <v>0</v>
      </c>
      <c r="AC9">
        <f>AB9*D9*10000*VLOOKUP(A9,[1]kcal!$A$2:$C$49,3,FALSE)/1000000000000</f>
        <v>0</v>
      </c>
    </row>
    <row r="10" spans="1:31" x14ac:dyDescent="0.25">
      <c r="A10" t="s">
        <v>101</v>
      </c>
      <c r="B10" s="171" t="s">
        <v>222</v>
      </c>
      <c r="C10" s="171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1</v>
      </c>
      <c r="D10" s="171">
        <v>0</v>
      </c>
      <c r="E10" s="171">
        <f t="shared" si="0"/>
        <v>2019</v>
      </c>
      <c r="F10" t="s">
        <v>23</v>
      </c>
      <c r="G10" s="94">
        <f ca="1">IF(F10="Vestdanmark",SUMIFS(IF(E10=År1,'Resultater - Vestdanmark'!H$3:H$504,IF(E10=År2,'Resultater - Vestdanmark'!I$3:I$504,'Resultater - Vestdanmark'!J$3:J$504)),'Resultater - Vestdanmark'!$F$3:$F$504,$A10,IF(E10=År1,'Resultater - Vestdanmark'!H$3:H$504,IF(E10=År2,'Resultater - Vestdanmark'!I$3:I$504,'Resultater - Vestdanmark'!J$3:J$504)),"&gt;0"),SUMIFS(IF(E10=År1,'Resultater - Østdanmark'!H$3:H$504,IF(E10=År2,'Resultater - Østdanmark'!I$3:I$504,'Resultater - Østdanmark'!J$3:J$504)),'Resultater - Østdanmark'!$F$3:$F$504,$A10,IF(E10=År1,'Resultater - Østdanmark'!H$3:H$504,IF(E10=År2,'Resultater - Østdanmark'!I$3:I$504,'Resultater - Østdanmark'!J$3:J$504)),"&gt;0"))</f>
        <v>2600310.0770241949</v>
      </c>
      <c r="H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forbrug'!H$3,'Forbrug af biomasse'!$B$2:$B$425,$F10)</f>
        <v>0</v>
      </c>
      <c r="I10">
        <f>IF(F10="Vestdanmark",-IF(A10="Halm",SUMIFS(IF(E10=År1,'Resultater - Vestdanmark'!H$3:H$504,IF(E10=År2,'Resultater - Vestdanmark'!I$3:I$504,'Resultater - Vestdanmark'!J$3:J$504)),'Resultater - Vestdanmark'!$F$3:$F$504,$A10,'Resultater - Vestdanmark'!H$3:H$504,"&lt;0"),0),-IF(A10="Halm",SUMIFS(IF(E10=År1,'Resultater - Østdanmark'!H$3:H$504,IF(E10=År2,'Resultater - Østdanmark'!I$3:I$504,'Resultater - Østdanmark'!J$3:J$504)),'Resultater - Østdanmark'!$F$3:$F$504,$A10,'Resultater - Østdanmark'!H$3:H$504,"&lt;0"),0))</f>
        <v>0</v>
      </c>
      <c r="J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forbrug'!J$3,'Forbrug af biomasse'!$B$2:$B$425,$F10)</f>
        <v>0</v>
      </c>
      <c r="K10" s="94">
        <f ca="1">SUMIFS('Forbrug af biomasse'!$E$2:$E$425,'Forbrug af biomasse'!$C$2:$C$425,'Resultat-Produktion &amp; forbrug'!$A10,'Forbrug af biomasse'!$D$2:$D$425,'Resultat-Produktion &amp; forbrug'!$E10,'Forbrug af biomasse'!$A$2:$A$425,'Resultat-Produktion &amp; forbrug'!K$3,'Forbrug af biomasse'!$B$2:$B$425,$F10)</f>
        <v>671194.67155029252</v>
      </c>
      <c r="L10" s="94">
        <f ca="1">SUMIFS('Forbrug af biomasse'!$E$2:$E$425,'Forbrug af biomasse'!$C$2:$C$425,'Resultat-Produktion &amp; forbrug'!$A10,'Forbrug af biomasse'!$D$2:$D$425,'Resultat-Produktion &amp; forbrug'!$E10,'Forbrug af biomasse'!$A$2:$A$425,'Resultat-Produktion &amp; forbrug'!L$3,'Forbrug af biomasse'!$B$2:$B$425,$F10)</f>
        <v>730307.97492940596</v>
      </c>
      <c r="M10" s="94">
        <f>IF(A10&lt;&gt;"Biogas",SUMIFS('Forbrug af biomasse'!$E$2:$E$425,'Forbrug af biomasse'!$C$2:$C$425,'Resultat-Produktion &amp; forbrug'!$A10,'Forbrug af biomasse'!$D$2:$D$425,'Resultat-Produktion &amp; forbrug'!$E10,'Forbrug af biomasse'!$A$2:$A$425,'Resultat-Produktion &amp; forbrug'!M$3,'Forbrug af biomasse'!$B$2:$B$425,$F10),G10)</f>
        <v>0</v>
      </c>
      <c r="N10" s="94">
        <f>SUMIFS('Forbrug af biomasse'!E:E,'Forbrug af biomasse'!C:C,'Resultat-Produktion &amp; forbrug'!$A10,'Forbrug af biomasse'!D:D,'Resultat-Produktion &amp; forbrug'!$E10,'Forbrug af biomasse'!G:G,1,'Forbrug af biomasse'!B:B,$F10)</f>
        <v>0</v>
      </c>
      <c r="O10" s="179">
        <f t="shared" ca="1" si="3"/>
        <v>1198807.4305444965</v>
      </c>
      <c r="P10" s="94">
        <f t="shared" ca="1" si="4"/>
        <v>1198807.4305444965</v>
      </c>
      <c r="Q10" s="180">
        <f ca="1">SUM(K10,M10)</f>
        <v>671194.67155029252</v>
      </c>
      <c r="R10">
        <f ca="1">IFERROR(VLOOKUP(A10,[1]Energiindhold!$A$2:$C$11,3,FALSE),IFERROR(VLOOKUP(A10,[1]Biogasudbytte!$A$2:$B$18,2,FALSE)*[1]Energiindhold!$C$10,0))*P10</f>
        <v>2.5822312053928456</v>
      </c>
      <c r="S10">
        <f ca="1">IF(A10&lt;&gt;"Biogas",IFERROR(VLOOKUP(A10,[1]Biogasudbytte!$A$2:$B$18,2,FALSE)*[1]Energiindhold!$C$10,0)*K10*IFERROR(VLOOKUP(A10,Biogasanlæg!$F$3:$G$8,2,FALSE),1)+IFERROR(VLOOKUP(A10,[1]Energiindhold!$A$2:$C$11,3,FALSE),0)*M10+IF(E10&lt;&gt;År1,R10,0),0)</f>
        <v>1.4457533225193302</v>
      </c>
      <c r="T10">
        <f ca="1">IFERROR(VLOOKUP(A10,[1]Biogasudbytte!$A$2:$B$18,2,FALSE)*[1]Energiindhold!$C$10,0)*K10*IFERROR(VLOOKUP(A10,Biogasanlæg!$F$3:$G$8,2,FALSE),1)</f>
        <v>1.4457533225193302</v>
      </c>
      <c r="U10" s="170">
        <f t="shared" ca="1" si="6"/>
        <v>0</v>
      </c>
      <c r="V10" s="169">
        <f ca="1">P10*IFERROR(VLOOKUP(A10,[1]Tørstofindhold!A$2:B$24,2,FALSE),0)</f>
        <v>359642.22916334897</v>
      </c>
      <c r="W10">
        <f ca="1">IF(E10=År1,Q10,SUM(P10,Q10))*IFERROR(VLOOKUP(A10,[1]Tørstofindhold!A$2:B$24,2,FALSE),0)</f>
        <v>201358.40146508775</v>
      </c>
      <c r="X10">
        <f ca="1">K10*IFERROR(VLOOKUP(A10,[1]Tørstofindhold!A$2:B$24,2,FALSE),0)</f>
        <v>201358.40146508775</v>
      </c>
      <c r="Y10" s="170">
        <f t="shared" ca="1" si="7"/>
        <v>0</v>
      </c>
      <c r="Z10">
        <f t="shared" ca="1" si="1"/>
        <v>0</v>
      </c>
      <c r="AA10">
        <f t="shared" ca="1" si="2"/>
        <v>1</v>
      </c>
      <c r="AB10" s="94">
        <f t="shared" ca="1" si="8"/>
        <v>1198807.4305444965</v>
      </c>
      <c r="AC10">
        <f ca="1">AB10*D10*10000*VLOOKUP(A10,[1]kcal!$A$2:$C$49,3,FALSE)/1000000000000</f>
        <v>0</v>
      </c>
    </row>
    <row r="11" spans="1:31" x14ac:dyDescent="0.25">
      <c r="A11" t="s">
        <v>204</v>
      </c>
      <c r="B11" s="171"/>
      <c r="C11" s="171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0</v>
      </c>
      <c r="D11" s="171">
        <v>0</v>
      </c>
      <c r="E11" s="171">
        <f t="shared" si="0"/>
        <v>2019</v>
      </c>
      <c r="F11" t="s">
        <v>23</v>
      </c>
      <c r="G11" s="94">
        <f>IF(F11="Vestdanmark",SUMIFS(IF(E11=År1,'Resultater - Vestdanmark'!H$3:H$504,IF(E11=År2,'Resultater - Vestdanmark'!I$3:I$504,'Resultater - Vestdanmark'!J$3:J$504)),'Resultater - Vestdanmark'!$F$3:$F$504,$A11,IF(E11=År1,'Resultater - Vestdanmark'!H$3:H$504,IF(E11=År2,'Resultater - Vestdanmark'!I$3:I$504,'Resultater - Vestdanmark'!J$3:J$504)),"&gt;0"),SUMIFS(IF(E11=År1,'Resultater - Østdanmark'!H$3:H$504,IF(E11=År2,'Resultater - Østdanmark'!I$3:I$504,'Resultater - Østdanmark'!J$3:J$504)),'Resultater - Østdanmark'!$F$3:$F$504,$A11,IF(E11=År1,'Resultater - Østdanmark'!H$3:H$504,IF(E11=År2,'Resultater - Østdanmark'!I$3:I$504,'Resultater - Østdanmark'!J$3:J$504)),"&gt;0"))</f>
        <v>0</v>
      </c>
      <c r="H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forbrug'!H$3,'Forbrug af biomasse'!$B$2:$B$425,$F11)</f>
        <v>0</v>
      </c>
      <c r="I11">
        <f>IF(F11="Vestdanmark",-IF(A11="Halm",SUMIFS(IF(E11=År1,'Resultater - Vestdanmark'!H$3:H$504,IF(E11=År2,'Resultater - Vestdanmark'!I$3:I$504,'Resultater - Vestdanmark'!J$3:J$504)),'Resultater - Vestdanmark'!$F$3:$F$504,$A11,'Resultater - Vestdanmark'!H$3:H$504,"&lt;0"),0),-IF(A11="Halm",SUMIFS(IF(E11=År1,'Resultater - Østdanmark'!H$3:H$504,IF(E11=År2,'Resultater - Østdanmark'!I$3:I$504,'Resultater - Østdanmark'!J$3:J$504)),'Resultater - Østdanmark'!$F$3:$F$504,$A11,'Resultater - Østdanmark'!H$3:H$504,"&lt;0"),0))</f>
        <v>0</v>
      </c>
      <c r="J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forbrug'!J$3,'Forbrug af biomasse'!$B$2:$B$425,$F11)</f>
        <v>0</v>
      </c>
      <c r="K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forbrug'!K$3,'Forbrug af biomasse'!$B$2:$B$425,$F11)</f>
        <v>0</v>
      </c>
      <c r="L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forbrug'!L$3,'Forbrug af biomasse'!$B$2:$B$425,$F11)</f>
        <v>0</v>
      </c>
      <c r="M11" s="94">
        <f>IF(A11&lt;&gt;"Biogas",SUMIFS('Forbrug af biomasse'!$E$2:$E$425,'Forbrug af biomasse'!$C$2:$C$425,'Resultat-Produktion &amp; forbrug'!$A11,'Forbrug af biomasse'!$D$2:$D$425,'Resultat-Produktion &amp; forbrug'!$E11,'Forbrug af biomasse'!$A$2:$A$425,'Resultat-Produktion &amp; forbrug'!M$3,'Forbrug af biomasse'!$B$2:$B$425,$F11),G11)</f>
        <v>0</v>
      </c>
      <c r="N11" s="94">
        <f>SUMIFS('Forbrug af biomasse'!E:E,'Forbrug af biomasse'!C:C,'Resultat-Produktion &amp; forbrug'!$A11,'Forbrug af biomasse'!D:D,'Resultat-Produktion &amp; forbrug'!$E11,'Forbrug af biomasse'!G:G,1,'Forbrug af biomasse'!B:B,$F11)</f>
        <v>0</v>
      </c>
      <c r="O11" s="179">
        <f t="shared" si="3"/>
        <v>0</v>
      </c>
      <c r="P11" s="94">
        <f t="shared" si="4"/>
        <v>0</v>
      </c>
      <c r="Q11" s="180">
        <f t="shared" si="5"/>
        <v>0</v>
      </c>
      <c r="R11">
        <f>IFERROR(VLOOKUP(A11,[1]Energiindhold!$A$2:$C$11,3,FALSE),IFERROR(VLOOKUP(A11,[1]Biogasudbytte!$A$2:$B$18,2,FALSE)*[1]Energiindhold!$C$10,0))*P11</f>
        <v>0</v>
      </c>
      <c r="S11">
        <f>IF(A11&lt;&gt;"Biogas",IFERROR(VLOOKUP(A11,[1]Biogasudbytte!$A$2:$B$18,2,FALSE)*[1]Energiindhold!$C$10,0)*K11*IFERROR(VLOOKUP(A11,Biogasanlæg!$F$3:$G$8,2,FALSE),1)+IFERROR(VLOOKUP(A11,[1]Energiindhold!$A$2:$C$11,3,FALSE),0)*M11+IF(E11&lt;&gt;År1,R11,0),0)</f>
        <v>0</v>
      </c>
      <c r="T11">
        <f>IFERROR(VLOOKUP(A11,[1]Biogasudbytte!$A$2:$B$18,2,FALSE)*[1]Energiindhold!$C$10,0)*K11*IFERROR(VLOOKUP(A11,Biogasanlæg!$F$3:$G$8,2,FALSE),1)</f>
        <v>0</v>
      </c>
      <c r="U11" s="170">
        <f t="shared" si="6"/>
        <v>0</v>
      </c>
      <c r="V11" s="169">
        <f>P11*IFERROR(VLOOKUP(A11,[1]Tørstofindhold!A$2:B$24,2,FALSE),0)</f>
        <v>0</v>
      </c>
      <c r="W11">
        <f>IF(E11=År1,Q11,SUM(P11,Q11))*IFERROR(VLOOKUP(A11,[1]Tørstofindhold!A$2:B$24,2,FALSE),0)</f>
        <v>0</v>
      </c>
      <c r="X11">
        <f>K11*IFERROR(VLOOKUP(A11,[1]Tørstofindhold!A$2:B$24,2,FALSE),0)</f>
        <v>0</v>
      </c>
      <c r="Y11" s="170">
        <f t="shared" si="7"/>
        <v>0</v>
      </c>
      <c r="Z11">
        <f t="shared" ca="1" si="1"/>
        <v>0</v>
      </c>
      <c r="AA11">
        <f t="shared" ca="1" si="2"/>
        <v>0</v>
      </c>
      <c r="AB11" s="94">
        <f t="shared" si="8"/>
        <v>0</v>
      </c>
      <c r="AC11">
        <f>AB11*D11*10000*VLOOKUP(A11,[1]kcal!$A$2:$C$49,3,FALSE)/1000000000000</f>
        <v>0</v>
      </c>
    </row>
    <row r="12" spans="1:31" x14ac:dyDescent="0.25">
      <c r="A12" t="s">
        <v>137</v>
      </c>
      <c r="B12" s="171" t="s">
        <v>222</v>
      </c>
      <c r="C12" s="171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1</v>
      </c>
      <c r="D12" s="171">
        <v>0</v>
      </c>
      <c r="E12" s="171">
        <f t="shared" si="0"/>
        <v>2019</v>
      </c>
      <c r="F12" t="s">
        <v>23</v>
      </c>
      <c r="G12" s="94">
        <f>IF(F12="Vestdanmark",SUMIFS(IF(E12=År1,'Resultater - Vestdanmark'!H$3:H$504,IF(E12=År2,'Resultater - Vestdanmark'!I$3:I$504,'Resultater - Vestdanmark'!J$3:J$504)),'Resultater - Vestdanmark'!$F$3:$F$504,$A12,IF(E12=År1,'Resultater - Vestdanmark'!H$3:H$504,IF(E12=År2,'Resultater - Vestdanmark'!I$3:I$504,'Resultater - Vestdanmark'!J$3:J$504)),"&gt;0"),SUMIFS(IF(E12=År1,'Resultater - Østdanmark'!H$3:H$504,IF(E12=År2,'Resultater - Østdanmark'!I$3:I$504,'Resultater - Østdanmark'!J$3:J$504)),'Resultater - Østdanmark'!$F$3:$F$504,$A12,IF(E12=År1,'Resultater - Østdanmark'!H$3:H$504,IF(E12=År2,'Resultater - Østdanmark'!I$3:I$504,'Resultater - Østdanmark'!J$3:J$504)),"&gt;0"))</f>
        <v>8207.6123560951182</v>
      </c>
      <c r="H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forbrug'!H$3,'Forbrug af biomasse'!$B$2:$B$425,$F12)</f>
        <v>0</v>
      </c>
      <c r="I12">
        <f>IF(F12="Vestdanmark",-IF(A12="Halm",SUMIFS(IF(E12=År1,'Resultater - Vestdanmark'!H$3:H$504,IF(E12=År2,'Resultater - Vestdanmark'!I$3:I$504,'Resultater - Vestdanmark'!J$3:J$504)),'Resultater - Vestdanmark'!$F$3:$F$504,$A12,'Resultater - Vestdanmark'!H$3:H$504,"&lt;0"),0),-IF(A12="Halm",SUMIFS(IF(E12=År1,'Resultater - Østdanmark'!H$3:H$504,IF(E12=År2,'Resultater - Østdanmark'!I$3:I$504,'Resultater - Østdanmark'!J$3:J$504)),'Resultater - Østdanmark'!$F$3:$F$504,$A12,'Resultater - Østdanmark'!H$3:H$504,"&lt;0"),0))</f>
        <v>0</v>
      </c>
      <c r="J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forbrug'!J$3,'Forbrug af biomasse'!$B$2:$B$425,$F12)</f>
        <v>0</v>
      </c>
      <c r="K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forbrug'!K$3,'Forbrug af biomasse'!$B$2:$B$425,$F12)</f>
        <v>4103.8061780475591</v>
      </c>
      <c r="L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forbrug'!L$3,'Forbrug af biomasse'!$B$2:$B$425,$F12)</f>
        <v>4103.8061780475591</v>
      </c>
      <c r="M12" s="94">
        <f>IF(A12&lt;&gt;"Biogas",SUMIFS('Forbrug af biomasse'!$E$2:$E$425,'Forbrug af biomasse'!$C$2:$C$425,'Resultat-Produktion &amp; forbrug'!$A12,'Forbrug af biomasse'!$D$2:$D$425,'Resultat-Produktion &amp; forbrug'!$E12,'Forbrug af biomasse'!$A$2:$A$425,'Resultat-Produktion &amp; forbrug'!M$3,'Forbrug af biomasse'!$B$2:$B$425,$F12),G12)</f>
        <v>0</v>
      </c>
      <c r="N12" s="94">
        <f>SUMIFS('Forbrug af biomasse'!E:E,'Forbrug af biomasse'!C:C,'Resultat-Produktion &amp; forbrug'!$A12,'Forbrug af biomasse'!D:D,'Resultat-Produktion &amp; forbrug'!$E12,'Forbrug af biomasse'!G:G,1,'Forbrug af biomasse'!B:B,$F12)</f>
        <v>0</v>
      </c>
      <c r="O12" s="179">
        <f t="shared" si="3"/>
        <v>0</v>
      </c>
      <c r="P12" s="94">
        <f t="shared" ca="1" si="4"/>
        <v>0</v>
      </c>
      <c r="Q12" s="180">
        <f t="shared" si="5"/>
        <v>4103.8061780475591</v>
      </c>
      <c r="R12">
        <f ca="1">IFERROR(VLOOKUP(A12,[1]Energiindhold!$A$2:$C$11,3,FALSE),IFERROR(VLOOKUP(A12,[1]Biogasudbytte!$A$2:$B$18,2,FALSE)*[1]Energiindhold!$C$10,0))*P12</f>
        <v>0</v>
      </c>
      <c r="S12">
        <f>IF(A12&lt;&gt;"Biogas",IFERROR(VLOOKUP(A12,[1]Biogasudbytte!$A$2:$B$18,2,FALSE)*[1]Energiindhold!$C$10,0)*K12*IFERROR(VLOOKUP(A12,Biogasanlæg!$F$3:$G$8,2,FALSE),1)+IFERROR(VLOOKUP(A12,[1]Energiindhold!$A$2:$C$11,3,FALSE),0)*M12+IF(E12&lt;&gt;År1,R12,0),0)</f>
        <v>1.9299790074739866E-3</v>
      </c>
      <c r="T12">
        <f>IFERROR(VLOOKUP(A12,[1]Biogasudbytte!$A$2:$B$18,2,FALSE)*[1]Energiindhold!$C$10,0)*K12*IFERROR(VLOOKUP(A12,Biogasanlæg!$F$3:$G$8,2,FALSE),1)</f>
        <v>1.9299790074739866E-3</v>
      </c>
      <c r="U12" s="170">
        <f t="shared" si="6"/>
        <v>0</v>
      </c>
      <c r="V12" s="169">
        <f ca="1">P12*IFERROR(VLOOKUP(A12,[1]Tørstofindhold!A$2:B$24,2,FALSE),0)</f>
        <v>0</v>
      </c>
      <c r="W12">
        <f>IF(E12=År1,Q12,SUM(P12,Q12))*IFERROR(VLOOKUP(A12,[1]Tørstofindhold!A$2:B$24,2,FALSE),0)</f>
        <v>258.53978921699621</v>
      </c>
      <c r="X12">
        <f>K12*IFERROR(VLOOKUP(A12,[1]Tørstofindhold!A$2:B$24,2,FALSE),0)</f>
        <v>258.53978921699621</v>
      </c>
      <c r="Y12" s="170">
        <f t="shared" si="7"/>
        <v>0</v>
      </c>
      <c r="Z12">
        <f t="shared" ca="1" si="1"/>
        <v>0</v>
      </c>
      <c r="AA12">
        <f t="shared" ca="1" si="2"/>
        <v>0</v>
      </c>
      <c r="AB12" s="94">
        <f t="shared" si="8"/>
        <v>0</v>
      </c>
      <c r="AC12">
        <f>AB12*D12*10000*VLOOKUP(A12,[1]kcal!$A$2:$C$49,3,FALSE)/1000000000000</f>
        <v>0</v>
      </c>
    </row>
    <row r="13" spans="1:31" x14ac:dyDescent="0.25">
      <c r="A13" t="s">
        <v>96</v>
      </c>
      <c r="B13" s="171"/>
      <c r="C13" s="171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71">
        <v>1</v>
      </c>
      <c r="E13" s="171">
        <f t="shared" si="0"/>
        <v>2019</v>
      </c>
      <c r="F13" t="s">
        <v>23</v>
      </c>
      <c r="G13" s="94">
        <f>IF(F13="Vestdanmark",SUMIFS(IF(E13=År1,'Resultater - Vestdanmark'!H$3:H$504,IF(E13=År2,'Resultater - Vestdanmark'!I$3:I$504,'Resultater - Vestdanmark'!J$3:J$504)),'Resultater - Vestdanmark'!$F$3:$F$504,$A13,IF(E13=År1,'Resultater - Vestdanmark'!H$3:H$504,IF(E13=År2,'Resultater - Vestdanmark'!I$3:I$504,'Resultater - Vestdanmark'!J$3:J$504)),"&gt;0"),SUMIFS(IF(E13=År1,'Resultater - Østdanmark'!H$3:H$504,IF(E13=År2,'Resultater - Østdanmark'!I$3:I$504,'Resultater - Østdanmark'!J$3:J$504)),'Resultater - Østdanmark'!$F$3:$F$504,$A13,IF(E13=År1,'Resultater - Østdanmark'!H$3:H$504,IF(E13=År2,'Resultater - Østdanmark'!I$3:I$504,'Resultater - Østdanmark'!J$3:J$504)),"&gt;0"))</f>
        <v>185576.29959415729</v>
      </c>
      <c r="H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forbrug'!H$3,'Forbrug af biomasse'!$B$2:$B$425,$F13)</f>
        <v>0</v>
      </c>
      <c r="I13">
        <f>IF(F13="Vestdanmark",-IF(A13="Halm",SUMIFS(IF(E13=År1,'Resultater - Vestdanmark'!H$3:H$504,IF(E13=År2,'Resultater - Vestdanmark'!I$3:I$504,'Resultater - Vestdanmark'!J$3:J$504)),'Resultater - Vestdanmark'!$F$3:$F$504,$A13,'Resultater - Vestdanmark'!H$3:H$504,"&lt;0"),0),-IF(A13="Halm",SUMIFS(IF(E13=År1,'Resultater - Østdanmark'!H$3:H$504,IF(E13=År2,'Resultater - Østdanmark'!I$3:I$504,'Resultater - Østdanmark'!J$3:J$504)),'Resultater - Østdanmark'!$F$3:$F$504,$A13,'Resultater - Østdanmark'!H$3:H$504,"&lt;0"),0))</f>
        <v>0</v>
      </c>
      <c r="J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forbrug'!J$3,'Forbrug af biomasse'!$B$2:$B$425,$F13)</f>
        <v>34149.438191562753</v>
      </c>
      <c r="K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forbrug'!K$3,'Forbrug af biomasse'!$B$2:$B$425,$F13)</f>
        <v>0</v>
      </c>
      <c r="L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forbrug'!L$3,'Forbrug af biomasse'!$B$2:$B$425,$F13)</f>
        <v>0</v>
      </c>
      <c r="M13" s="94">
        <f>IF(A13&lt;&gt;"Biogas",SUMIFS('Forbrug af biomasse'!$E$2:$E$425,'Forbrug af biomasse'!$C$2:$C$425,'Resultat-Produktion &amp; forbrug'!$A13,'Forbrug af biomasse'!$D$2:$D$425,'Resultat-Produktion &amp; forbrug'!$E13,'Forbrug af biomasse'!$A$2:$A$425,'Resultat-Produktion &amp; forbrug'!M$3,'Forbrug af biomasse'!$B$2:$B$425,$F13),G13)</f>
        <v>0</v>
      </c>
      <c r="N13" s="94">
        <f>SUMIFS('Forbrug af biomasse'!E:E,'Forbrug af biomasse'!C:C,'Resultat-Produktion &amp; forbrug'!$A13,'Forbrug af biomasse'!D:D,'Resultat-Produktion &amp; forbrug'!$E13,'Forbrug af biomasse'!G:G,1,'Forbrug af biomasse'!B:B,$F13)</f>
        <v>0</v>
      </c>
      <c r="O13" s="179">
        <f t="shared" si="3"/>
        <v>151426.86140259454</v>
      </c>
      <c r="P13" s="94">
        <f t="shared" si="4"/>
        <v>0</v>
      </c>
      <c r="Q13" s="180">
        <f t="shared" si="5"/>
        <v>0</v>
      </c>
      <c r="R13">
        <f>IFERROR(VLOOKUP(A13,[1]Energiindhold!$A$2:$C$11,3,FALSE),IFERROR(VLOOKUP(A13,[1]Biogasudbytte!$A$2:$B$18,2,FALSE)*[1]Energiindhold!$C$10,0))*P13</f>
        <v>0</v>
      </c>
      <c r="S13">
        <f>IF(A13&lt;&gt;"Biogas",IFERROR(VLOOKUP(A13,[1]Biogasudbytte!$A$2:$B$18,2,FALSE)*[1]Energiindhold!$C$10,0)*K13*IFERROR(VLOOKUP(A13,Biogasanlæg!$F$3:$G$8,2,FALSE),1)+IFERROR(VLOOKUP(A13,[1]Energiindhold!$A$2:$C$11,3,FALSE),0)*M13+IF(E13&lt;&gt;År1,R13,0),0)</f>
        <v>0</v>
      </c>
      <c r="T13">
        <f>IFERROR(VLOOKUP(A13,[1]Biogasudbytte!$A$2:$B$18,2,FALSE)*[1]Energiindhold!$C$10,0)*K13*IFERROR(VLOOKUP(A13,Biogasanlæg!$F$3:$G$8,2,FALSE),1)</f>
        <v>0</v>
      </c>
      <c r="U13" s="170">
        <f t="shared" si="6"/>
        <v>0</v>
      </c>
      <c r="V13" s="169">
        <f>P13*IFERROR(VLOOKUP(A13,[1]Tørstofindhold!A$2:B$24,2,FALSE),0)</f>
        <v>0</v>
      </c>
      <c r="W13">
        <f>IF(E13=År1,Q13,SUM(P13,Q13))*IFERROR(VLOOKUP(A13,[1]Tørstofindhold!A$2:B$24,2,FALSE),0)</f>
        <v>0</v>
      </c>
      <c r="X13">
        <f>K13*IFERROR(VLOOKUP(A13,[1]Tørstofindhold!A$2:B$24,2,FALSE),0)</f>
        <v>0</v>
      </c>
      <c r="Y13" s="170">
        <f t="shared" si="7"/>
        <v>0</v>
      </c>
      <c r="Z13">
        <f t="shared" ca="1" si="1"/>
        <v>0</v>
      </c>
      <c r="AA13">
        <f t="shared" ca="1" si="2"/>
        <v>1</v>
      </c>
      <c r="AB13" s="94">
        <f t="shared" si="8"/>
        <v>185576.29959415729</v>
      </c>
      <c r="AC13">
        <f>AB13*D13*10000*VLOOKUP(A13,[1]kcal!$A$2:$C$49,3,FALSE)/1000000000000</f>
        <v>0.28207597538311907</v>
      </c>
    </row>
    <row r="14" spans="1:31" x14ac:dyDescent="0.25">
      <c r="A14" t="s">
        <v>113</v>
      </c>
      <c r="B14" s="171"/>
      <c r="C14" s="171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71">
        <v>0</v>
      </c>
      <c r="E14" s="171">
        <f t="shared" si="0"/>
        <v>2019</v>
      </c>
      <c r="F14" t="s">
        <v>23</v>
      </c>
      <c r="G14" s="94">
        <f>IF(F14="Vestdanmark",SUMIFS(IF(E14=År1,'Resultater - Vestdanmark'!H$3:H$504,IF(E14=År2,'Resultater - Vestdanmark'!I$3:I$504,'Resultater - Vestdanmark'!J$3:J$504)),'Resultater - Vestdanmark'!$F$3:$F$504,$A14,IF(E14=År1,'Resultater - Vestdanmark'!H$3:H$504,IF(E14=År2,'Resultater - Vestdanmark'!I$3:I$504,'Resultater - Vestdanmark'!J$3:J$504)),"&gt;0"),SUMIFS(IF(E14=År1,'Resultater - Østdanmark'!H$3:H$504,IF(E14=År2,'Resultater - Østdanmark'!I$3:I$504,'Resultater - Østdanmark'!J$3:J$504)),'Resultater - Østdanmark'!$F$3:$F$504,$A14,IF(E14=År1,'Resultater - Østdanmark'!H$3:H$504,IF(E14=År2,'Resultater - Østdanmark'!I$3:I$504,'Resultater - Østdanmark'!J$3:J$504)),"&gt;0"))</f>
        <v>887836.84200071916</v>
      </c>
      <c r="H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forbrug'!H$3,'Forbrug af biomasse'!$B$2:$B$425,$F14)</f>
        <v>0</v>
      </c>
      <c r="I14">
        <f>IF(F14="Vestdanmark",-IF(A14="Halm",SUMIFS(IF(E14=År1,'Resultater - Vestdanmark'!H$3:H$504,IF(E14=År2,'Resultater - Vestdanmark'!I$3:I$504,'Resultater - Vestdanmark'!J$3:J$504)),'Resultater - Vestdanmark'!$F$3:$F$504,$A14,'Resultater - Vestdanmark'!H$3:H$504,"&lt;0"),0),-IF(A14="Halm",SUMIFS(IF(E14=År1,'Resultater - Østdanmark'!H$3:H$504,IF(E14=År2,'Resultater - Østdanmark'!I$3:I$504,'Resultater - Østdanmark'!J$3:J$504)),'Resultater - Østdanmark'!$F$3:$F$504,$A14,'Resultater - Østdanmark'!H$3:H$504,"&lt;0"),0))</f>
        <v>0</v>
      </c>
      <c r="J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forbrug'!J$3,'Forbrug af biomasse'!$B$2:$B$425,$F14)</f>
        <v>0</v>
      </c>
      <c r="K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forbrug'!K$3,'Forbrug af biomasse'!$B$2:$B$425,$F14)</f>
        <v>0</v>
      </c>
      <c r="L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forbrug'!L$3,'Forbrug af biomasse'!$B$2:$B$425,$F14)</f>
        <v>0</v>
      </c>
      <c r="M14" s="94">
        <f>IF(A14&lt;&gt;"Biogas",SUMIFS('Forbrug af biomasse'!$E$2:$E$425,'Forbrug af biomasse'!$C$2:$C$425,'Resultat-Produktion &amp; forbrug'!$A14,'Forbrug af biomasse'!$D$2:$D$425,'Resultat-Produktion &amp; forbrug'!$E14,'Forbrug af biomasse'!$A$2:$A$425,'Resultat-Produktion &amp; forbrug'!M$3,'Forbrug af biomasse'!$B$2:$B$425,$F14),G14)</f>
        <v>0</v>
      </c>
      <c r="N14" s="94">
        <f>SUMIFS('Forbrug af biomasse'!E:E,'Forbrug af biomasse'!C:C,'Resultat-Produktion &amp; forbrug'!$A14,'Forbrug af biomasse'!D:D,'Resultat-Produktion &amp; forbrug'!$E14,'Forbrug af biomasse'!G:G,1,'Forbrug af biomasse'!B:B,$F14)</f>
        <v>0</v>
      </c>
      <c r="O14" s="179">
        <f t="shared" si="3"/>
        <v>887836.84200071916</v>
      </c>
      <c r="P14" s="94">
        <f t="shared" si="4"/>
        <v>0</v>
      </c>
      <c r="Q14" s="180">
        <f t="shared" si="5"/>
        <v>0</v>
      </c>
      <c r="R14">
        <f>IFERROR(VLOOKUP(A14,[1]Energiindhold!$A$2:$C$11,3,FALSE),IFERROR(VLOOKUP(A14,[1]Biogasudbytte!$A$2:$B$18,2,FALSE)*[1]Energiindhold!$C$10,0))*P14</f>
        <v>0</v>
      </c>
      <c r="S14">
        <f>IF(A14&lt;&gt;"Biogas",IFERROR(VLOOKUP(A14,[1]Biogasudbytte!$A$2:$B$18,2,FALSE)*[1]Energiindhold!$C$10,0)*K14*IFERROR(VLOOKUP(A14,Biogasanlæg!$F$3:$G$8,2,FALSE),1)+IFERROR(VLOOKUP(A14,[1]Energiindhold!$A$2:$C$11,3,FALSE),0)*M14+IF(E14&lt;&gt;År1,R14,0),0)</f>
        <v>0</v>
      </c>
      <c r="T14">
        <f>IFERROR(VLOOKUP(A14,[1]Biogasudbytte!$A$2:$B$18,2,FALSE)*[1]Energiindhold!$C$10,0)*K14*IFERROR(VLOOKUP(A14,Biogasanlæg!$F$3:$G$8,2,FALSE),1)</f>
        <v>0</v>
      </c>
      <c r="U14" s="170">
        <f t="shared" si="6"/>
        <v>0</v>
      </c>
      <c r="V14" s="169">
        <f>P14*IFERROR(VLOOKUP(A14,[1]Tørstofindhold!A$2:B$24,2,FALSE),0)</f>
        <v>0</v>
      </c>
      <c r="W14">
        <f>IF(E14=År1,Q14,SUM(P14,Q14))*IFERROR(VLOOKUP(A14,[1]Tørstofindhold!A$2:B$24,2,FALSE),0)</f>
        <v>0</v>
      </c>
      <c r="X14">
        <f>K14*IFERROR(VLOOKUP(A14,[1]Tørstofindhold!A$2:B$24,2,FALSE),0)</f>
        <v>0</v>
      </c>
      <c r="Y14" s="170">
        <f t="shared" si="7"/>
        <v>0</v>
      </c>
      <c r="Z14">
        <f t="shared" si="1"/>
        <v>0</v>
      </c>
      <c r="AA14">
        <f t="shared" si="2"/>
        <v>1</v>
      </c>
      <c r="AB14" s="94">
        <f t="shared" si="8"/>
        <v>887836.84200071916</v>
      </c>
      <c r="AC14">
        <f>AB14*D14*10000*VLOOKUP(A14,[1]kcal!$A$2:$C$49,3,FALSE)/1000000000000</f>
        <v>0</v>
      </c>
    </row>
    <row r="15" spans="1:31" x14ac:dyDescent="0.25">
      <c r="A15" t="s">
        <v>54</v>
      </c>
      <c r="B15" s="171"/>
      <c r="C15" s="171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0</v>
      </c>
      <c r="D15" s="171">
        <v>1</v>
      </c>
      <c r="E15" s="171">
        <f t="shared" si="0"/>
        <v>2019</v>
      </c>
      <c r="F15" t="s">
        <v>23</v>
      </c>
      <c r="G15" s="94">
        <f>IF(F15="Vestdanmark",SUMIFS(IF(E15=År1,'Resultater - Vestdanmark'!H$3:H$504,IF(E15=År2,'Resultater - Vestdanmark'!I$3:I$504,'Resultater - Vestdanmark'!J$3:J$504)),'Resultater - Vestdanmark'!$F$3:$F$504,$A15,IF(E15=År1,'Resultater - Vestdanmark'!H$3:H$504,IF(E15=År2,'Resultater - Vestdanmark'!I$3:I$504,'Resultater - Vestdanmark'!J$3:J$504)),"&gt;0"),SUMIFS(IF(E15=År1,'Resultater - Østdanmark'!H$3:H$504,IF(E15=År2,'Resultater - Østdanmark'!I$3:I$504,'Resultater - Østdanmark'!J$3:J$504)),'Resultater - Østdanmark'!$F$3:$F$504,$A15,IF(E15=År1,'Resultater - Østdanmark'!H$3:H$504,IF(E15=År2,'Resultater - Østdanmark'!I$3:I$504,'Resultater - Østdanmark'!J$3:J$504)),"&gt;0"))</f>
        <v>25948.722839676255</v>
      </c>
      <c r="H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forbrug'!H$3,'Forbrug af biomasse'!$B$2:$B$425,$F15)</f>
        <v>0</v>
      </c>
      <c r="I15">
        <f>IF(F15="Vestdanmark",-IF(A15="Halm",SUMIFS(IF(E15=År1,'Resultater - Vestdanmark'!H$3:H$504,IF(E15=År2,'Resultater - Vestdanmark'!I$3:I$504,'Resultater - Vestdanmark'!J$3:J$504)),'Resultater - Vestdanmark'!$F$3:$F$504,$A15,'Resultater - Vestdanmark'!H$3:H$504,"&lt;0"),0),-IF(A15="Halm",SUMIFS(IF(E15=År1,'Resultater - Østdanmark'!H$3:H$504,IF(E15=År2,'Resultater - Østdanmark'!I$3:I$504,'Resultater - Østdanmark'!J$3:J$504)),'Resultater - Østdanmark'!$F$3:$F$504,$A15,'Resultater - Østdanmark'!H$3:H$504,"&lt;0"),0))</f>
        <v>0</v>
      </c>
      <c r="J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forbrug'!J$3,'Forbrug af biomasse'!$B$2:$B$425,$F15)</f>
        <v>249553.58678449702</v>
      </c>
      <c r="K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forbrug'!K$3,'Forbrug af biomasse'!$B$2:$B$425,$F15)</f>
        <v>0</v>
      </c>
      <c r="L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forbrug'!L$3,'Forbrug af biomasse'!$B$2:$B$425,$F15)</f>
        <v>0</v>
      </c>
      <c r="M15" s="94">
        <f>IF(A15&lt;&gt;"Biogas",SUMIFS('Forbrug af biomasse'!$E$2:$E$425,'Forbrug af biomasse'!$C$2:$C$425,'Resultat-Produktion &amp; forbrug'!$A15,'Forbrug af biomasse'!$D$2:$D$425,'Resultat-Produktion &amp; forbrug'!$E15,'Forbrug af biomasse'!$A$2:$A$425,'Resultat-Produktion &amp; forbrug'!M$3,'Forbrug af biomasse'!$B$2:$B$425,$F15),G15)</f>
        <v>0</v>
      </c>
      <c r="N15" s="94">
        <f>SUMIFS('Forbrug af biomasse'!E:E,'Forbrug af biomasse'!C:C,'Resultat-Produktion &amp; forbrug'!$A15,'Forbrug af biomasse'!D:D,'Resultat-Produktion &amp; forbrug'!$E15,'Forbrug af biomasse'!G:G,1,'Forbrug af biomasse'!B:B,$F15)</f>
        <v>0</v>
      </c>
      <c r="O15" s="179">
        <f t="shared" si="3"/>
        <v>-223604.86394482077</v>
      </c>
      <c r="P15" s="94">
        <f t="shared" si="4"/>
        <v>0</v>
      </c>
      <c r="Q15" s="180">
        <f t="shared" si="5"/>
        <v>0</v>
      </c>
      <c r="R15">
        <f>IFERROR(VLOOKUP(A15,[1]Energiindhold!$A$2:$C$11,3,FALSE),IFERROR(VLOOKUP(A15,[1]Biogasudbytte!$A$2:$B$18,2,FALSE)*[1]Energiindhold!$C$10,0))*P15</f>
        <v>0</v>
      </c>
      <c r="S15">
        <f>IF(A15&lt;&gt;"Biogas",IFERROR(VLOOKUP(A15,[1]Biogasudbytte!$A$2:$B$18,2,FALSE)*[1]Energiindhold!$C$10,0)*K15*IFERROR(VLOOKUP(A15,Biogasanlæg!$F$3:$G$8,2,FALSE),1)+IFERROR(VLOOKUP(A15,[1]Energiindhold!$A$2:$C$11,3,FALSE),0)*M15+IF(E15&lt;&gt;År1,R15,0),0)</f>
        <v>0</v>
      </c>
      <c r="T15">
        <f>IFERROR(VLOOKUP(A15,[1]Biogasudbytte!$A$2:$B$18,2,FALSE)*[1]Energiindhold!$C$10,0)*K15*IFERROR(VLOOKUP(A15,Biogasanlæg!$F$3:$G$8,2,FALSE),1)</f>
        <v>0</v>
      </c>
      <c r="U15" s="170">
        <f t="shared" si="6"/>
        <v>0</v>
      </c>
      <c r="V15" s="169">
        <f>P15*IFERROR(VLOOKUP(A15,[1]Tørstofindhold!A$2:B$24,2,FALSE),0)</f>
        <v>0</v>
      </c>
      <c r="W15">
        <f>IF(E15=År1,Q15,SUM(P15,Q15))*IFERROR(VLOOKUP(A15,[1]Tørstofindhold!A$2:B$24,2,FALSE),0)</f>
        <v>0</v>
      </c>
      <c r="X15">
        <f>K15*IFERROR(VLOOKUP(A15,[1]Tørstofindhold!A$2:B$24,2,FALSE),0)</f>
        <v>0</v>
      </c>
      <c r="Y15" s="170">
        <f t="shared" si="7"/>
        <v>0</v>
      </c>
      <c r="Z15">
        <f t="shared" si="1"/>
        <v>1</v>
      </c>
      <c r="AA15">
        <f t="shared" si="2"/>
        <v>0</v>
      </c>
      <c r="AB15" s="94">
        <f t="shared" si="8"/>
        <v>25948.722839676255</v>
      </c>
      <c r="AC15">
        <f>AB15*D15*10000*VLOOKUP(A15,[1]kcal!$A$2:$C$49,3,FALSE)/1000000000000</f>
        <v>1.3493335876631653E-2</v>
      </c>
    </row>
    <row r="16" spans="1:31" x14ac:dyDescent="0.25">
      <c r="A16" s="171" t="s">
        <v>158</v>
      </c>
      <c r="B16" s="171" t="s">
        <v>158</v>
      </c>
      <c r="C16" s="171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71">
        <v>0</v>
      </c>
      <c r="E16" s="171">
        <f t="shared" si="0"/>
        <v>2019</v>
      </c>
      <c r="F16" t="s">
        <v>23</v>
      </c>
      <c r="G16" s="94">
        <f>IF(F16="Vestdanmark",SUMIFS(IF(E16=År1,'Resultater - Vestdanmark'!H$3:H$504,IF(E16=År2,'Resultater - Vestdanmark'!I$3:I$504,'Resultater - Vestdanmark'!J$3:J$504)),'Resultater - Vestdanmark'!$F$3:$F$504,$A16,IF(E16=År1,'Resultater - Vestdanmark'!H$3:H$504,IF(E16=År2,'Resultater - Vestdanmark'!I$3:I$504,'Resultater - Vestdanmark'!J$3:J$504)),"&gt;0"),SUMIFS(IF(E16=År1,'Resultater - Østdanmark'!H$3:H$504,IF(E16=År2,'Resultater - Østdanmark'!I$3:I$504,'Resultater - Østdanmark'!J$3:J$504)),'Resultater - Østdanmark'!$F$3:$F$504,$A16,IF(E16=År1,'Resultater - Østdanmark'!H$3:H$504,IF(E16=År2,'Resultater - Østdanmark'!I$3:I$504,'Resultater - Østdanmark'!J$3:J$504)),"&gt;0"))</f>
        <v>0</v>
      </c>
      <c r="H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forbrug'!H$3,'Forbrug af biomasse'!$B$2:$B$425,$F16)</f>
        <v>0</v>
      </c>
      <c r="I16">
        <f>IF(F16="Vestdanmark",-IF(A16="Halm",SUMIFS(IF(E16=År1,'Resultater - Vestdanmark'!H$3:H$504,IF(E16=År2,'Resultater - Vestdanmark'!I$3:I$504,'Resultater - Vestdanmark'!J$3:J$504)),'Resultater - Vestdanmark'!$F$3:$F$504,$A16,'Resultater - Vestdanmark'!H$3:H$504,"&lt;0"),0),-IF(A16="Halm",SUMIFS(IF(E16=År1,'Resultater - Østdanmark'!H$3:H$504,IF(E16=År2,'Resultater - Østdanmark'!I$3:I$504,'Resultater - Østdanmark'!J$3:J$504)),'Resultater - Østdanmark'!$F$3:$F$504,$A16,'Resultater - Østdanmark'!H$3:H$504,"&lt;0"),0))</f>
        <v>0</v>
      </c>
      <c r="J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forbrug'!J$3,'Forbrug af biomasse'!$B$2:$B$425,$F16)</f>
        <v>0</v>
      </c>
      <c r="K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forbrug'!K$3,'Forbrug af biomasse'!$B$2:$B$425,$F16)</f>
        <v>114193.60000000001</v>
      </c>
      <c r="L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forbrug'!L$3,'Forbrug af biomasse'!$B$2:$B$425,$F16)</f>
        <v>0</v>
      </c>
      <c r="M16" s="94">
        <f>IF(A16&lt;&gt;"Biogas",SUMIFS('Forbrug af biomasse'!$E$2:$E$425,'Forbrug af biomasse'!$C$2:$C$425,'Resultat-Produktion &amp; forbrug'!$A16,'Forbrug af biomasse'!$D$2:$D$425,'Resultat-Produktion &amp; forbrug'!$E16,'Forbrug af biomasse'!$A$2:$A$425,'Resultat-Produktion &amp; forbrug'!M$3,'Forbrug af biomasse'!$B$2:$B$425,$F16),G16)</f>
        <v>0</v>
      </c>
      <c r="N16" s="94">
        <f>SUMIFS('Forbrug af biomasse'!E:E,'Forbrug af biomasse'!C:C,'Resultat-Produktion &amp; forbrug'!$A16,'Forbrug af biomasse'!D:D,'Resultat-Produktion &amp; forbrug'!$E16,'Forbrug af biomasse'!G:G,1,'Forbrug af biomasse'!B:B,$F16)</f>
        <v>0</v>
      </c>
      <c r="O16" s="179">
        <f t="shared" si="3"/>
        <v>-114193.60000000001</v>
      </c>
      <c r="P16" s="94">
        <f t="shared" si="4"/>
        <v>0</v>
      </c>
      <c r="Q16" s="180">
        <f t="shared" si="5"/>
        <v>114193.60000000001</v>
      </c>
      <c r="R16">
        <f>IFERROR(VLOOKUP(A16,[1]Energiindhold!$A$2:$C$11,3,FALSE),IFERROR(VLOOKUP(A16,[1]Biogasudbytte!$A$2:$B$18,2,FALSE)*[1]Energiindhold!$C$10,0))*P16</f>
        <v>0</v>
      </c>
      <c r="S16">
        <f>IF(A16&lt;&gt;"Biogas",IFERROR(VLOOKUP(A16,[1]Biogasudbytte!$A$2:$B$18,2,FALSE)*[1]Energiindhold!$C$10,0)*K16*IFERROR(VLOOKUP(A16,Biogasanlæg!$F$3:$G$8,2,FALSE),1)+IFERROR(VLOOKUP(A16,[1]Energiindhold!$A$2:$C$11,3,FALSE),0)*M16+IF(E16&lt;&gt;År1,R16,0),0)</f>
        <v>1.7355855896064003</v>
      </c>
      <c r="T16">
        <f>IFERROR(VLOOKUP(A16,[1]Biogasudbytte!$A$2:$B$18,2,FALSE)*[1]Energiindhold!$C$10,0)*K16*IFERROR(VLOOKUP(A16,Biogasanlæg!$F$3:$G$8,2,FALSE),1)</f>
        <v>1.7355855896064003</v>
      </c>
      <c r="U16" s="170">
        <f t="shared" si="6"/>
        <v>0</v>
      </c>
      <c r="V16" s="169">
        <f>P16*IFERROR(VLOOKUP(A16,[1]Tørstofindhold!A$2:B$24,2,FALSE),0)</f>
        <v>0</v>
      </c>
      <c r="W16">
        <f>IF(E16=År1,Q16,SUM(P16,Q16))*IFERROR(VLOOKUP(A16,[1]Tørstofindhold!A$2:B$24,2,FALSE),0)</f>
        <v>102774.24</v>
      </c>
      <c r="X16">
        <f>K16*IFERROR(VLOOKUP(A16,[1]Tørstofindhold!A$2:B$24,2,FALSE),0)</f>
        <v>102774.24</v>
      </c>
      <c r="Y16" s="170">
        <f t="shared" si="7"/>
        <v>0</v>
      </c>
      <c r="Z16">
        <f t="shared" si="1"/>
        <v>1</v>
      </c>
      <c r="AA16">
        <f t="shared" si="2"/>
        <v>0</v>
      </c>
      <c r="AB16" s="94">
        <f t="shared" si="8"/>
        <v>-114193.60000000001</v>
      </c>
      <c r="AC16">
        <f>AB16*D16*10000*VLOOKUP(A16,[1]kcal!$A$2:$C$49,3,FALSE)/1000000000000</f>
        <v>0</v>
      </c>
    </row>
    <row r="17" spans="1:29" x14ac:dyDescent="0.25">
      <c r="A17" s="171" t="s">
        <v>51</v>
      </c>
      <c r="B17" s="171" t="s">
        <v>224</v>
      </c>
      <c r="C17" s="171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1</v>
      </c>
      <c r="D17" s="171">
        <v>0</v>
      </c>
      <c r="E17" s="171">
        <f t="shared" ref="E17:E51" si="9">År1</f>
        <v>2019</v>
      </c>
      <c r="F17" t="s">
        <v>23</v>
      </c>
      <c r="G17" s="94">
        <f>IF(F17="Vestdanmark",SUMIFS(IF(E17=År1,'Resultater - Vestdanmark'!H$3:H$504,IF(E17=År2,'Resultater - Vestdanmark'!I$3:I$504,'Resultater - Vestdanmark'!J$3:J$504)),'Resultater - Vestdanmark'!$F$3:$F$504,$A17,IF(E17=År1,'Resultater - Vestdanmark'!H$3:H$504,IF(E17=År2,'Resultater - Vestdanmark'!I$3:I$504,'Resultater - Vestdanmark'!J$3:J$504)),"&gt;0"),SUMIFS(IF(E17=År1,'Resultater - Østdanmark'!H$3:H$504,IF(E17=År2,'Resultater - Østdanmark'!I$3:I$504,'Resultater - Østdanmark'!J$3:J$504)),'Resultater - Østdanmark'!$F$3:$F$504,$A17,IF(E17=År1,'Resultater - Østdanmark'!H$3:H$504,IF(E17=År2,'Resultater - Østdanmark'!I$3:I$504,'Resultater - Østdanmark'!J$3:J$504)),"&gt;0"))</f>
        <v>15764158.337739769</v>
      </c>
      <c r="H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forbrug'!H$3,'Forbrug af biomasse'!$B$2:$B$425,$F17)</f>
        <v>12237689.9092583</v>
      </c>
      <c r="I17">
        <f>IF(F17="Vestdanmark",-IF(A17="Halm",SUMIFS(IF(E17=År1,'Resultater - Vestdanmark'!H$3:H$504,IF(E17=År2,'Resultater - Vestdanmark'!I$3:I$504,'Resultater - Vestdanmark'!J$3:J$504)),'Resultater - Vestdanmark'!$F$3:$F$504,$A17,'Resultater - Vestdanmark'!H$3:H$504,"&lt;0"),0),-IF(A17="Halm",SUMIFS(IF(E17=År1,'Resultater - Østdanmark'!H$3:H$504,IF(E17=År2,'Resultater - Østdanmark'!I$3:I$504,'Resultater - Østdanmark'!J$3:J$504)),'Resultater - Østdanmark'!$F$3:$F$504,$A17,'Resultater - Østdanmark'!H$3:H$504,"&lt;0"),0))</f>
        <v>0</v>
      </c>
      <c r="J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forbrug'!J$3,'Forbrug af biomasse'!$B$2:$B$425,$F17)</f>
        <v>0</v>
      </c>
      <c r="K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forbrug'!K$3,'Forbrug af biomasse'!$B$2:$B$425,$F17)</f>
        <v>75399.16825098735</v>
      </c>
      <c r="L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forbrug'!L$3,'Forbrug af biomasse'!$B$2:$B$425,$F17)</f>
        <v>0</v>
      </c>
      <c r="M17" s="94">
        <f>IF(A17&lt;&gt;"Biogas",SUMIFS('Forbrug af biomasse'!$E$2:$E$425,'Forbrug af biomasse'!$C$2:$C$425,'Resultat-Produktion &amp; forbrug'!$A17,'Forbrug af biomasse'!$D$2:$D$425,'Resultat-Produktion &amp; forbrug'!$E17,'Forbrug af biomasse'!$A$2:$A$425,'Resultat-Produktion &amp; forbrug'!M$3,'Forbrug af biomasse'!$B$2:$B$425,$F17),G17)</f>
        <v>0</v>
      </c>
      <c r="N17" s="94">
        <f>SUMIFS('Forbrug af biomasse'!E:E,'Forbrug af biomasse'!C:C,'Resultat-Produktion &amp; forbrug'!$A17,'Forbrug af biomasse'!D:D,'Resultat-Produktion &amp; forbrug'!$E17,'Forbrug af biomasse'!G:G,1,'Forbrug af biomasse'!B:B,$F17)</f>
        <v>0</v>
      </c>
      <c r="O17" s="179">
        <f t="shared" ref="O17:O82" si="10">G17-SUM(H17:N17)</f>
        <v>3451069.2602304816</v>
      </c>
      <c r="P17" s="94">
        <f t="shared" ca="1" si="4"/>
        <v>3451069.2602304816</v>
      </c>
      <c r="Q17" s="180">
        <f t="shared" ref="Q17:Q82" si="11">SUM(K17,M17)</f>
        <v>75399.16825098735</v>
      </c>
      <c r="R17">
        <f ca="1">IFERROR(VLOOKUP(A17,[1]Energiindhold!$A$2:$C$11,3,FALSE),IFERROR(VLOOKUP(A17,[1]Biogasudbytte!$A$2:$B$18,2,FALSE)*[1]Energiindhold!$C$10,0))*P17</f>
        <v>6.3495360551665581</v>
      </c>
      <c r="S17">
        <f>IF(A17&lt;&gt;"Biogas",IFERROR(VLOOKUP(A17,[1]Biogasudbytte!$A$2:$B$18,2,FALSE)*[1]Energiindhold!$C$10,0)*K17*IFERROR(VLOOKUP(A17,Biogasanlæg!$F$3:$G$8,2,FALSE),1)+IFERROR(VLOOKUP(A17,[1]Energiindhold!$A$2:$C$11,3,FALSE),0)*M17+IF(E17&lt;&gt;År1,R17,0),0)</f>
        <v>0.13872504468578536</v>
      </c>
      <c r="T17">
        <f>IFERROR(VLOOKUP(A17,[1]Biogasudbytte!$A$2:$B$18,2,FALSE)*[1]Energiindhold!$C$10,0)*K17*IFERROR(VLOOKUP(A17,Biogasanlæg!$F$3:$G$8,2,FALSE),1)</f>
        <v>0.13872504468578536</v>
      </c>
      <c r="U17" s="170">
        <f t="shared" ref="U17:U82" si="12">S17-T17</f>
        <v>0</v>
      </c>
      <c r="V17" s="169">
        <f ca="1">P17*IFERROR(VLOOKUP(A17,[1]Tørstofindhold!A$2:B$24,2,FALSE),0)</f>
        <v>966299.39286453498</v>
      </c>
      <c r="W17">
        <f>IF(E17=År1,Q17,SUM(P17,Q17))*IFERROR(VLOOKUP(A17,[1]Tørstofindhold!A$2:B$24,2,FALSE),0)</f>
        <v>21111.767110276462</v>
      </c>
      <c r="X17">
        <f>K17*IFERROR(VLOOKUP(A17,[1]Tørstofindhold!A$2:B$24,2,FALSE),0)</f>
        <v>21111.767110276462</v>
      </c>
      <c r="Y17" s="170">
        <f t="shared" ref="Y17:Y82" si="13">W17-X17</f>
        <v>0</v>
      </c>
      <c r="Z17">
        <f t="shared" ca="1" si="1"/>
        <v>0</v>
      </c>
      <c r="AA17">
        <f t="shared" ca="1" si="2"/>
        <v>1</v>
      </c>
      <c r="AB17" s="94">
        <f t="shared" si="8"/>
        <v>3451069.2602304816</v>
      </c>
      <c r="AC17">
        <f>AB17*D17*10000*VLOOKUP(A17,[1]kcal!$A$2:$C$49,3,FALSE)/1000000000000</f>
        <v>0</v>
      </c>
    </row>
    <row r="18" spans="1:29" x14ac:dyDescent="0.25">
      <c r="A18" s="171" t="s">
        <v>203</v>
      </c>
      <c r="B18" s="171"/>
      <c r="C18" s="171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71">
        <v>0</v>
      </c>
      <c r="E18" s="171">
        <f t="shared" si="9"/>
        <v>2019</v>
      </c>
      <c r="F18" t="s">
        <v>23</v>
      </c>
      <c r="G18" s="94">
        <f>IF(F18="Vestdanmark",SUMIFS(IF(E18=År1,'Resultater - Vestdanmark'!H$3:H$504,IF(E18=År2,'Resultater - Vestdanmark'!I$3:I$504,'Resultater - Vestdanmark'!J$3:J$504)),'Resultater - Vestdanmark'!$F$3:$F$504,$A18,IF(E18=År1,'Resultater - Vestdanmark'!H$3:H$504,IF(E18=År2,'Resultater - Vestdanmark'!I$3:I$504,'Resultater - Vestdanmark'!J$3:J$504)),"&gt;0"),SUMIFS(IF(E18=År1,'Resultater - Østdanmark'!H$3:H$504,IF(E18=År2,'Resultater - Østdanmark'!I$3:I$504,'Resultater - Østdanmark'!J$3:J$504)),'Resultater - Østdanmark'!$F$3:$F$504,$A18,IF(E18=År1,'Resultater - Østdanmark'!H$3:H$504,IF(E18=År2,'Resultater - Østdanmark'!I$3:I$504,'Resultater - Østdanmark'!J$3:J$504)),"&gt;0"))</f>
        <v>0</v>
      </c>
      <c r="H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forbrug'!H$3,'Forbrug af biomasse'!$B$2:$B$425,$F18)</f>
        <v>0</v>
      </c>
      <c r="I18">
        <f>IF(F18="Vestdanmark",-IF(A18="Halm",SUMIFS(IF(E18=År1,'Resultater - Vestdanmark'!H$3:H$504,IF(E18=År2,'Resultater - Vestdanmark'!I$3:I$504,'Resultater - Vestdanmark'!J$3:J$504)),'Resultater - Vestdanmark'!$F$3:$F$504,$A18,'Resultater - Vestdanmark'!H$3:H$504,"&lt;0"),0),-IF(A18="Halm",SUMIFS(IF(E18=År1,'Resultater - Østdanmark'!H$3:H$504,IF(E18=År2,'Resultater - Østdanmark'!I$3:I$504,'Resultater - Østdanmark'!J$3:J$504)),'Resultater - Østdanmark'!$F$3:$F$504,$A18,'Resultater - Østdanmark'!H$3:H$504,"&lt;0"),0))</f>
        <v>0</v>
      </c>
      <c r="J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forbrug'!J$3,'Forbrug af biomasse'!$B$2:$B$425,$F18)</f>
        <v>0</v>
      </c>
      <c r="K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forbrug'!K$3,'Forbrug af biomasse'!$B$2:$B$425,$F18)</f>
        <v>0</v>
      </c>
      <c r="L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forbrug'!L$3,'Forbrug af biomasse'!$B$2:$B$425,$F18)</f>
        <v>0</v>
      </c>
      <c r="M18" s="94">
        <f>IF(A18&lt;&gt;"Biogas",SUMIFS('Forbrug af biomasse'!$E$2:$E$425,'Forbrug af biomasse'!$C$2:$C$425,'Resultat-Produktion &amp; forbrug'!$A18,'Forbrug af biomasse'!$D$2:$D$425,'Resultat-Produktion &amp; forbrug'!$E18,'Forbrug af biomasse'!$A$2:$A$425,'Resultat-Produktion &amp; forbrug'!M$3,'Forbrug af biomasse'!$B$2:$B$425,$F18),G18)</f>
        <v>0</v>
      </c>
      <c r="N18" s="94">
        <f>SUMIFS('Forbrug af biomasse'!E:E,'Forbrug af biomasse'!C:C,'Resultat-Produktion &amp; forbrug'!$A18,'Forbrug af biomasse'!D:D,'Resultat-Produktion &amp; forbrug'!$E18,'Forbrug af biomasse'!G:G,1,'Forbrug af biomasse'!B:B,$F18)</f>
        <v>0</v>
      </c>
      <c r="O18" s="179">
        <f t="shared" si="10"/>
        <v>0</v>
      </c>
      <c r="P18" s="94">
        <f t="shared" si="4"/>
        <v>0</v>
      </c>
      <c r="Q18" s="180">
        <f t="shared" si="11"/>
        <v>0</v>
      </c>
      <c r="R18">
        <f>IFERROR(VLOOKUP(A18,[1]Energiindhold!$A$2:$C$11,3,FALSE),IFERROR(VLOOKUP(A18,[1]Biogasudbytte!$A$2:$B$18,2,FALSE)*[1]Energiindhold!$C$10,0))*P18</f>
        <v>0</v>
      </c>
      <c r="S18">
        <f>IF(A18&lt;&gt;"Biogas",IFERROR(VLOOKUP(A18,[1]Biogasudbytte!$A$2:$B$18,2,FALSE)*[1]Energiindhold!$C$10,0)*K18*IFERROR(VLOOKUP(A18,Biogasanlæg!$F$3:$G$8,2,FALSE),1)+IFERROR(VLOOKUP(A18,[1]Energiindhold!$A$2:$C$11,3,FALSE),0)*M18+IF(E18&lt;&gt;År1,R18,0),0)</f>
        <v>0</v>
      </c>
      <c r="T18">
        <f>IFERROR(VLOOKUP(A18,[1]Biogasudbytte!$A$2:$B$18,2,FALSE)*[1]Energiindhold!$C$10,0)*K18*IFERROR(VLOOKUP(A18,Biogasanlæg!$F$3:$G$8,2,FALSE),1)</f>
        <v>0</v>
      </c>
      <c r="U18" s="170">
        <f t="shared" si="12"/>
        <v>0</v>
      </c>
      <c r="V18" s="169">
        <f>P18*IFERROR(VLOOKUP(A18,[1]Tørstofindhold!A$2:B$24,2,FALSE),0)</f>
        <v>0</v>
      </c>
      <c r="W18">
        <f>IF(E18=År1,Q18,SUM(P18,Q18))*IFERROR(VLOOKUP(A18,[1]Tørstofindhold!A$2:B$24,2,FALSE),0)</f>
        <v>0</v>
      </c>
      <c r="X18">
        <f>K18*IFERROR(VLOOKUP(A18,[1]Tørstofindhold!A$2:B$24,2,FALSE),0)</f>
        <v>0</v>
      </c>
      <c r="Y18" s="170">
        <f t="shared" si="13"/>
        <v>0</v>
      </c>
      <c r="Z18">
        <f t="shared" ca="1" si="1"/>
        <v>0</v>
      </c>
      <c r="AA18">
        <f t="shared" ca="1" si="2"/>
        <v>0</v>
      </c>
      <c r="AB18" s="94">
        <f t="shared" si="8"/>
        <v>0</v>
      </c>
      <c r="AC18">
        <f>AB18*D18*10000*VLOOKUP(A18,[1]kcal!$A$2:$C$49,3,FALSE)/1000000000000</f>
        <v>0</v>
      </c>
    </row>
    <row r="19" spans="1:29" x14ac:dyDescent="0.25">
      <c r="A19" s="171" t="s">
        <v>6</v>
      </c>
      <c r="B19" s="171"/>
      <c r="C19" s="171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0</v>
      </c>
      <c r="D19" s="171">
        <v>1</v>
      </c>
      <c r="E19" s="171">
        <f t="shared" si="9"/>
        <v>2019</v>
      </c>
      <c r="F19" t="s">
        <v>23</v>
      </c>
      <c r="G19" s="94">
        <f>IF(F19="Vestdanmark",SUMIFS(IF(E19=År1,'Resultater - Vestdanmark'!H$3:H$504,IF(E19=År2,'Resultater - Vestdanmark'!I$3:I$504,'Resultater - Vestdanmark'!J$3:J$504)),'Resultater - Vestdanmark'!$F$3:$F$504,$A19,IF(E19=År1,'Resultater - Vestdanmark'!H$3:H$504,IF(E19=År2,'Resultater - Vestdanmark'!I$3:I$504,'Resultater - Vestdanmark'!J$3:J$504)),"&gt;0"),SUMIFS(IF(E19=År1,'Resultater - Østdanmark'!H$3:H$504,IF(E19=År2,'Resultater - Østdanmark'!I$3:I$504,'Resultater - Østdanmark'!J$3:J$504)),'Resultater - Østdanmark'!$F$3:$F$504,$A19,IF(E19=År1,'Resultater - Østdanmark'!H$3:H$504,IF(E19=År2,'Resultater - Østdanmark'!I$3:I$504,'Resultater - Østdanmark'!J$3:J$504)),"&gt;0"))</f>
        <v>185022.9677154524</v>
      </c>
      <c r="H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forbrug'!H$3,'Forbrug af biomasse'!$B$2:$B$425,$F19)</f>
        <v>0</v>
      </c>
      <c r="I19">
        <f>IF(F19="Vestdanmark",-IF(A19="Halm",SUMIFS(IF(E19=År1,'Resultater - Vestdanmark'!H$3:H$504,IF(E19=År2,'Resultater - Vestdanmark'!I$3:I$504,'Resultater - Vestdanmark'!J$3:J$504)),'Resultater - Vestdanmark'!$F$3:$F$504,$A19,'Resultater - Vestdanmark'!H$3:H$504,"&lt;0"),0),-IF(A19="Halm",SUMIFS(IF(E19=År1,'Resultater - Østdanmark'!H$3:H$504,IF(E19=År2,'Resultater - Østdanmark'!I$3:I$504,'Resultater - Østdanmark'!J$3:J$504)),'Resultater - Østdanmark'!$F$3:$F$504,$A19,'Resultater - Østdanmark'!H$3:H$504,"&lt;0"),0))</f>
        <v>0</v>
      </c>
      <c r="J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forbrug'!J$3,'Forbrug af biomasse'!$B$2:$B$425,$F19)</f>
        <v>261374.54615849949</v>
      </c>
      <c r="K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forbrug'!K$3,'Forbrug af biomasse'!$B$2:$B$425,$F19)</f>
        <v>0</v>
      </c>
      <c r="L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forbrug'!L$3,'Forbrug af biomasse'!$B$2:$B$425,$F19)</f>
        <v>0</v>
      </c>
      <c r="M19" s="94">
        <f>IF(A19&lt;&gt;"Biogas",SUMIFS('Forbrug af biomasse'!$E$2:$E$425,'Forbrug af biomasse'!$C$2:$C$425,'Resultat-Produktion &amp; forbrug'!$A19,'Forbrug af biomasse'!$D$2:$D$425,'Resultat-Produktion &amp; forbrug'!$E19,'Forbrug af biomasse'!$A$2:$A$425,'Resultat-Produktion &amp; forbrug'!M$3,'Forbrug af biomasse'!$B$2:$B$425,$F19),G19)</f>
        <v>0</v>
      </c>
      <c r="N19" s="94">
        <f>SUMIFS('Forbrug af biomasse'!E:E,'Forbrug af biomasse'!C:C,'Resultat-Produktion &amp; forbrug'!$A19,'Forbrug af biomasse'!D:D,'Resultat-Produktion &amp; forbrug'!$E19,'Forbrug af biomasse'!G:G,1,'Forbrug af biomasse'!B:B,$F19)</f>
        <v>0</v>
      </c>
      <c r="O19" s="179">
        <f t="shared" si="10"/>
        <v>-76351.578443047096</v>
      </c>
      <c r="P19" s="94">
        <f t="shared" si="4"/>
        <v>0</v>
      </c>
      <c r="Q19" s="180">
        <f t="shared" si="11"/>
        <v>0</v>
      </c>
      <c r="R19">
        <f>IFERROR(VLOOKUP(A19,[1]Energiindhold!$A$2:$C$11,3,FALSE),IFERROR(VLOOKUP(A19,[1]Biogasudbytte!$A$2:$B$18,2,FALSE)*[1]Energiindhold!$C$10,0))*P19</f>
        <v>0</v>
      </c>
      <c r="S19">
        <f>IF(A19&lt;&gt;"Biogas",IFERROR(VLOOKUP(A19,[1]Biogasudbytte!$A$2:$B$18,2,FALSE)*[1]Energiindhold!$C$10,0)*K19*IFERROR(VLOOKUP(A19,Biogasanlæg!$F$3:$G$8,2,FALSE),1)+IFERROR(VLOOKUP(A19,[1]Energiindhold!$A$2:$C$11,3,FALSE),0)*M19+IF(E19&lt;&gt;År1,R19,0),0)</f>
        <v>0</v>
      </c>
      <c r="T19">
        <f>IFERROR(VLOOKUP(A19,[1]Biogasudbytte!$A$2:$B$18,2,FALSE)*[1]Energiindhold!$C$10,0)*K19*IFERROR(VLOOKUP(A19,Biogasanlæg!$F$3:$G$8,2,FALSE),1)</f>
        <v>0</v>
      </c>
      <c r="U19" s="170">
        <f t="shared" si="12"/>
        <v>0</v>
      </c>
      <c r="V19" s="169">
        <f>P19*IFERROR(VLOOKUP(A19,[1]Tørstofindhold!A$2:B$24,2,FALSE),0)</f>
        <v>0</v>
      </c>
      <c r="W19">
        <f>IF(E19=År1,Q19,SUM(P19,Q19))*IFERROR(VLOOKUP(A19,[1]Tørstofindhold!A$2:B$24,2,FALSE),0)</f>
        <v>0</v>
      </c>
      <c r="X19">
        <f>K19*IFERROR(VLOOKUP(A19,[1]Tørstofindhold!A$2:B$24,2,FALSE),0)</f>
        <v>0</v>
      </c>
      <c r="Y19" s="170">
        <f t="shared" si="13"/>
        <v>0</v>
      </c>
      <c r="Z19">
        <f t="shared" si="1"/>
        <v>1</v>
      </c>
      <c r="AA19">
        <f t="shared" si="2"/>
        <v>0</v>
      </c>
      <c r="AB19" s="94">
        <f t="shared" si="8"/>
        <v>185022.9677154524</v>
      </c>
      <c r="AC19">
        <f>AB19*D19*10000*VLOOKUP(A19,[1]kcal!$A$2:$C$49,3,FALSE)/1000000000000</f>
        <v>7.2158957409026434E-2</v>
      </c>
    </row>
    <row r="20" spans="1:29" x14ac:dyDescent="0.25">
      <c r="A20" s="171" t="s">
        <v>67</v>
      </c>
      <c r="B20" s="171" t="s">
        <v>227</v>
      </c>
      <c r="C20" s="171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71">
        <v>0</v>
      </c>
      <c r="E20" s="171">
        <f t="shared" si="9"/>
        <v>2019</v>
      </c>
      <c r="F20" t="s">
        <v>23</v>
      </c>
      <c r="G20" s="94">
        <f>IF(F20="Vestdanmark",SUMIFS(IF(E20=År1,'Resultater - Vestdanmark'!H$3:H$504,IF(E20=År2,'Resultater - Vestdanmark'!I$3:I$504,'Resultater - Vestdanmark'!J$3:J$504)),'Resultater - Vestdanmark'!$F$3:$F$504,$A20,IF(E20=År1,'Resultater - Vestdanmark'!H$3:H$504,IF(E20=År2,'Resultater - Vestdanmark'!I$3:I$504,'Resultater - Vestdanmark'!J$3:J$504)),"&gt;0"),SUMIFS(IF(E20=År1,'Resultater - Østdanmark'!H$3:H$504,IF(E20=År2,'Resultater - Østdanmark'!I$3:I$504,'Resultater - Østdanmark'!J$3:J$504)),'Resultater - Østdanmark'!$F$3:$F$504,$A20,IF(E20=År1,'Resultater - Østdanmark'!H$3:H$504,IF(E20=År2,'Resultater - Østdanmark'!I$3:I$504,'Resultater - Østdanmark'!J$3:J$504)),"&gt;0"))</f>
        <v>2717336.5701075909</v>
      </c>
      <c r="H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forbrug'!H$3,'Forbrug af biomasse'!$B$2:$B$425,$F20)</f>
        <v>773085.89354292618</v>
      </c>
      <c r="I20">
        <f>IF(F20="Vestdanmark",-IF(A20="Halm",SUMIFS(IF(E20=År1,'Resultater - Vestdanmark'!H$3:H$504,IF(E20=År2,'Resultater - Vestdanmark'!I$3:I$504,'Resultater - Vestdanmark'!J$3:J$504)),'Resultater - Vestdanmark'!$F$3:$F$504,$A20,'Resultater - Vestdanmark'!H$3:H$504,"&lt;0"),0),-IF(A20="Halm",SUMIFS(IF(E20=År1,'Resultater - Østdanmark'!H$3:H$504,IF(E20=År2,'Resultater - Østdanmark'!I$3:I$504,'Resultater - Østdanmark'!J$3:J$504)),'Resultater - Østdanmark'!$F$3:$F$504,$A20,'Resultater - Østdanmark'!H$3:H$504,"&lt;0"),0))</f>
        <v>728216.84089200001</v>
      </c>
      <c r="J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forbrug'!J$3,'Forbrug af biomasse'!$B$2:$B$425,$F20)</f>
        <v>0</v>
      </c>
      <c r="K20" s="94">
        <f ca="1">SUMIFS('Forbrug af biomasse'!$E$2:$E$425,'Forbrug af biomasse'!$C$2:$C$425,'Resultat-Produktion &amp; forbrug'!$A20,'Forbrug af biomasse'!$D$2:$D$425,'Resultat-Produktion &amp; forbrug'!$E20,'Forbrug af biomasse'!$A$2:$A$425,'Resultat-Produktion &amp; forbrug'!K$3,'Forbrug af biomasse'!$B$2:$B$425,$F20)</f>
        <v>53194.904606816119</v>
      </c>
      <c r="L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forbrug'!L$3,'Forbrug af biomasse'!$B$2:$B$425,$F20)</f>
        <v>0</v>
      </c>
      <c r="M20" s="94">
        <f ca="1">IF(A20&lt;&gt;"Biogas",SUMIFS('Forbrug af biomasse'!$E$2:$E$425,'Forbrug af biomasse'!$C$2:$C$425,'Resultat-Produktion &amp; forbrug'!$A20,'Forbrug af biomasse'!$D$2:$D$425,'Resultat-Produktion &amp; forbrug'!$E20,'Forbrug af biomasse'!$A$2:$A$425,'Resultat-Produktion &amp; forbrug'!M$3,'Forbrug af biomasse'!$B$2:$B$425,$F20),G20)</f>
        <v>1162838.9310658472</v>
      </c>
      <c r="N20" s="94">
        <f ca="1">SUMIFS('Forbrug af biomasse'!E:E,'Forbrug af biomasse'!C:C,'Resultat-Produktion &amp; forbrug'!$A20,'Forbrug af biomasse'!D:D,'Resultat-Produktion &amp; forbrug'!$E20,'Forbrug af biomasse'!G:G,1,'Forbrug af biomasse'!B:B,$F20)</f>
        <v>0</v>
      </c>
      <c r="O20" s="179">
        <f t="shared" ca="1" si="10"/>
        <v>0</v>
      </c>
      <c r="P20" s="94">
        <f t="shared" ca="1" si="4"/>
        <v>0</v>
      </c>
      <c r="Q20" s="180">
        <f t="shared" ca="1" si="11"/>
        <v>1216033.8356726633</v>
      </c>
      <c r="R20">
        <f ca="1">IFERROR(VLOOKUP(A20,[1]Energiindhold!$A$2:$C$11,3,FALSE),IFERROR(VLOOKUP(A20,[1]Biogasudbytte!$A$2:$B$18,2,FALSE)*[1]Energiindhold!$C$10,0))*P20</f>
        <v>0</v>
      </c>
      <c r="S20">
        <f ca="1">IF(A20&lt;&gt;"Biogas",IFERROR(VLOOKUP(A20,[1]Biogasudbytte!$A$2:$B$18,2,FALSE)*[1]Energiindhold!$C$10,0)*K20*IFERROR(VLOOKUP(A20,Biogasanlæg!$F$3:$G$8,2,FALSE),1)+IFERROR(VLOOKUP(A20,[1]Energiindhold!$A$2:$C$11,3,FALSE),0)*M20+IF(E20&lt;&gt;År1,R20,0),0)</f>
        <v>12.325575345409394</v>
      </c>
      <c r="T20">
        <f ca="1">IFERROR(VLOOKUP(A20,[1]Biogasudbytte!$A$2:$B$18,2,FALSE)*[1]Energiindhold!$C$10,0)*K20*IFERROR(VLOOKUP(A20,Biogasanlæg!$F$3:$G$8,2,FALSE),1)</f>
        <v>0.30669735030678263</v>
      </c>
      <c r="U20" s="170">
        <f t="shared" ca="1" si="12"/>
        <v>12.018877995102612</v>
      </c>
      <c r="V20" s="169">
        <f ca="1">P20*IFERROR(VLOOKUP(A20,[1]Tørstofindhold!A$2:B$24,2,FALSE),0)</f>
        <v>0</v>
      </c>
      <c r="W20">
        <f ca="1">IF(E20=År1,Q20,SUM(P20,Q20))*IFERROR(VLOOKUP(A20,[1]Tørstofindhold!A$2:B$24,2,FALSE),0)</f>
        <v>1033628.7603217638</v>
      </c>
      <c r="X20">
        <f ca="1">K20*IFERROR(VLOOKUP(A20,[1]Tørstofindhold!A$2:B$24,2,FALSE),0)</f>
        <v>45215.6689157937</v>
      </c>
      <c r="Y20" s="170">
        <f t="shared" ca="1" si="13"/>
        <v>988413.09140597016</v>
      </c>
      <c r="Z20">
        <f t="shared" ca="1" si="1"/>
        <v>0</v>
      </c>
      <c r="AA20">
        <f t="shared" ca="1" si="2"/>
        <v>0</v>
      </c>
      <c r="AB20" s="94">
        <f t="shared" ca="1" si="8"/>
        <v>1162838.9310658486</v>
      </c>
      <c r="AC20">
        <f ca="1">AB20*D20*10000*VLOOKUP(A20,[1]kcal!$A$2:$C$49,3,FALSE)/1000000000000</f>
        <v>0</v>
      </c>
    </row>
    <row r="21" spans="1:29" x14ac:dyDescent="0.25">
      <c r="A21" s="171" t="s">
        <v>162</v>
      </c>
      <c r="B21" s="171" t="s">
        <v>230</v>
      </c>
      <c r="C21" s="171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1</v>
      </c>
      <c r="D21" s="171">
        <v>0</v>
      </c>
      <c r="E21" s="171">
        <f t="shared" si="9"/>
        <v>2019</v>
      </c>
      <c r="F21" t="s">
        <v>23</v>
      </c>
      <c r="G21" s="94">
        <f>IF(F21="Vestdanmark",SUMIFS(IF(E21=År1,'Resultater - Vestdanmark'!H$3:H$504,IF(E21=År2,'Resultater - Vestdanmark'!I$3:I$504,'Resultater - Vestdanmark'!J$3:J$504)),'Resultater - Vestdanmark'!$F$3:$F$504,$A21,IF(E21=År1,'Resultater - Vestdanmark'!H$3:H$504,IF(E21=År2,'Resultater - Vestdanmark'!I$3:I$504,'Resultater - Vestdanmark'!J$3:J$504)),"&gt;0"),SUMIFS(IF(E21=År1,'Resultater - Østdanmark'!H$3:H$504,IF(E21=År2,'Resultater - Østdanmark'!I$3:I$504,'Resultater - Østdanmark'!J$3:J$504)),'Resultater - Østdanmark'!$F$3:$F$504,$A21,IF(E21=År1,'Resultater - Østdanmark'!H$3:H$504,IF(E21=År2,'Resultater - Østdanmark'!I$3:I$504,'Resultater - Østdanmark'!J$3:J$504)),"&gt;0"))</f>
        <v>530462.48766233202</v>
      </c>
      <c r="H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forbrug'!H$3,'Forbrug af biomasse'!$B$2:$B$425,$F21)</f>
        <v>0</v>
      </c>
      <c r="I21">
        <f>IF(F21="Vestdanmark",-IF(A21="Halm",SUMIFS(IF(E21=År1,'Resultater - Vestdanmark'!H$3:H$504,IF(E21=År2,'Resultater - Vestdanmark'!I$3:I$504,'Resultater - Vestdanmark'!J$3:J$504)),'Resultater - Vestdanmark'!$F$3:$F$504,$A21,'Resultater - Vestdanmark'!H$3:H$504,"&lt;0"),0),-IF(A21="Halm",SUMIFS(IF(E21=År1,'Resultater - Østdanmark'!H$3:H$504,IF(E21=År2,'Resultater - Østdanmark'!I$3:I$504,'Resultater - Østdanmark'!J$3:J$504)),'Resultater - Østdanmark'!$F$3:$F$504,$A21,'Resultater - Østdanmark'!H$3:H$504,"&lt;0"),0))</f>
        <v>0</v>
      </c>
      <c r="J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forbrug'!J$3,'Forbrug af biomasse'!$B$2:$B$425,$F21)</f>
        <v>0</v>
      </c>
      <c r="K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forbrug'!K$3,'Forbrug af biomasse'!$B$2:$B$425,$F21)</f>
        <v>42.099811904105366</v>
      </c>
      <c r="L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forbrug'!L$3,'Forbrug af biomasse'!$B$2:$B$425,$F21)</f>
        <v>0</v>
      </c>
      <c r="M21" s="94">
        <f>IF(A21&lt;&gt;"Biogas",SUMIFS('Forbrug af biomasse'!$E$2:$E$425,'Forbrug af biomasse'!$C$2:$C$425,'Resultat-Produktion &amp; forbrug'!$A21,'Forbrug af biomasse'!$D$2:$D$425,'Resultat-Produktion &amp; forbrug'!$E21,'Forbrug af biomasse'!$A$2:$A$425,'Resultat-Produktion &amp; forbrug'!M$3,'Forbrug af biomasse'!$B$2:$B$425,$F21),G21)</f>
        <v>530420.38785042788</v>
      </c>
      <c r="N21" s="94">
        <f>SUMIFS('Forbrug af biomasse'!E:E,'Forbrug af biomasse'!C:C,'Resultat-Produktion &amp; forbrug'!$A21,'Forbrug af biomasse'!D:D,'Resultat-Produktion &amp; forbrug'!$E21,'Forbrug af biomasse'!G:G,1,'Forbrug af biomasse'!B:B,$F21)</f>
        <v>0</v>
      </c>
      <c r="O21" s="179">
        <f t="shared" si="10"/>
        <v>0</v>
      </c>
      <c r="P21" s="94">
        <f t="shared" si="4"/>
        <v>0</v>
      </c>
      <c r="Q21" s="180">
        <f t="shared" si="11"/>
        <v>530462.48766233202</v>
      </c>
      <c r="R21">
        <f>IFERROR(VLOOKUP(A21,[1]Energiindhold!$A$2:$C$11,3,FALSE),IFERROR(VLOOKUP(A21,[1]Biogasudbytte!$A$2:$B$18,2,FALSE)*[1]Energiindhold!$C$10,0))*P21</f>
        <v>0</v>
      </c>
      <c r="S21">
        <f>IF(A21&lt;&gt;"Biogas",IFERROR(VLOOKUP(A21,[1]Biogasudbytte!$A$2:$B$18,2,FALSE)*[1]Energiindhold!$C$10,0)*K21*IFERROR(VLOOKUP(A21,Biogasanlæg!$F$3:$G$8,2,FALSE),1)+IFERROR(VLOOKUP(A21,[1]Energiindhold!$A$2:$C$11,3,FALSE),0)*M21+IF(E21&lt;&gt;År1,R21,0),0)</f>
        <v>9.4692532209947728</v>
      </c>
      <c r="T21">
        <f>IFERROR(VLOOKUP(A21,[1]Biogasudbytte!$A$2:$B$18,2,FALSE)*[1]Energiindhold!$C$10,0)*K21*IFERROR(VLOOKUP(A21,Biogasanlæg!$F$3:$G$8,2,FALSE),1)</f>
        <v>7.148842760000421E-5</v>
      </c>
      <c r="U21" s="170">
        <f t="shared" si="12"/>
        <v>9.4691817325671721</v>
      </c>
      <c r="V21" s="169">
        <f>P21*IFERROR(VLOOKUP(A21,[1]Tørstofindhold!A$2:B$24,2,FALSE),0)</f>
        <v>0</v>
      </c>
      <c r="W21">
        <f>IF(E21=År1,Q21,SUM(P21,Q21))*IFERROR(VLOOKUP(A21,[1]Tørstofindhold!A$2:B$24,2,FALSE),0)</f>
        <v>159138.74629869961</v>
      </c>
      <c r="X21">
        <f>K21*IFERROR(VLOOKUP(A21,[1]Tørstofindhold!A$2:B$24,2,FALSE),0)</f>
        <v>12.629943571231609</v>
      </c>
      <c r="Y21" s="170">
        <f t="shared" si="13"/>
        <v>159126.11635512838</v>
      </c>
      <c r="Z21">
        <f t="shared" si="1"/>
        <v>0</v>
      </c>
      <c r="AA21">
        <f t="shared" si="2"/>
        <v>0</v>
      </c>
      <c r="AB21" s="94">
        <f t="shared" si="8"/>
        <v>530420.38785042788</v>
      </c>
      <c r="AC21">
        <f>AB21*D21*10000*VLOOKUP(A21,[1]kcal!$A$2:$C$49,3,FALSE)/1000000000000</f>
        <v>0</v>
      </c>
    </row>
    <row r="22" spans="1:29" x14ac:dyDescent="0.25">
      <c r="A22" t="s">
        <v>159</v>
      </c>
      <c r="B22" s="171"/>
      <c r="C22" s="171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0</v>
      </c>
      <c r="D22" s="171">
        <v>1</v>
      </c>
      <c r="E22" s="171">
        <f t="shared" si="9"/>
        <v>2019</v>
      </c>
      <c r="F22" t="s">
        <v>23</v>
      </c>
      <c r="G22" s="94">
        <f>IF(F22="Vestdanmark",SUMIFS(IF(E22=År1,'Resultater - Vestdanmark'!H$3:H$504,IF(E22=År2,'Resultater - Vestdanmark'!I$3:I$504,'Resultater - Vestdanmark'!J$3:J$504)),'Resultater - Vestdanmark'!$F$3:$F$504,$A22,IF(E22=År1,'Resultater - Vestdanmark'!H$3:H$504,IF(E22=År2,'Resultater - Vestdanmark'!I$3:I$504,'Resultater - Vestdanmark'!J$3:J$504)),"&gt;0"),SUMIFS(IF(E22=År1,'Resultater - Østdanmark'!H$3:H$504,IF(E22=År2,'Resultater - Østdanmark'!I$3:I$504,'Resultater - Østdanmark'!J$3:J$504)),'Resultater - Østdanmark'!$F$3:$F$504,$A22,IF(E22=År1,'Resultater - Østdanmark'!H$3:H$504,IF(E22=År2,'Resultater - Østdanmark'!I$3:I$504,'Resultater - Østdanmark'!J$3:J$504)),"&gt;0"))</f>
        <v>0</v>
      </c>
      <c r="H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forbrug'!H$3,'Forbrug af biomasse'!$B$2:$B$425,$F22)</f>
        <v>4828427.5390456235</v>
      </c>
      <c r="I22">
        <f>IF(F22="Vestdanmark",-IF(A22="Halm",SUMIFS(IF(E22=År1,'Resultater - Vestdanmark'!H$3:H$504,IF(E22=År2,'Resultater - Vestdanmark'!I$3:I$504,'Resultater - Vestdanmark'!J$3:J$504)),'Resultater - Vestdanmark'!$F$3:$F$504,$A22,'Resultater - Vestdanmark'!H$3:H$504,"&lt;0"),0),-IF(A22="Halm",SUMIFS(IF(E22=År1,'Resultater - Østdanmark'!H$3:H$504,IF(E22=År2,'Resultater - Østdanmark'!I$3:I$504,'Resultater - Østdanmark'!J$3:J$504)),'Resultater - Østdanmark'!$F$3:$F$504,$A22,'Resultater - Østdanmark'!H$3:H$504,"&lt;0"),0))</f>
        <v>0</v>
      </c>
      <c r="J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forbrug'!J$3,'Forbrug af biomasse'!$B$2:$B$425,$F22)</f>
        <v>0</v>
      </c>
      <c r="K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forbrug'!K$3,'Forbrug af biomasse'!$B$2:$B$425,$F22)</f>
        <v>0</v>
      </c>
      <c r="L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forbrug'!L$3,'Forbrug af biomasse'!$B$2:$B$425,$F22)</f>
        <v>0</v>
      </c>
      <c r="M22" s="94">
        <f>IF(A22&lt;&gt;"Biogas",SUMIFS('Forbrug af biomasse'!$E$2:$E$425,'Forbrug af biomasse'!$C$2:$C$425,'Resultat-Produktion &amp; forbrug'!$A22,'Forbrug af biomasse'!$D$2:$D$425,'Resultat-Produktion &amp; forbrug'!$E22,'Forbrug af biomasse'!$A$2:$A$425,'Resultat-Produktion &amp; forbrug'!M$3,'Forbrug af biomasse'!$B$2:$B$425,$F22),G22)</f>
        <v>0</v>
      </c>
      <c r="N22" s="94">
        <f>SUMIFS('Forbrug af biomasse'!E:E,'Forbrug af biomasse'!C:C,'Resultat-Produktion &amp; forbrug'!$A22,'Forbrug af biomasse'!D:D,'Resultat-Produktion &amp; forbrug'!$E22,'Forbrug af biomasse'!G:G,1,'Forbrug af biomasse'!B:B,$F22)</f>
        <v>0</v>
      </c>
      <c r="O22" s="179">
        <f t="shared" si="10"/>
        <v>-4828427.5390456235</v>
      </c>
      <c r="P22" s="94">
        <f t="shared" si="4"/>
        <v>0</v>
      </c>
      <c r="Q22" s="180">
        <f t="shared" si="11"/>
        <v>0</v>
      </c>
      <c r="R22">
        <f>IFERROR(VLOOKUP(A22,[1]Energiindhold!$A$2:$C$11,3,FALSE),IFERROR(VLOOKUP(A22,[1]Biogasudbytte!$A$2:$B$18,2,FALSE)*[1]Energiindhold!$C$10,0))*P22</f>
        <v>0</v>
      </c>
      <c r="S22">
        <f>IF(A22&lt;&gt;"Biogas",IFERROR(VLOOKUP(A22,[1]Biogasudbytte!$A$2:$B$18,2,FALSE)*[1]Energiindhold!$C$10,0)*K22*IFERROR(VLOOKUP(A22,Biogasanlæg!$F$3:$G$8,2,FALSE),1)+IFERROR(VLOOKUP(A22,[1]Energiindhold!$A$2:$C$11,3,FALSE),0)*M22+IF(E22&lt;&gt;År1,R22,0),0)</f>
        <v>0</v>
      </c>
      <c r="T22">
        <f>IFERROR(VLOOKUP(A22,[1]Biogasudbytte!$A$2:$B$18,2,FALSE)*[1]Energiindhold!$C$10,0)*K22*IFERROR(VLOOKUP(A22,Biogasanlæg!$F$3:$G$8,2,FALSE),1)</f>
        <v>0</v>
      </c>
      <c r="U22" s="170">
        <f t="shared" si="12"/>
        <v>0</v>
      </c>
      <c r="V22" s="169">
        <f>P22*IFERROR(VLOOKUP(A22,[1]Tørstofindhold!A$2:B$24,2,FALSE),0)</f>
        <v>0</v>
      </c>
      <c r="W22">
        <f>IF(E22=År1,Q22,SUM(P22,Q22))*IFERROR(VLOOKUP(A22,[1]Tørstofindhold!A$2:B$24,2,FALSE),0)</f>
        <v>0</v>
      </c>
      <c r="X22">
        <f>K22*IFERROR(VLOOKUP(A22,[1]Tørstofindhold!A$2:B$24,2,FALSE),0)</f>
        <v>0</v>
      </c>
      <c r="Y22" s="170">
        <f t="shared" si="13"/>
        <v>0</v>
      </c>
      <c r="Z22">
        <f t="shared" ca="1" si="1"/>
        <v>1</v>
      </c>
      <c r="AA22">
        <f t="shared" ca="1" si="2"/>
        <v>0</v>
      </c>
      <c r="AB22" s="94">
        <f t="shared" si="8"/>
        <v>-4828427.5390456235</v>
      </c>
      <c r="AC22">
        <f>AB22*D22*10000*VLOOKUP(A22,[1]kcal!$A$2:$C$49,3,FALSE)/1000000000000</f>
        <v>-2.7522036972560056</v>
      </c>
    </row>
    <row r="23" spans="1:29" x14ac:dyDescent="0.25">
      <c r="A23" s="171" t="s">
        <v>103</v>
      </c>
      <c r="B23" s="171" t="s">
        <v>230</v>
      </c>
      <c r="C23" s="171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1</v>
      </c>
      <c r="D23" s="171">
        <v>0</v>
      </c>
      <c r="E23" s="171">
        <f t="shared" si="9"/>
        <v>2019</v>
      </c>
      <c r="F23" t="s">
        <v>23</v>
      </c>
      <c r="G23" s="94">
        <f>IF(F23="Vestdanmark",SUMIFS(IF(E23=År1,'Resultater - Vestdanmark'!H$3:H$504,IF(E23=År2,'Resultater - Vestdanmark'!I$3:I$504,'Resultater - Vestdanmark'!J$3:J$504)),'Resultater - Vestdanmark'!$F$3:$F$504,$A23,IF(E23=År1,'Resultater - Vestdanmark'!H$3:H$504,IF(E23=År2,'Resultater - Vestdanmark'!I$3:I$504,'Resultater - Vestdanmark'!J$3:J$504)),"&gt;0"),SUMIFS(IF(E23=År1,'Resultater - Østdanmark'!H$3:H$504,IF(E23=År2,'Resultater - Østdanmark'!I$3:I$504,'Resultater - Østdanmark'!J$3:J$504)),'Resultater - Østdanmark'!$F$3:$F$504,$A23,IF(E23=År1,'Resultater - Østdanmark'!H$3:H$504,IF(E23=År2,'Resultater - Østdanmark'!I$3:I$504,'Resultater - Østdanmark'!J$3:J$504)),"&gt;0"))</f>
        <v>513042.22037196398</v>
      </c>
      <c r="H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forbrug'!H$3,'Forbrug af biomasse'!$B$2:$B$425,$F23)</f>
        <v>0</v>
      </c>
      <c r="I23">
        <f>IF(F23="Vestdanmark",-IF(A23="Halm",SUMIFS(IF(E23=År1,'Resultater - Vestdanmark'!H$3:H$504,IF(E23=År2,'Resultater - Vestdanmark'!I$3:I$504,'Resultater - Vestdanmark'!J$3:J$504)),'Resultater - Vestdanmark'!$F$3:$F$504,$A23,'Resultater - Vestdanmark'!H$3:H$504,"&lt;0"),0),-IF(A23="Halm",SUMIFS(IF(E23=År1,'Resultater - Østdanmark'!H$3:H$504,IF(E23=År2,'Resultater - Østdanmark'!I$3:I$504,'Resultater - Østdanmark'!J$3:J$504)),'Resultater - Østdanmark'!$F$3:$F$504,$A23,'Resultater - Østdanmark'!H$3:H$504,"&lt;0"),0))</f>
        <v>0</v>
      </c>
      <c r="J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forbrug'!J$3,'Forbrug af biomasse'!$B$2:$B$425,$F23)</f>
        <v>0</v>
      </c>
      <c r="K23" s="94">
        <f ca="1">SUMIFS('Forbrug af biomasse'!$E$2:$E$425,'Forbrug af biomasse'!$C$2:$C$425,'Resultat-Produktion &amp; forbrug'!$A23,'Forbrug af biomasse'!$D$2:$D$425,'Resultat-Produktion &amp; forbrug'!$E23,'Forbrug af biomasse'!$A$2:$A$425,'Resultat-Produktion &amp; forbrug'!K$3,'Forbrug af biomasse'!$B$2:$B$425,$F23)</f>
        <v>716103.75203569303</v>
      </c>
      <c r="L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forbrug'!L$3,'Forbrug af biomasse'!$B$2:$B$425,$F23)</f>
        <v>0</v>
      </c>
      <c r="M23" s="94">
        <f>IF(A23&lt;&gt;"Biogas",SUMIFS('Forbrug af biomasse'!$E$2:$E$425,'Forbrug af biomasse'!$C$2:$C$425,'Resultat-Produktion &amp; forbrug'!$A23,'Forbrug af biomasse'!$D$2:$D$425,'Resultat-Produktion &amp; forbrug'!$E23,'Forbrug af biomasse'!$A$2:$A$425,'Resultat-Produktion &amp; forbrug'!M$3,'Forbrug af biomasse'!$B$2:$B$425,$F23),G23)</f>
        <v>0</v>
      </c>
      <c r="N23" s="94">
        <f>SUMIFS('Forbrug af biomasse'!E:E,'Forbrug af biomasse'!C:C,'Resultat-Produktion &amp; forbrug'!$A23,'Forbrug af biomasse'!D:D,'Resultat-Produktion &amp; forbrug'!$E23,'Forbrug af biomasse'!G:G,1,'Forbrug af biomasse'!B:B,$F23)</f>
        <v>0</v>
      </c>
      <c r="O23" s="179">
        <f t="shared" ca="1" si="10"/>
        <v>-203061.53166372905</v>
      </c>
      <c r="P23" s="94">
        <f t="shared" ca="1" si="4"/>
        <v>0</v>
      </c>
      <c r="Q23" s="180">
        <f t="shared" ca="1" si="11"/>
        <v>716103.75203569303</v>
      </c>
      <c r="R23">
        <f ca="1">IFERROR(VLOOKUP(A23,[1]Energiindhold!$A$2:$C$11,3,FALSE),IFERROR(VLOOKUP(A23,[1]Biogasudbytte!$A$2:$B$18,2,FALSE)*[1]Energiindhold!$C$10,0))*P23</f>
        <v>0</v>
      </c>
      <c r="S23">
        <f ca="1">IF(A23&lt;&gt;"Biogas",IFERROR(VLOOKUP(A23,[1]Biogasudbytte!$A$2:$B$18,2,FALSE)*[1]Energiindhold!$C$10,0)*K23*IFERROR(VLOOKUP(A23,Biogasanlæg!$F$3:$G$8,2,FALSE),1)+IFERROR(VLOOKUP(A23,[1]Energiindhold!$A$2:$C$11,3,FALSE),0)*M23+IF(E23&lt;&gt;År1,R23,0),0)</f>
        <v>2.637525053399659</v>
      </c>
      <c r="T23">
        <f ca="1">IFERROR(VLOOKUP(A23,[1]Biogasudbytte!$A$2:$B$18,2,FALSE)*[1]Energiindhold!$C$10,0)*K23*IFERROR(VLOOKUP(A23,Biogasanlæg!$F$3:$G$8,2,FALSE),1)</f>
        <v>2.637525053399659</v>
      </c>
      <c r="U23" s="170">
        <f t="shared" ca="1" si="12"/>
        <v>0</v>
      </c>
      <c r="V23" s="169">
        <f ca="1">P23*IFERROR(VLOOKUP(A23,[1]Tørstofindhold!A$2:B$24,2,FALSE),0)</f>
        <v>0</v>
      </c>
      <c r="W23">
        <f ca="1">IF(E23=År1,Q23,SUM(P23,Q23))*IFERROR(VLOOKUP(A23,[1]Tørstofindhold!A$2:B$24,2,FALSE),0)</f>
        <v>300763.57585499104</v>
      </c>
      <c r="X23">
        <f ca="1">K23*IFERROR(VLOOKUP(A23,[1]Tørstofindhold!A$2:B$24,2,FALSE),0)</f>
        <v>300763.57585499104</v>
      </c>
      <c r="Y23" s="170">
        <f t="shared" ca="1" si="13"/>
        <v>0</v>
      </c>
      <c r="Z23">
        <f t="shared" ca="1" si="1"/>
        <v>1</v>
      </c>
      <c r="AA23">
        <f t="shared" ca="1" si="2"/>
        <v>0</v>
      </c>
      <c r="AB23" s="94">
        <f t="shared" ca="1" si="8"/>
        <v>-203061.53166372905</v>
      </c>
      <c r="AC23">
        <f ca="1">AB23*D23*10000*VLOOKUP(A23,[1]kcal!$A$2:$C$49,3,FALSE)/1000000000000</f>
        <v>0</v>
      </c>
    </row>
    <row r="24" spans="1:29" x14ac:dyDescent="0.25">
      <c r="A24" s="171" t="s">
        <v>56</v>
      </c>
      <c r="B24" s="171"/>
      <c r="C24" s="171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71">
        <v>0</v>
      </c>
      <c r="E24" s="171">
        <f t="shared" si="9"/>
        <v>2019</v>
      </c>
      <c r="F24" t="s">
        <v>23</v>
      </c>
      <c r="G24" s="94">
        <f>IF(F24="Vestdanmark",SUMIFS(IF(E24=År1,'Resultater - Vestdanmark'!H$3:H$504,IF(E24=År2,'Resultater - Vestdanmark'!I$3:I$504,'Resultater - Vestdanmark'!J$3:J$504)),'Resultater - Vestdanmark'!$F$3:$F$504,$A24,IF(E24=År1,'Resultater - Vestdanmark'!H$3:H$504,IF(E24=År2,'Resultater - Vestdanmark'!I$3:I$504,'Resultater - Vestdanmark'!J$3:J$504)),"&gt;0"),SUMIFS(IF(E24=År1,'Resultater - Østdanmark'!H$3:H$504,IF(E24=År2,'Resultater - Østdanmark'!I$3:I$504,'Resultater - Østdanmark'!J$3:J$504)),'Resultater - Østdanmark'!$F$3:$F$504,$A24,IF(E24=År1,'Resultater - Østdanmark'!H$3:H$504,IF(E24=År2,'Resultater - Østdanmark'!I$3:I$504,'Resultater - Østdanmark'!J$3:J$504)),"&gt;0"))</f>
        <v>766472.09789043549</v>
      </c>
      <c r="H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forbrug'!H$3,'Forbrug af biomasse'!$B$2:$B$425,$F24)</f>
        <v>0</v>
      </c>
      <c r="I24">
        <f>IF(F24="Vestdanmark",-IF(A24="Halm",SUMIFS(IF(E24=År1,'Resultater - Vestdanmark'!H$3:H$504,IF(E24=År2,'Resultater - Vestdanmark'!I$3:I$504,'Resultater - Vestdanmark'!J$3:J$504)),'Resultater - Vestdanmark'!$F$3:$F$504,$A24,'Resultater - Vestdanmark'!H$3:H$504,"&lt;0"),0),-IF(A24="Halm",SUMIFS(IF(E24=År1,'Resultater - Østdanmark'!H$3:H$504,IF(E24=År2,'Resultater - Østdanmark'!I$3:I$504,'Resultater - Østdanmark'!J$3:J$504)),'Resultater - Østdanmark'!$F$3:$F$504,$A24,'Resultater - Østdanmark'!H$3:H$504,"&lt;0"),0))</f>
        <v>0</v>
      </c>
      <c r="J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forbrug'!J$3,'Forbrug af biomasse'!$B$2:$B$425,$F24)</f>
        <v>0</v>
      </c>
      <c r="K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forbrug'!K$3,'Forbrug af biomasse'!$B$2:$B$425,$F24)</f>
        <v>0</v>
      </c>
      <c r="L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forbrug'!L$3,'Forbrug af biomasse'!$B$2:$B$425,$F24)</f>
        <v>0</v>
      </c>
      <c r="M24" s="94">
        <f>IF(A24&lt;&gt;"Biogas",SUMIFS('Forbrug af biomasse'!$E$2:$E$425,'Forbrug af biomasse'!$C$2:$C$425,'Resultat-Produktion &amp; forbrug'!$A24,'Forbrug af biomasse'!$D$2:$D$425,'Resultat-Produktion &amp; forbrug'!$E24,'Forbrug af biomasse'!$A$2:$A$425,'Resultat-Produktion &amp; forbrug'!M$3,'Forbrug af biomasse'!$B$2:$B$425,$F24),G24)</f>
        <v>0</v>
      </c>
      <c r="N24" s="94">
        <f>SUMIFS('Forbrug af biomasse'!E:E,'Forbrug af biomasse'!C:C,'Resultat-Produktion &amp; forbrug'!$A24,'Forbrug af biomasse'!D:D,'Resultat-Produktion &amp; forbrug'!$E24,'Forbrug af biomasse'!G:G,1,'Forbrug af biomasse'!B:B,$F24)</f>
        <v>0</v>
      </c>
      <c r="O24" s="179">
        <f t="shared" si="10"/>
        <v>766472.09789043549</v>
      </c>
      <c r="P24" s="94">
        <f t="shared" si="4"/>
        <v>0</v>
      </c>
      <c r="Q24" s="180">
        <f t="shared" si="11"/>
        <v>0</v>
      </c>
      <c r="R24">
        <f>IFERROR(VLOOKUP(A24,[1]Energiindhold!$A$2:$C$11,3,FALSE),IFERROR(VLOOKUP(A24,[1]Biogasudbytte!$A$2:$B$18,2,FALSE)*[1]Energiindhold!$C$10,0))*P24</f>
        <v>0</v>
      </c>
      <c r="S24">
        <f>IF(A24&lt;&gt;"Biogas",IFERROR(VLOOKUP(A24,[1]Biogasudbytte!$A$2:$B$18,2,FALSE)*[1]Energiindhold!$C$10,0)*K24*IFERROR(VLOOKUP(A24,Biogasanlæg!$F$3:$G$8,2,FALSE),1)+IFERROR(VLOOKUP(A24,[1]Energiindhold!$A$2:$C$11,3,FALSE),0)*M24+IF(E24&lt;&gt;År1,R24,0),0)</f>
        <v>0</v>
      </c>
      <c r="T24">
        <f>IFERROR(VLOOKUP(A24,[1]Biogasudbytte!$A$2:$B$18,2,FALSE)*[1]Energiindhold!$C$10,0)*K24*IFERROR(VLOOKUP(A24,Biogasanlæg!$F$3:$G$8,2,FALSE),1)</f>
        <v>0</v>
      </c>
      <c r="U24" s="170">
        <f t="shared" si="12"/>
        <v>0</v>
      </c>
      <c r="V24" s="169">
        <f>P24*IFERROR(VLOOKUP(A24,[1]Tørstofindhold!A$2:B$24,2,FALSE),0)</f>
        <v>0</v>
      </c>
      <c r="W24">
        <f>IF(E24=År1,Q24,SUM(P24,Q24))*IFERROR(VLOOKUP(A24,[1]Tørstofindhold!A$2:B$24,2,FALSE),0)</f>
        <v>0</v>
      </c>
      <c r="X24">
        <f>K24*IFERROR(VLOOKUP(A24,[1]Tørstofindhold!A$2:B$24,2,FALSE),0)</f>
        <v>0</v>
      </c>
      <c r="Y24" s="170">
        <f t="shared" si="13"/>
        <v>0</v>
      </c>
      <c r="Z24">
        <f t="shared" si="1"/>
        <v>0</v>
      </c>
      <c r="AA24">
        <f t="shared" si="2"/>
        <v>1</v>
      </c>
      <c r="AB24" s="94">
        <f t="shared" si="8"/>
        <v>766472.09789043549</v>
      </c>
      <c r="AC24">
        <f>AB24*D24*10000*VLOOKUP(A24,[1]kcal!$A$2:$C$49,3,FALSE)/1000000000000</f>
        <v>0</v>
      </c>
    </row>
    <row r="25" spans="1:29" x14ac:dyDescent="0.25">
      <c r="A25" s="171" t="s">
        <v>12</v>
      </c>
      <c r="B25" s="171"/>
      <c r="C25" s="171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0</v>
      </c>
      <c r="D25" s="171">
        <v>1</v>
      </c>
      <c r="E25" s="171">
        <f t="shared" si="9"/>
        <v>2019</v>
      </c>
      <c r="F25" t="s">
        <v>23</v>
      </c>
      <c r="G25" s="94">
        <f>IF(F25="Vestdanmark",SUMIFS(IF(E25=År1,'Resultater - Vestdanmark'!H$3:H$504,IF(E25=År2,'Resultater - Vestdanmark'!I$3:I$504,'Resultater - Vestdanmark'!J$3:J$504)),'Resultater - Vestdanmark'!$F$3:$F$504,$A25,IF(E25=År1,'Resultater - Vestdanmark'!H$3:H$504,IF(E25=År2,'Resultater - Vestdanmark'!I$3:I$504,'Resultater - Vestdanmark'!J$3:J$504)),"&gt;0"),SUMIFS(IF(E25=År1,'Resultater - Østdanmark'!H$3:H$504,IF(E25=År2,'Resultater - Østdanmark'!I$3:I$504,'Resultater - Østdanmark'!J$3:J$504)),'Resultater - Østdanmark'!$F$3:$F$504,$A25,IF(E25=År1,'Resultater - Østdanmark'!H$3:H$504,IF(E25=År2,'Resultater - Østdanmark'!I$3:I$504,'Resultater - Østdanmark'!J$3:J$504)),"&gt;0"))</f>
        <v>2146636.3631328358</v>
      </c>
      <c r="H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forbrug'!H$3,'Forbrug af biomasse'!$B$2:$B$425,$F25)</f>
        <v>0</v>
      </c>
      <c r="I25">
        <f>IF(F25="Vestdanmark",-IF(A25="Halm",SUMIFS(IF(E25=År1,'Resultater - Vestdanmark'!H$3:H$504,IF(E25=År2,'Resultater - Vestdanmark'!I$3:I$504,'Resultater - Vestdanmark'!J$3:J$504)),'Resultater - Vestdanmark'!$F$3:$F$504,$A25,'Resultater - Vestdanmark'!H$3:H$504,"&lt;0"),0),-IF(A25="Halm",SUMIFS(IF(E25=År1,'Resultater - Østdanmark'!H$3:H$504,IF(E25=År2,'Resultater - Østdanmark'!I$3:I$504,'Resultater - Østdanmark'!J$3:J$504)),'Resultater - Østdanmark'!$F$3:$F$504,$A25,'Resultater - Østdanmark'!H$3:H$504,"&lt;0"),0))</f>
        <v>0</v>
      </c>
      <c r="J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forbrug'!J$3,'Forbrug af biomasse'!$B$2:$B$425,$F25)</f>
        <v>119523.03367046962</v>
      </c>
      <c r="K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forbrug'!K$3,'Forbrug af biomasse'!$B$2:$B$425,$F25)</f>
        <v>0</v>
      </c>
      <c r="L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forbrug'!L$3,'Forbrug af biomasse'!$B$2:$B$425,$F25)</f>
        <v>0</v>
      </c>
      <c r="M25" s="94">
        <f>IF(A25&lt;&gt;"Biogas",SUMIFS('Forbrug af biomasse'!$E$2:$E$425,'Forbrug af biomasse'!$C$2:$C$425,'Resultat-Produktion &amp; forbrug'!$A25,'Forbrug af biomasse'!$D$2:$D$425,'Resultat-Produktion &amp; forbrug'!$E25,'Forbrug af biomasse'!$A$2:$A$425,'Resultat-Produktion &amp; forbrug'!M$3,'Forbrug af biomasse'!$B$2:$B$425,$F25),G25)</f>
        <v>0</v>
      </c>
      <c r="N25" s="94">
        <f>SUMIFS('Forbrug af biomasse'!E:E,'Forbrug af biomasse'!C:C,'Resultat-Produktion &amp; forbrug'!$A25,'Forbrug af biomasse'!D:D,'Resultat-Produktion &amp; forbrug'!$E25,'Forbrug af biomasse'!G:G,1,'Forbrug af biomasse'!B:B,$F25)</f>
        <v>0</v>
      </c>
      <c r="O25" s="179">
        <f t="shared" si="10"/>
        <v>2027113.3294623662</v>
      </c>
      <c r="P25" s="94">
        <f t="shared" si="4"/>
        <v>0</v>
      </c>
      <c r="Q25" s="180">
        <f t="shared" si="11"/>
        <v>0</v>
      </c>
      <c r="R25">
        <f>IFERROR(VLOOKUP(A25,[1]Energiindhold!$A$2:$C$11,3,FALSE),IFERROR(VLOOKUP(A25,[1]Biogasudbytte!$A$2:$B$18,2,FALSE)*[1]Energiindhold!$C$10,0))*P25</f>
        <v>0</v>
      </c>
      <c r="S25">
        <f>IF(A25&lt;&gt;"Biogas",IFERROR(VLOOKUP(A25,[1]Biogasudbytte!$A$2:$B$18,2,FALSE)*[1]Energiindhold!$C$10,0)*K25*IFERROR(VLOOKUP(A25,Biogasanlæg!$F$3:$G$8,2,FALSE),1)+IFERROR(VLOOKUP(A25,[1]Energiindhold!$A$2:$C$11,3,FALSE),0)*M25+IF(E25&lt;&gt;År1,R25,0),0)</f>
        <v>0</v>
      </c>
      <c r="T25">
        <f>IFERROR(VLOOKUP(A25,[1]Biogasudbytte!$A$2:$B$18,2,FALSE)*[1]Energiindhold!$C$10,0)*K25*IFERROR(VLOOKUP(A25,Biogasanlæg!$F$3:$G$8,2,FALSE),1)</f>
        <v>0</v>
      </c>
      <c r="U25" s="170">
        <f t="shared" si="12"/>
        <v>0</v>
      </c>
      <c r="V25" s="169">
        <f>P25*IFERROR(VLOOKUP(A25,[1]Tørstofindhold!A$2:B$24,2,FALSE),0)</f>
        <v>0</v>
      </c>
      <c r="W25">
        <f>IF(E25=År1,Q25,SUM(P25,Q25))*IFERROR(VLOOKUP(A25,[1]Tørstofindhold!A$2:B$24,2,FALSE),0)</f>
        <v>0</v>
      </c>
      <c r="X25">
        <f>K25*IFERROR(VLOOKUP(A25,[1]Tørstofindhold!A$2:B$24,2,FALSE),0)</f>
        <v>0</v>
      </c>
      <c r="Y25" s="170">
        <f t="shared" si="13"/>
        <v>0</v>
      </c>
      <c r="Z25">
        <f t="shared" ca="1" si="1"/>
        <v>0</v>
      </c>
      <c r="AA25">
        <f t="shared" ca="1" si="2"/>
        <v>1</v>
      </c>
      <c r="AB25" s="94">
        <f t="shared" si="8"/>
        <v>2146636.3631328358</v>
      </c>
      <c r="AC25">
        <f>AB25*D25*10000*VLOOKUP(A25,[1]kcal!$A$2:$C$49,3,FALSE)/1000000000000</f>
        <v>1.6743763632436117</v>
      </c>
    </row>
    <row r="26" spans="1:29" x14ac:dyDescent="0.25">
      <c r="A26" s="171" t="s">
        <v>48</v>
      </c>
      <c r="B26" s="171" t="s">
        <v>227</v>
      </c>
      <c r="C26" s="171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1</v>
      </c>
      <c r="D26" s="171">
        <v>1</v>
      </c>
      <c r="E26" s="171">
        <f t="shared" si="9"/>
        <v>2019</v>
      </c>
      <c r="F26" t="s">
        <v>23</v>
      </c>
      <c r="G26" s="94">
        <f>IF(F26="Vestdanmark",SUMIFS(IF(E26=År1,'Resultater - Vestdanmark'!H$3:H$504,IF(E26=År2,'Resultater - Vestdanmark'!I$3:I$504,'Resultater - Vestdanmark'!J$3:J$504)),'Resultater - Vestdanmark'!$F$3:$F$504,$A26,IF(E26=År1,'Resultater - Vestdanmark'!H$3:H$504,IF(E26=År2,'Resultater - Vestdanmark'!I$3:I$504,'Resultater - Vestdanmark'!J$3:J$504)),"&gt;0"),SUMIFS(IF(E26=År1,'Resultater - Østdanmark'!H$3:H$504,IF(E26=År2,'Resultater - Østdanmark'!I$3:I$504,'Resultater - Østdanmark'!J$3:J$504)),'Resultater - Østdanmark'!$F$3:$F$504,$A26,IF(E26=År1,'Resultater - Østdanmark'!H$3:H$504,IF(E26=År2,'Resultater - Østdanmark'!I$3:I$504,'Resultater - Østdanmark'!J$3:J$504)),"&gt;0"))</f>
        <v>6843435.2641521301</v>
      </c>
      <c r="H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forbrug'!H$3,'Forbrug af biomasse'!$B$2:$B$425,$F26)</f>
        <v>5879215.2019956242</v>
      </c>
      <c r="I26">
        <f>IF(F26="Vestdanmark",-IF(A26="Halm",SUMIFS(IF(E26=År1,'Resultater - Vestdanmark'!H$3:H$504,IF(E26=År2,'Resultater - Vestdanmark'!I$3:I$504,'Resultater - Vestdanmark'!J$3:J$504)),'Resultater - Vestdanmark'!$F$3:$F$504,$A26,'Resultater - Vestdanmark'!H$3:H$504,"&lt;0"),0),-IF(A26="Halm",SUMIFS(IF(E26=År1,'Resultater - Østdanmark'!H$3:H$504,IF(E26=År2,'Resultater - Østdanmark'!I$3:I$504,'Resultater - Østdanmark'!J$3:J$504)),'Resultater - Østdanmark'!$F$3:$F$504,$A26,'Resultater - Østdanmark'!H$3:H$504,"&lt;0"),0))</f>
        <v>0</v>
      </c>
      <c r="J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forbrug'!J$3,'Forbrug af biomasse'!$B$2:$B$425,$F26)</f>
        <v>286329.90483694919</v>
      </c>
      <c r="K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forbrug'!K$3,'Forbrug af biomasse'!$B$2:$B$425,$F26)</f>
        <v>2843.3935258054057</v>
      </c>
      <c r="L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forbrug'!L$3,'Forbrug af biomasse'!$B$2:$B$425,$F26)</f>
        <v>0</v>
      </c>
      <c r="M26" s="94">
        <f>IF(A26&lt;&gt;"Biogas",SUMIFS('Forbrug af biomasse'!$E$2:$E$425,'Forbrug af biomasse'!$C$2:$C$425,'Resultat-Produktion &amp; forbrug'!$A26,'Forbrug af biomasse'!$D$2:$D$425,'Resultat-Produktion &amp; forbrug'!$E26,'Forbrug af biomasse'!$A$2:$A$425,'Resultat-Produktion &amp; forbrug'!M$3,'Forbrug af biomasse'!$B$2:$B$425,$F26),G26)</f>
        <v>0</v>
      </c>
      <c r="N26" s="94">
        <f>SUMIFS('Forbrug af biomasse'!E:E,'Forbrug af biomasse'!C:C,'Resultat-Produktion &amp; forbrug'!$A26,'Forbrug af biomasse'!D:D,'Resultat-Produktion &amp; forbrug'!$E26,'Forbrug af biomasse'!G:G,1,'Forbrug af biomasse'!B:B,$F26)</f>
        <v>0</v>
      </c>
      <c r="O26" s="179">
        <f t="shared" si="10"/>
        <v>675046.7637937516</v>
      </c>
      <c r="P26" s="94">
        <f t="shared" ca="1" si="4"/>
        <v>675046.7637937516</v>
      </c>
      <c r="Q26" s="180">
        <f t="shared" si="11"/>
        <v>2843.3935258054057</v>
      </c>
      <c r="R26">
        <f ca="1">IFERROR(VLOOKUP(A26,[1]Energiindhold!$A$2:$C$11,3,FALSE),IFERROR(VLOOKUP(A26,[1]Biogasudbytte!$A$2:$B$18,2,FALSE)*[1]Energiindhold!$C$10,0))*P26</f>
        <v>2.3119406594466687</v>
      </c>
      <c r="S26">
        <f>IF(A26&lt;&gt;"Biogas",IFERROR(VLOOKUP(A26,[1]Biogasudbytte!$A$2:$B$18,2,FALSE)*[1]Energiindhold!$C$10,0)*K26*IFERROR(VLOOKUP(A26,Biogasanlæg!$F$3:$G$8,2,FALSE),1)+IFERROR(VLOOKUP(A26,[1]Energiindhold!$A$2:$C$11,3,FALSE),0)*M26+IF(E26&lt;&gt;År1,R26,0),0)</f>
        <v>9.7382247507899044E-3</v>
      </c>
      <c r="T26">
        <f>IFERROR(VLOOKUP(A26,[1]Biogasudbytte!$A$2:$B$18,2,FALSE)*[1]Energiindhold!$C$10,0)*K26*IFERROR(VLOOKUP(A26,Biogasanlæg!$F$3:$G$8,2,FALSE),1)</f>
        <v>9.7382247507899044E-3</v>
      </c>
      <c r="U26" s="170">
        <f t="shared" si="12"/>
        <v>0</v>
      </c>
      <c r="V26" s="169">
        <f ca="1">P26*IFERROR(VLOOKUP(A26,[1]Tørstofindhold!A$2:B$24,2,FALSE),0)</f>
        <v>209264.496776063</v>
      </c>
      <c r="W26">
        <f>IF(E26=År1,Q26,SUM(P26,Q26))*IFERROR(VLOOKUP(A26,[1]Tørstofindhold!A$2:B$24,2,FALSE),0)</f>
        <v>881.45199299967578</v>
      </c>
      <c r="X26">
        <f>K26*IFERROR(VLOOKUP(A26,[1]Tørstofindhold!A$2:B$24,2,FALSE),0)</f>
        <v>881.45199299967578</v>
      </c>
      <c r="Y26" s="170">
        <f t="shared" si="13"/>
        <v>0</v>
      </c>
      <c r="Z26">
        <f t="shared" ca="1" si="1"/>
        <v>0</v>
      </c>
      <c r="AA26">
        <f t="shared" ca="1" si="2"/>
        <v>1</v>
      </c>
      <c r="AB26" s="94">
        <f t="shared" si="8"/>
        <v>961376.66863070056</v>
      </c>
      <c r="AC26">
        <f>AB26*D26*10000*VLOOKUP(A26,[1]kcal!$A$2:$C$49,3,FALSE)/1000000000000</f>
        <v>3.5186386071883637</v>
      </c>
    </row>
    <row r="27" spans="1:29" x14ac:dyDescent="0.25">
      <c r="A27" s="171" t="s">
        <v>115</v>
      </c>
      <c r="B27" s="171"/>
      <c r="C27" s="171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0</v>
      </c>
      <c r="D27" s="171">
        <v>0</v>
      </c>
      <c r="E27" s="171">
        <f t="shared" si="9"/>
        <v>2019</v>
      </c>
      <c r="F27" t="s">
        <v>23</v>
      </c>
      <c r="G27" s="94">
        <f>IF(F27="Vestdanmark",SUMIFS(IF(E27=År1,'Resultater - Vestdanmark'!H$3:H$504,IF(E27=År2,'Resultater - Vestdanmark'!I$3:I$504,'Resultater - Vestdanmark'!J$3:J$504)),'Resultater - Vestdanmark'!$F$3:$F$504,$A27,IF(E27=År1,'Resultater - Vestdanmark'!H$3:H$504,IF(E27=År2,'Resultater - Vestdanmark'!I$3:I$504,'Resultater - Vestdanmark'!J$3:J$504)),"&gt;0"),SUMIFS(IF(E27=År1,'Resultater - Østdanmark'!H$3:H$504,IF(E27=År2,'Resultater - Østdanmark'!I$3:I$504,'Resultater - Østdanmark'!J$3:J$504)),'Resultater - Østdanmark'!$F$3:$F$504,$A27,IF(E27=År1,'Resultater - Østdanmark'!H$3:H$504,IF(E27=År2,'Resultater - Østdanmark'!I$3:I$504,'Resultater - Østdanmark'!J$3:J$504)),"&gt;0"))</f>
        <v>0</v>
      </c>
      <c r="H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forbrug'!H$3,'Forbrug af biomasse'!$B$2:$B$425,$F27)</f>
        <v>0</v>
      </c>
      <c r="I27">
        <f>IF(F27="Vestdanmark",-IF(A27="Halm",SUMIFS(IF(E27=År1,'Resultater - Vestdanmark'!H$3:H$504,IF(E27=År2,'Resultater - Vestdanmark'!I$3:I$504,'Resultater - Vestdanmark'!J$3:J$504)),'Resultater - Vestdanmark'!$F$3:$F$504,$A27,'Resultater - Vestdanmark'!H$3:H$504,"&lt;0"),0),-IF(A27="Halm",SUMIFS(IF(E27=År1,'Resultater - Østdanmark'!H$3:H$504,IF(E27=År2,'Resultater - Østdanmark'!I$3:I$504,'Resultater - Østdanmark'!J$3:J$504)),'Resultater - Østdanmark'!$F$3:$F$504,$A27,'Resultater - Østdanmark'!H$3:H$504,"&lt;0"),0))</f>
        <v>0</v>
      </c>
      <c r="J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forbrug'!J$3,'Forbrug af biomasse'!$B$2:$B$425,$F27)</f>
        <v>0</v>
      </c>
      <c r="K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forbrug'!K$3,'Forbrug af biomasse'!$B$2:$B$425,$F27)</f>
        <v>0</v>
      </c>
      <c r="L27" s="94">
        <f ca="1">SUMIFS('Forbrug af biomasse'!$E$2:$E$425,'Forbrug af biomasse'!$C$2:$C$425,'Resultat-Produktion &amp; forbrug'!$A27,'Forbrug af biomasse'!$D$2:$D$425,'Resultat-Produktion &amp; forbrug'!$E27,'Forbrug af biomasse'!$A$2:$A$425,'Resultat-Produktion &amp; forbrug'!L$3,'Forbrug af biomasse'!$B$2:$B$425,$F27)</f>
        <v>569996.93502990273</v>
      </c>
      <c r="M27" s="94">
        <f>IF(A27&lt;&gt;"Biogas",SUMIFS('Forbrug af biomasse'!$E$2:$E$425,'Forbrug af biomasse'!$C$2:$C$425,'Resultat-Produktion &amp; forbrug'!$A27,'Forbrug af biomasse'!$D$2:$D$425,'Resultat-Produktion &amp; forbrug'!$E27,'Forbrug af biomasse'!$A$2:$A$425,'Resultat-Produktion &amp; forbrug'!M$3,'Forbrug af biomasse'!$B$2:$B$425,$F27),G27)</f>
        <v>0</v>
      </c>
      <c r="N27" s="94">
        <f>SUMIFS('Forbrug af biomasse'!E:E,'Forbrug af biomasse'!C:C,'Resultat-Produktion &amp; forbrug'!$A27,'Forbrug af biomasse'!D:D,'Resultat-Produktion &amp; forbrug'!$E27,'Forbrug af biomasse'!G:G,1,'Forbrug af biomasse'!B:B,$F27)</f>
        <v>0</v>
      </c>
      <c r="O27" s="179">
        <f t="shared" ca="1" si="10"/>
        <v>-569996.93502990273</v>
      </c>
      <c r="P27" s="94">
        <f t="shared" si="4"/>
        <v>0</v>
      </c>
      <c r="Q27" s="180">
        <f t="shared" si="11"/>
        <v>0</v>
      </c>
      <c r="R27">
        <f>IFERROR(VLOOKUP(A27,[1]Energiindhold!$A$2:$C$11,3,FALSE),IFERROR(VLOOKUP(A27,[1]Biogasudbytte!$A$2:$B$18,2,FALSE)*[1]Energiindhold!$C$10,0))*P27</f>
        <v>0</v>
      </c>
      <c r="S27">
        <f>IF(A27&lt;&gt;"Biogas",IFERROR(VLOOKUP(A27,[1]Biogasudbytte!$A$2:$B$18,2,FALSE)*[1]Energiindhold!$C$10,0)*K27*IFERROR(VLOOKUP(A27,Biogasanlæg!$F$3:$G$8,2,FALSE),1)+IFERROR(VLOOKUP(A27,[1]Energiindhold!$A$2:$C$11,3,FALSE),0)*M27+IF(E27&lt;&gt;År1,R27,0),0)</f>
        <v>0</v>
      </c>
      <c r="T27">
        <f>IFERROR(VLOOKUP(A27,[1]Biogasudbytte!$A$2:$B$18,2,FALSE)*[1]Energiindhold!$C$10,0)*K27*IFERROR(VLOOKUP(A27,Biogasanlæg!$F$3:$G$8,2,FALSE),1)</f>
        <v>0</v>
      </c>
      <c r="U27" s="170">
        <f t="shared" si="12"/>
        <v>0</v>
      </c>
      <c r="V27" s="169">
        <f>P27*IFERROR(VLOOKUP(A27,[1]Tørstofindhold!A$2:B$24,2,FALSE),0)</f>
        <v>0</v>
      </c>
      <c r="W27">
        <f>IF(E27=År1,Q27,SUM(P27,Q27))*IFERROR(VLOOKUP(A27,[1]Tørstofindhold!A$2:B$24,2,FALSE),0)</f>
        <v>0</v>
      </c>
      <c r="X27">
        <f>K27*IFERROR(VLOOKUP(A27,[1]Tørstofindhold!A$2:B$24,2,FALSE),0)</f>
        <v>0</v>
      </c>
      <c r="Y27" s="170">
        <f t="shared" si="13"/>
        <v>0</v>
      </c>
      <c r="Z27">
        <f t="shared" ca="1" si="1"/>
        <v>1</v>
      </c>
      <c r="AA27">
        <f t="shared" ca="1" si="2"/>
        <v>0</v>
      </c>
      <c r="AB27" s="94">
        <f t="shared" ca="1" si="8"/>
        <v>-569996.93502990273</v>
      </c>
      <c r="AC27">
        <f ca="1">AB27*D27*10000*VLOOKUP(A27,[1]kcal!$A$2:$C$49,3,FALSE)/1000000000000</f>
        <v>0</v>
      </c>
    </row>
    <row r="28" spans="1:29" x14ac:dyDescent="0.25">
      <c r="A28" s="171" t="s">
        <v>136</v>
      </c>
      <c r="B28" s="171" t="s">
        <v>222</v>
      </c>
      <c r="C28" s="171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1</v>
      </c>
      <c r="D28" s="171">
        <v>0</v>
      </c>
      <c r="E28" s="171">
        <f t="shared" si="9"/>
        <v>2019</v>
      </c>
      <c r="F28" t="s">
        <v>23</v>
      </c>
      <c r="G28" s="94">
        <f>IF(F28="Vestdanmark",SUMIFS(IF(E28=År1,'Resultater - Vestdanmark'!H$3:H$504,IF(E28=År2,'Resultater - Vestdanmark'!I$3:I$504,'Resultater - Vestdanmark'!J$3:J$504)),'Resultater - Vestdanmark'!$F$3:$F$504,$A28,IF(E28=År1,'Resultater - Vestdanmark'!H$3:H$504,IF(E28=År2,'Resultater - Vestdanmark'!I$3:I$504,'Resultater - Vestdanmark'!J$3:J$504)),"&gt;0"),SUMIFS(IF(E28=År1,'Resultater - Østdanmark'!H$3:H$504,IF(E28=År2,'Resultater - Østdanmark'!I$3:I$504,'Resultater - Østdanmark'!J$3:J$504)),'Resultater - Østdanmark'!$F$3:$F$504,$A28,IF(E28=År1,'Resultater - Østdanmark'!H$3:H$504,IF(E28=År2,'Resultater - Østdanmark'!I$3:I$504,'Resultater - Østdanmark'!J$3:J$504)),"&gt;0"))</f>
        <v>13124915.780770566</v>
      </c>
      <c r="H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forbrug'!H$3,'Forbrug af biomasse'!$B$2:$B$425,$F28)</f>
        <v>0</v>
      </c>
      <c r="I28">
        <f>IF(F28="Vestdanmark",-IF(A28="Halm",SUMIFS(IF(E28=År1,'Resultater - Vestdanmark'!H$3:H$504,IF(E28=År2,'Resultater - Vestdanmark'!I$3:I$504,'Resultater - Vestdanmark'!J$3:J$504)),'Resultater - Vestdanmark'!$F$3:$F$504,$A28,'Resultater - Vestdanmark'!H$3:H$504,"&lt;0"),0),-IF(A28="Halm",SUMIFS(IF(E28=År1,'Resultater - Østdanmark'!H$3:H$504,IF(E28=År2,'Resultater - Østdanmark'!I$3:I$504,'Resultater - Østdanmark'!J$3:J$504)),'Resultater - Østdanmark'!$F$3:$F$504,$A28,'Resultater - Østdanmark'!H$3:H$504,"&lt;0"),0))</f>
        <v>0</v>
      </c>
      <c r="J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forbrug'!J$3,'Forbrug af biomasse'!$B$2:$B$425,$F28)</f>
        <v>0</v>
      </c>
      <c r="K28" s="94">
        <f ca="1">SUMIFS('Forbrug af biomasse'!$E$2:$E$425,'Forbrug af biomasse'!$C$2:$C$425,'Resultat-Produktion &amp; forbrug'!$A28,'Forbrug af biomasse'!$D$2:$D$425,'Resultat-Produktion &amp; forbrug'!$E28,'Forbrug af biomasse'!$A$2:$A$425,'Resultat-Produktion &amp; forbrug'!K$3,'Forbrug af biomasse'!$B$2:$B$425,$F28)</f>
        <v>4066864.6068164087</v>
      </c>
      <c r="L28" s="94">
        <f ca="1">SUMIFS('Forbrug af biomasse'!$E$2:$E$425,'Forbrug af biomasse'!$C$2:$C$425,'Resultat-Produktion &amp; forbrug'!$A28,'Forbrug af biomasse'!$D$2:$D$425,'Resultat-Produktion &amp; forbrug'!$E28,'Forbrug af biomasse'!$A$2:$A$425,'Resultat-Produktion &amp; forbrug'!L$3,'Forbrug af biomasse'!$B$2:$B$425,$F28)</f>
        <v>9058051.1739541572</v>
      </c>
      <c r="M28" s="94">
        <f>IF(A28&lt;&gt;"Biogas",SUMIFS('Forbrug af biomasse'!$E$2:$E$425,'Forbrug af biomasse'!$C$2:$C$425,'Resultat-Produktion &amp; forbrug'!$A28,'Forbrug af biomasse'!$D$2:$D$425,'Resultat-Produktion &amp; forbrug'!$E28,'Forbrug af biomasse'!$A$2:$A$425,'Resultat-Produktion &amp; forbrug'!M$3,'Forbrug af biomasse'!$B$2:$B$425,$F28),G28)</f>
        <v>0</v>
      </c>
      <c r="N28" s="94">
        <f>SUMIFS('Forbrug af biomasse'!E:E,'Forbrug af biomasse'!C:C,'Resultat-Produktion &amp; forbrug'!$A28,'Forbrug af biomasse'!D:D,'Resultat-Produktion &amp; forbrug'!$E28,'Forbrug af biomasse'!G:G,1,'Forbrug af biomasse'!B:B,$F28)</f>
        <v>0</v>
      </c>
      <c r="O28" s="179">
        <f t="shared" ca="1" si="10"/>
        <v>0</v>
      </c>
      <c r="P28" s="94">
        <f t="shared" ca="1" si="4"/>
        <v>0</v>
      </c>
      <c r="Q28" s="180">
        <f t="shared" ca="1" si="11"/>
        <v>4066864.6068164087</v>
      </c>
      <c r="R28">
        <f ca="1">IFERROR(VLOOKUP(A28,[1]Energiindhold!$A$2:$C$11,3,FALSE),IFERROR(VLOOKUP(A28,[1]Biogasudbytte!$A$2:$B$18,2,FALSE)*[1]Energiindhold!$C$10,0))*P28</f>
        <v>0</v>
      </c>
      <c r="S28">
        <f ca="1">IF(A28&lt;&gt;"Biogas",IFERROR(VLOOKUP(A28,[1]Biogasudbytte!$A$2:$B$18,2,FALSE)*[1]Energiindhold!$C$10,0)*K28*IFERROR(VLOOKUP(A28,Biogasanlæg!$F$3:$G$8,2,FALSE),1)+IFERROR(VLOOKUP(A28,[1]Energiindhold!$A$2:$C$11,3,FALSE),0)*M28+IF(E28&lt;&gt;År1,R28,0),0)</f>
        <v>2.0586061953243981</v>
      </c>
      <c r="T28">
        <f ca="1">IFERROR(VLOOKUP(A28,[1]Biogasudbytte!$A$2:$B$18,2,FALSE)*[1]Energiindhold!$C$10,0)*K28*IFERROR(VLOOKUP(A28,Biogasanlæg!$F$3:$G$8,2,FALSE),1)</f>
        <v>2.0586061953243981</v>
      </c>
      <c r="U28" s="170">
        <f t="shared" ca="1" si="12"/>
        <v>0</v>
      </c>
      <c r="V28" s="169">
        <f ca="1">P28*IFERROR(VLOOKUP(A28,[1]Tørstofindhold!A$2:B$24,2,FALSE),0)</f>
        <v>0</v>
      </c>
      <c r="W28">
        <f ca="1">IF(E28=År1,Q28,SUM(P28,Q28))*IFERROR(VLOOKUP(A28,[1]Tørstofindhold!A$2:B$24,2,FALSE),0)</f>
        <v>309081.71011804708</v>
      </c>
      <c r="X28">
        <f ca="1">K28*IFERROR(VLOOKUP(A28,[1]Tørstofindhold!A$2:B$24,2,FALSE),0)</f>
        <v>309081.71011804708</v>
      </c>
      <c r="Y28" s="170">
        <f t="shared" ca="1" si="13"/>
        <v>0</v>
      </c>
      <c r="Z28">
        <f t="shared" ca="1" si="1"/>
        <v>0</v>
      </c>
      <c r="AA28">
        <f t="shared" ca="1" si="2"/>
        <v>0</v>
      </c>
      <c r="AB28" s="94">
        <f t="shared" ca="1" si="8"/>
        <v>0</v>
      </c>
      <c r="AC28">
        <f ca="1">AB28*D28*10000*VLOOKUP(A28,[1]kcal!$A$2:$C$49,3,FALSE)/1000000000000</f>
        <v>0</v>
      </c>
    </row>
    <row r="29" spans="1:29" x14ac:dyDescent="0.25">
      <c r="A29" s="171" t="s">
        <v>108</v>
      </c>
      <c r="B29" s="171"/>
      <c r="C29" s="171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0</v>
      </c>
      <c r="D29" s="171">
        <v>0</v>
      </c>
      <c r="E29" s="171">
        <f t="shared" si="9"/>
        <v>2019</v>
      </c>
      <c r="F29" t="s">
        <v>23</v>
      </c>
      <c r="G29" s="94">
        <f>IF(F29="Vestdanmark",SUMIFS(IF(E29=År1,'Resultater - Vestdanmark'!H$3:H$504,IF(E29=År2,'Resultater - Vestdanmark'!I$3:I$504,'Resultater - Vestdanmark'!J$3:J$504)),'Resultater - Vestdanmark'!$F$3:$F$504,$A29,IF(E29=År1,'Resultater - Vestdanmark'!H$3:H$504,IF(E29=År2,'Resultater - Vestdanmark'!I$3:I$504,'Resultater - Vestdanmark'!J$3:J$504)),"&gt;0"),SUMIFS(IF(E29=År1,'Resultater - Østdanmark'!H$3:H$504,IF(E29=År2,'Resultater - Østdanmark'!I$3:I$504,'Resultater - Østdanmark'!J$3:J$504)),'Resultater - Østdanmark'!$F$3:$F$504,$A29,IF(E29=År1,'Resultater - Østdanmark'!H$3:H$504,IF(E29=År2,'Resultater - Østdanmark'!I$3:I$504,'Resultater - Østdanmark'!J$3:J$504)),"&gt;0"))</f>
        <v>1638157.7192038004</v>
      </c>
      <c r="H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forbrug'!H$3,'Forbrug af biomasse'!$B$2:$B$425,$F29)</f>
        <v>1515714.1736670118</v>
      </c>
      <c r="I29">
        <f>IF(F29="Vestdanmark",-IF(A29="Halm",SUMIFS(IF(E29=År1,'Resultater - Vestdanmark'!H$3:H$504,IF(E29=År2,'Resultater - Vestdanmark'!I$3:I$504,'Resultater - Vestdanmark'!J$3:J$504)),'Resultater - Vestdanmark'!$F$3:$F$504,$A29,'Resultater - Vestdanmark'!H$3:H$504,"&lt;0"),0),-IF(A29="Halm",SUMIFS(IF(E29=År1,'Resultater - Østdanmark'!H$3:H$504,IF(E29=År2,'Resultater - Østdanmark'!I$3:I$504,'Resultater - Østdanmark'!J$3:J$504)),'Resultater - Østdanmark'!$F$3:$F$504,$A29,'Resultater - Østdanmark'!H$3:H$504,"&lt;0"),0))</f>
        <v>0</v>
      </c>
      <c r="J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forbrug'!J$3,'Forbrug af biomasse'!$B$2:$B$425,$F29)</f>
        <v>0</v>
      </c>
      <c r="K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forbrug'!K$3,'Forbrug af biomasse'!$B$2:$B$425,$F29)</f>
        <v>0</v>
      </c>
      <c r="L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forbrug'!L$3,'Forbrug af biomasse'!$B$2:$B$425,$F29)</f>
        <v>0</v>
      </c>
      <c r="M29" s="94">
        <f>IF(A29&lt;&gt;"Biogas",SUMIFS('Forbrug af biomasse'!$E$2:$E$425,'Forbrug af biomasse'!$C$2:$C$425,'Resultat-Produktion &amp; forbrug'!$A29,'Forbrug af biomasse'!$D$2:$D$425,'Resultat-Produktion &amp; forbrug'!$E29,'Forbrug af biomasse'!$A$2:$A$425,'Resultat-Produktion &amp; forbrug'!M$3,'Forbrug af biomasse'!$B$2:$B$425,$F29),G29)</f>
        <v>0</v>
      </c>
      <c r="N29" s="94">
        <f>SUMIFS('Forbrug af biomasse'!E:E,'Forbrug af biomasse'!C:C,'Resultat-Produktion &amp; forbrug'!$A29,'Forbrug af biomasse'!D:D,'Resultat-Produktion &amp; forbrug'!$E29,'Forbrug af biomasse'!G:G,1,'Forbrug af biomasse'!B:B,$F29)</f>
        <v>0</v>
      </c>
      <c r="O29" s="179">
        <f t="shared" si="10"/>
        <v>122443.54553678865</v>
      </c>
      <c r="P29" s="94">
        <f t="shared" si="4"/>
        <v>0</v>
      </c>
      <c r="Q29" s="180">
        <f t="shared" si="11"/>
        <v>0</v>
      </c>
      <c r="R29">
        <f>IFERROR(VLOOKUP(A29,[1]Energiindhold!$A$2:$C$11,3,FALSE),IFERROR(VLOOKUP(A29,[1]Biogasudbytte!$A$2:$B$18,2,FALSE)*[1]Energiindhold!$C$10,0))*P29</f>
        <v>0</v>
      </c>
      <c r="S29">
        <f>IF(A29&lt;&gt;"Biogas",IFERROR(VLOOKUP(A29,[1]Biogasudbytte!$A$2:$B$18,2,FALSE)*[1]Energiindhold!$C$10,0)*K29*IFERROR(VLOOKUP(A29,Biogasanlæg!$F$3:$G$8,2,FALSE),1)+IFERROR(VLOOKUP(A29,[1]Energiindhold!$A$2:$C$11,3,FALSE),0)*M29+IF(E29&lt;&gt;År1,R29,0),0)</f>
        <v>0</v>
      </c>
      <c r="T29">
        <f>IFERROR(VLOOKUP(A29,[1]Biogasudbytte!$A$2:$B$18,2,FALSE)*[1]Energiindhold!$C$10,0)*K29*IFERROR(VLOOKUP(A29,Biogasanlæg!$F$3:$G$8,2,FALSE),1)</f>
        <v>0</v>
      </c>
      <c r="U29" s="170">
        <f t="shared" si="12"/>
        <v>0</v>
      </c>
      <c r="V29" s="169">
        <f>P29*IFERROR(VLOOKUP(A29,[1]Tørstofindhold!A$2:B$24,2,FALSE),0)</f>
        <v>0</v>
      </c>
      <c r="W29">
        <f>IF(E29=År1,Q29,SUM(P29,Q29))*IFERROR(VLOOKUP(A29,[1]Tørstofindhold!A$2:B$24,2,FALSE),0)</f>
        <v>0</v>
      </c>
      <c r="X29">
        <f>K29*IFERROR(VLOOKUP(A29,[1]Tørstofindhold!A$2:B$24,2,FALSE),0)</f>
        <v>0</v>
      </c>
      <c r="Y29" s="170">
        <f t="shared" si="13"/>
        <v>0</v>
      </c>
      <c r="Z29">
        <f t="shared" ca="1" si="1"/>
        <v>0</v>
      </c>
      <c r="AA29">
        <f t="shared" ca="1" si="2"/>
        <v>1</v>
      </c>
      <c r="AB29" s="94">
        <f t="shared" si="8"/>
        <v>122443.54553678865</v>
      </c>
      <c r="AC29">
        <f>AB29*D29*10000*VLOOKUP(A29,[1]kcal!$A$2:$C$49,3,FALSE)/1000000000000</f>
        <v>0</v>
      </c>
    </row>
    <row r="30" spans="1:29" x14ac:dyDescent="0.25">
      <c r="A30" t="s">
        <v>53</v>
      </c>
      <c r="B30" s="171" t="s">
        <v>224</v>
      </c>
      <c r="C30" s="171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1</v>
      </c>
      <c r="D30" s="171">
        <v>1</v>
      </c>
      <c r="E30" s="171">
        <f t="shared" si="9"/>
        <v>2019</v>
      </c>
      <c r="F30" t="s">
        <v>23</v>
      </c>
      <c r="G30" s="94">
        <f>IF(F30="Vestdanmark",SUMIFS(IF(E30=År1,'Resultater - Vestdanmark'!H$3:H$504,IF(E30=År2,'Resultater - Vestdanmark'!I$3:I$504,'Resultater - Vestdanmark'!J$3:J$504)),'Resultater - Vestdanmark'!$F$3:$F$504,$A30,IF(E30=År1,'Resultater - Vestdanmark'!H$3:H$504,IF(E30=År2,'Resultater - Vestdanmark'!I$3:I$504,'Resultater - Vestdanmark'!J$3:J$504)),"&gt;0"),SUMIFS(IF(E30=År1,'Resultater - Østdanmark'!H$3:H$504,IF(E30=År2,'Resultater - Østdanmark'!I$3:I$504,'Resultater - Østdanmark'!J$3:J$504)),'Resultater - Østdanmark'!$F$3:$F$504,$A30,IF(E30=År1,'Resultater - Østdanmark'!H$3:H$504,IF(E30=År2,'Resultater - Østdanmark'!I$3:I$504,'Resultater - Østdanmark'!J$3:J$504)),"&gt;0"))</f>
        <v>7590675.3960505147</v>
      </c>
      <c r="H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forbrug'!H$3,'Forbrug af biomasse'!$B$2:$B$425,$F30)</f>
        <v>5657053.7864699634</v>
      </c>
      <c r="I30">
        <f>IF(F30="Vestdanmark",-IF(A30="Halm",SUMIFS(IF(E30=År1,'Resultater - Vestdanmark'!H$3:H$504,IF(E30=År2,'Resultater - Vestdanmark'!I$3:I$504,'Resultater - Vestdanmark'!J$3:J$504)),'Resultater - Vestdanmark'!$F$3:$F$504,$A30,'Resultater - Vestdanmark'!H$3:H$504,"&lt;0"),0),-IF(A30="Halm",SUMIFS(IF(E30=År1,'Resultater - Østdanmark'!H$3:H$504,IF(E30=År2,'Resultater - Østdanmark'!I$3:I$504,'Resultater - Østdanmark'!J$3:J$504)),'Resultater - Østdanmark'!$F$3:$F$504,$A30,'Resultater - Østdanmark'!H$3:H$504,"&lt;0"),0))</f>
        <v>0</v>
      </c>
      <c r="J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forbrug'!J$3,'Forbrug af biomasse'!$B$2:$B$425,$F30)</f>
        <v>0</v>
      </c>
      <c r="K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forbrug'!K$3,'Forbrug af biomasse'!$B$2:$B$425,$F30)</f>
        <v>314874.94627501385</v>
      </c>
      <c r="L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forbrug'!L$3,'Forbrug af biomasse'!$B$2:$B$425,$F30)</f>
        <v>0</v>
      </c>
      <c r="M30" s="94">
        <f>IF(A30&lt;&gt;"Biogas",SUMIFS('Forbrug af biomasse'!$E$2:$E$425,'Forbrug af biomasse'!$C$2:$C$425,'Resultat-Produktion &amp; forbrug'!$A30,'Forbrug af biomasse'!$D$2:$D$425,'Resultat-Produktion &amp; forbrug'!$E30,'Forbrug af biomasse'!$A$2:$A$425,'Resultat-Produktion &amp; forbrug'!M$3,'Forbrug af biomasse'!$B$2:$B$425,$F30),G30)</f>
        <v>0</v>
      </c>
      <c r="N30" s="94">
        <f>SUMIFS('Forbrug af biomasse'!E:E,'Forbrug af biomasse'!C:C,'Resultat-Produktion &amp; forbrug'!$A30,'Forbrug af biomasse'!D:D,'Resultat-Produktion &amp; forbrug'!$E30,'Forbrug af biomasse'!G:G,1,'Forbrug af biomasse'!B:B,$F30)</f>
        <v>0</v>
      </c>
      <c r="O30" s="179">
        <f t="shared" si="10"/>
        <v>1618746.6633055378</v>
      </c>
      <c r="P30" s="94">
        <f t="shared" ca="1" si="4"/>
        <v>1274488.0820395502</v>
      </c>
      <c r="Q30" s="180">
        <f t="shared" si="11"/>
        <v>314874.94627501385</v>
      </c>
      <c r="R30">
        <f ca="1">IFERROR(VLOOKUP(A30,[1]Energiindhold!$A$2:$C$11,3,FALSE),IFERROR(VLOOKUP(A30,[1]Biogasudbytte!$A$2:$B$18,2,FALSE)*[1]Energiindhold!$C$10,0))*P30</f>
        <v>4.575412214521986</v>
      </c>
      <c r="S30">
        <f>IF(A30&lt;&gt;"Biogas",IFERROR(VLOOKUP(A30,[1]Biogasudbytte!$A$2:$B$18,2,FALSE)*[1]Energiindhold!$C$10,0)*K30*IFERROR(VLOOKUP(A30,Biogasanlæg!$F$3:$G$8,2,FALSE),1)+IFERROR(VLOOKUP(A30,[1]Energiindhold!$A$2:$C$11,3,FALSE),0)*M30+IF(E30&lt;&gt;År1,R30,0),0)</f>
        <v>1.1304010571272998</v>
      </c>
      <c r="T30">
        <f>IFERROR(VLOOKUP(A30,[1]Biogasudbytte!$A$2:$B$18,2,FALSE)*[1]Energiindhold!$C$10,0)*K30*IFERROR(VLOOKUP(A30,Biogasanlæg!$F$3:$G$8,2,FALSE),1)</f>
        <v>1.1304010571272998</v>
      </c>
      <c r="U30" s="170">
        <f t="shared" si="12"/>
        <v>0</v>
      </c>
      <c r="V30" s="169">
        <f ca="1">P30*IFERROR(VLOOKUP(A30,[1]Tørstofindhold!A$2:B$24,2,FALSE),0)</f>
        <v>382346.42461186502</v>
      </c>
      <c r="W30">
        <f>IF(E30=År1,Q30,SUM(P30,Q30))*IFERROR(VLOOKUP(A30,[1]Tørstofindhold!A$2:B$24,2,FALSE),0)</f>
        <v>94462.483882504152</v>
      </c>
      <c r="X30">
        <f>K30*IFERROR(VLOOKUP(A30,[1]Tørstofindhold!A$2:B$24,2,FALSE),0)</f>
        <v>94462.483882504152</v>
      </c>
      <c r="Y30" s="170">
        <f t="shared" si="13"/>
        <v>0</v>
      </c>
      <c r="Z30">
        <f t="shared" ca="1" si="1"/>
        <v>0</v>
      </c>
      <c r="AA30">
        <f t="shared" ca="1" si="2"/>
        <v>1</v>
      </c>
      <c r="AB30" s="94">
        <f t="shared" si="8"/>
        <v>1618746.6633055378</v>
      </c>
      <c r="AC30">
        <f>AB30*D30*10000*VLOOKUP(A30,[1]kcal!$A$2:$C$49,3,FALSE)/1000000000000</f>
        <v>1.4730594636080394</v>
      </c>
    </row>
    <row r="31" spans="1:29" x14ac:dyDescent="0.25">
      <c r="A31" s="171" t="s">
        <v>116</v>
      </c>
      <c r="B31" s="171"/>
      <c r="C31" s="171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0</v>
      </c>
      <c r="D31" s="171">
        <v>1</v>
      </c>
      <c r="E31" s="171">
        <f t="shared" si="9"/>
        <v>2019</v>
      </c>
      <c r="F31" t="s">
        <v>23</v>
      </c>
      <c r="G31" s="94">
        <f>IF(F31="Vestdanmark",SUMIFS(IF(E31=År1,'Resultater - Vestdanmark'!H$3:H$504,IF(E31=År2,'Resultater - Vestdanmark'!I$3:I$504,'Resultater - Vestdanmark'!J$3:J$504)),'Resultater - Vestdanmark'!$F$3:$F$504,$A31,IF(E31=År1,'Resultater - Vestdanmark'!H$3:H$504,IF(E31=År2,'Resultater - Vestdanmark'!I$3:I$504,'Resultater - Vestdanmark'!J$3:J$504)),"&gt;0"),SUMIFS(IF(E31=År1,'Resultater - Østdanmark'!H$3:H$504,IF(E31=År2,'Resultater - Østdanmark'!I$3:I$504,'Resultater - Østdanmark'!J$3:J$504)),'Resultater - Østdanmark'!$F$3:$F$504,$A31,IF(E31=År1,'Resultater - Østdanmark'!H$3:H$504,IF(E31=År2,'Resultater - Østdanmark'!I$3:I$504,'Resultater - Østdanmark'!J$3:J$504)),"&gt;0"))</f>
        <v>3160794.2116654618</v>
      </c>
      <c r="H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forbrug'!H$3,'Forbrug af biomasse'!$B$2:$B$425,$F31)</f>
        <v>0</v>
      </c>
      <c r="I31">
        <f>IF(F31="Vestdanmark",-IF(A31="Halm",SUMIFS(IF(E31=År1,'Resultater - Vestdanmark'!H$3:H$504,IF(E31=År2,'Resultater - Vestdanmark'!I$3:I$504,'Resultater - Vestdanmark'!J$3:J$504)),'Resultater - Vestdanmark'!$F$3:$F$504,$A31,'Resultater - Vestdanmark'!H$3:H$504,"&lt;0"),0),-IF(A31="Halm",SUMIFS(IF(E31=År1,'Resultater - Østdanmark'!H$3:H$504,IF(E31=År2,'Resultater - Østdanmark'!I$3:I$504,'Resultater - Østdanmark'!J$3:J$504)),'Resultater - Østdanmark'!$F$3:$F$504,$A31,'Resultater - Østdanmark'!H$3:H$504,"&lt;0"),0))</f>
        <v>0</v>
      </c>
      <c r="J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forbrug'!J$3,'Forbrug af biomasse'!$B$2:$B$425,$F31)</f>
        <v>457077.09579476295</v>
      </c>
      <c r="K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forbrug'!K$3,'Forbrug af biomasse'!$B$2:$B$425,$F31)</f>
        <v>0</v>
      </c>
      <c r="L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forbrug'!L$3,'Forbrug af biomasse'!$B$2:$B$425,$F31)</f>
        <v>0</v>
      </c>
      <c r="M31" s="94">
        <f>IF(A31&lt;&gt;"Biogas",SUMIFS('Forbrug af biomasse'!$E$2:$E$425,'Forbrug af biomasse'!$C$2:$C$425,'Resultat-Produktion &amp; forbrug'!$A31,'Forbrug af biomasse'!$D$2:$D$425,'Resultat-Produktion &amp; forbrug'!$E31,'Forbrug af biomasse'!$A$2:$A$425,'Resultat-Produktion &amp; forbrug'!M$3,'Forbrug af biomasse'!$B$2:$B$425,$F31),G31)</f>
        <v>0</v>
      </c>
      <c r="N31" s="94">
        <f>SUMIFS('Forbrug af biomasse'!E:E,'Forbrug af biomasse'!C:C,'Resultat-Produktion &amp; forbrug'!$A31,'Forbrug af biomasse'!D:D,'Resultat-Produktion &amp; forbrug'!$E31,'Forbrug af biomasse'!G:G,1,'Forbrug af biomasse'!B:B,$F31)</f>
        <v>0</v>
      </c>
      <c r="O31" s="179">
        <f t="shared" si="10"/>
        <v>2703717.1158706988</v>
      </c>
      <c r="P31" s="94">
        <f t="shared" si="4"/>
        <v>0</v>
      </c>
      <c r="Q31" s="180">
        <f t="shared" si="11"/>
        <v>0</v>
      </c>
      <c r="R31">
        <f>IFERROR(VLOOKUP(A31,[1]Energiindhold!$A$2:$C$11,3,FALSE),IFERROR(VLOOKUP(A31,[1]Biogasudbytte!$A$2:$B$18,2,FALSE)*[1]Energiindhold!$C$10,0))*P31</f>
        <v>0</v>
      </c>
      <c r="S31">
        <f>IF(A31&lt;&gt;"Biogas",IFERROR(VLOOKUP(A31,[1]Biogasudbytte!$A$2:$B$18,2,FALSE)*[1]Energiindhold!$C$10,0)*K31*IFERROR(VLOOKUP(A31,Biogasanlæg!$F$3:$G$8,2,FALSE),1)+IFERROR(VLOOKUP(A31,[1]Energiindhold!$A$2:$C$11,3,FALSE),0)*M31+IF(E31&lt;&gt;År1,R31,0),0)</f>
        <v>0</v>
      </c>
      <c r="T31">
        <f>IFERROR(VLOOKUP(A31,[1]Biogasudbytte!$A$2:$B$18,2,FALSE)*[1]Energiindhold!$C$10,0)*K31*IFERROR(VLOOKUP(A31,Biogasanlæg!$F$3:$G$8,2,FALSE),1)</f>
        <v>0</v>
      </c>
      <c r="U31" s="170">
        <f t="shared" si="12"/>
        <v>0</v>
      </c>
      <c r="V31" s="169">
        <f>P31*IFERROR(VLOOKUP(A31,[1]Tørstofindhold!A$2:B$24,2,FALSE),0)</f>
        <v>0</v>
      </c>
      <c r="W31">
        <f>IF(E31=År1,Q31,SUM(P31,Q31))*IFERROR(VLOOKUP(A31,[1]Tørstofindhold!A$2:B$24,2,FALSE),0)</f>
        <v>0</v>
      </c>
      <c r="X31">
        <f>K31*IFERROR(VLOOKUP(A31,[1]Tørstofindhold!A$2:B$24,2,FALSE),0)</f>
        <v>0</v>
      </c>
      <c r="Y31" s="170">
        <f t="shared" si="13"/>
        <v>0</v>
      </c>
      <c r="Z31">
        <f t="shared" ca="1" si="1"/>
        <v>0</v>
      </c>
      <c r="AA31">
        <f t="shared" ca="1" si="2"/>
        <v>1</v>
      </c>
      <c r="AB31" s="94">
        <f t="shared" si="8"/>
        <v>3160794.2116654618</v>
      </c>
      <c r="AC31">
        <f>AB31*D31*10000*VLOOKUP(A31,[1]kcal!$A$2:$C$49,3,FALSE)/1000000000000</f>
        <v>1.991300353349241</v>
      </c>
    </row>
    <row r="32" spans="1:29" x14ac:dyDescent="0.25">
      <c r="A32" s="171" t="s">
        <v>106</v>
      </c>
      <c r="B32" s="171" t="s">
        <v>226</v>
      </c>
      <c r="C32" s="171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1</v>
      </c>
      <c r="D32" s="171">
        <v>1</v>
      </c>
      <c r="E32" s="171">
        <f t="shared" si="9"/>
        <v>2019</v>
      </c>
      <c r="F32" t="s">
        <v>23</v>
      </c>
      <c r="G32" s="94">
        <f>IF(F32="Vestdanmark",SUMIFS(IF(E32=År1,'Resultater - Vestdanmark'!H$3:H$504,IF(E32=År2,'Resultater - Vestdanmark'!I$3:I$504,'Resultater - Vestdanmark'!J$3:J$504)),'Resultater - Vestdanmark'!$F$3:$F$504,$A32,IF(E32=År1,'Resultater - Vestdanmark'!H$3:H$504,IF(E32=År2,'Resultater - Vestdanmark'!I$3:I$504,'Resultater - Vestdanmark'!J$3:J$504)),"&gt;0"),SUMIFS(IF(E32=År1,'Resultater - Østdanmark'!H$3:H$504,IF(E32=År2,'Resultater - Østdanmark'!I$3:I$504,'Resultater - Østdanmark'!J$3:J$504)),'Resultater - Østdanmark'!$F$3:$F$504,$A32,IF(E32=År1,'Resultater - Østdanmark'!H$3:H$504,IF(E32=År2,'Resultater - Østdanmark'!I$3:I$504,'Resultater - Østdanmark'!J$3:J$504)),"&gt;0"))</f>
        <v>878.90231344976178</v>
      </c>
      <c r="H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forbrug'!H$3,'Forbrug af biomasse'!$B$2:$B$425,$F32)</f>
        <v>0</v>
      </c>
      <c r="I32">
        <f>IF(F32="Vestdanmark",-IF(A32="Halm",SUMIFS(IF(E32=År1,'Resultater - Vestdanmark'!H$3:H$504,IF(E32=År2,'Resultater - Vestdanmark'!I$3:I$504,'Resultater - Vestdanmark'!J$3:J$504)),'Resultater - Vestdanmark'!$F$3:$F$504,$A32,'Resultater - Vestdanmark'!H$3:H$504,"&lt;0"),0),-IF(A32="Halm",SUMIFS(IF(E32=År1,'Resultater - Østdanmark'!H$3:H$504,IF(E32=År2,'Resultater - Østdanmark'!I$3:I$504,'Resultater - Østdanmark'!J$3:J$504)),'Resultater - Østdanmark'!$F$3:$F$504,$A32,'Resultater - Østdanmark'!H$3:H$504,"&lt;0"),0))</f>
        <v>0</v>
      </c>
      <c r="J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forbrug'!J$3,'Forbrug af biomasse'!$B$2:$B$425,$F32)</f>
        <v>0</v>
      </c>
      <c r="K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forbrug'!K$3,'Forbrug af biomasse'!$B$2:$B$425,$F32)</f>
        <v>0</v>
      </c>
      <c r="L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forbrug'!L$3,'Forbrug af biomasse'!$B$2:$B$425,$F32)</f>
        <v>0</v>
      </c>
      <c r="M32" s="94">
        <f>IF(A32&lt;&gt;"Biogas",SUMIFS('Forbrug af biomasse'!$E$2:$E$425,'Forbrug af biomasse'!$C$2:$C$425,'Resultat-Produktion &amp; forbrug'!$A32,'Forbrug af biomasse'!$D$2:$D$425,'Resultat-Produktion &amp; forbrug'!$E32,'Forbrug af biomasse'!$A$2:$A$425,'Resultat-Produktion &amp; forbrug'!M$3,'Forbrug af biomasse'!$B$2:$B$425,$F32),G32)</f>
        <v>0</v>
      </c>
      <c r="N32" s="94">
        <f>SUMIFS('Forbrug af biomasse'!E:E,'Forbrug af biomasse'!C:C,'Resultat-Produktion &amp; forbrug'!$A32,'Forbrug af biomasse'!D:D,'Resultat-Produktion &amp; forbrug'!$E32,'Forbrug af biomasse'!G:G,1,'Forbrug af biomasse'!B:B,$F32)</f>
        <v>0</v>
      </c>
      <c r="O32" s="179">
        <f t="shared" si="10"/>
        <v>878.90231344976178</v>
      </c>
      <c r="P32" s="94">
        <f t="shared" ca="1" si="4"/>
        <v>878.90231344976178</v>
      </c>
      <c r="Q32" s="180">
        <f t="shared" si="11"/>
        <v>0</v>
      </c>
      <c r="R32">
        <f ca="1">IFERROR(VLOOKUP(A32,[1]Energiindhold!$A$2:$C$11,3,FALSE),IFERROR(VLOOKUP(A32,[1]Biogasudbytte!$A$2:$B$18,2,FALSE)*[1]Energiindhold!$C$10,0))*P32</f>
        <v>7.8881482632116122E-4</v>
      </c>
      <c r="S32">
        <f>IF(A32&lt;&gt;"Biogas",IFERROR(VLOOKUP(A32,[1]Biogasudbytte!$A$2:$B$18,2,FALSE)*[1]Energiindhold!$C$10,0)*K32*IFERROR(VLOOKUP(A32,Biogasanlæg!$F$3:$G$8,2,FALSE),1)+IFERROR(VLOOKUP(A32,[1]Energiindhold!$A$2:$C$11,3,FALSE),0)*M32+IF(E32&lt;&gt;År1,R32,0),0)</f>
        <v>0</v>
      </c>
      <c r="T32">
        <f>IFERROR(VLOOKUP(A32,[1]Biogasudbytte!$A$2:$B$18,2,FALSE)*[1]Energiindhold!$C$10,0)*K32*IFERROR(VLOOKUP(A32,Biogasanlæg!$F$3:$G$8,2,FALSE),1)</f>
        <v>0</v>
      </c>
      <c r="U32" s="170">
        <f t="shared" si="12"/>
        <v>0</v>
      </c>
      <c r="V32" s="169">
        <f ca="1">P32*IFERROR(VLOOKUP(A32,[1]Tørstofindhold!A$2:B$24,2,FALSE),0)</f>
        <v>131.83534701746427</v>
      </c>
      <c r="W32">
        <f>IF(E32=År1,Q32,SUM(P32,Q32))*IFERROR(VLOOKUP(A32,[1]Tørstofindhold!A$2:B$24,2,FALSE),0)</f>
        <v>0</v>
      </c>
      <c r="X32">
        <f>K32*IFERROR(VLOOKUP(A32,[1]Tørstofindhold!A$2:B$24,2,FALSE),0)</f>
        <v>0</v>
      </c>
      <c r="Y32" s="170">
        <f t="shared" si="13"/>
        <v>0</v>
      </c>
      <c r="Z32">
        <f t="shared" ca="1" si="1"/>
        <v>0</v>
      </c>
      <c r="AA32">
        <f t="shared" ca="1" si="2"/>
        <v>1</v>
      </c>
      <c r="AB32" s="94">
        <f t="shared" si="8"/>
        <v>878.90231344976178</v>
      </c>
      <c r="AC32">
        <f>AB32*D32*10000*VLOOKUP(A32,[1]kcal!$A$2:$C$49,3,FALSE)/1000000000000</f>
        <v>7.2948892016330225E-4</v>
      </c>
    </row>
    <row r="33" spans="1:29" x14ac:dyDescent="0.25">
      <c r="A33" s="171" t="s">
        <v>14</v>
      </c>
      <c r="B33" s="171"/>
      <c r="C33" s="171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71">
        <v>1</v>
      </c>
      <c r="E33" s="171">
        <f t="shared" si="9"/>
        <v>2019</v>
      </c>
      <c r="F33" t="s">
        <v>23</v>
      </c>
      <c r="G33" s="94">
        <f>IF(F33="Vestdanmark",SUMIFS(IF(E33=År1,'Resultater - Vestdanmark'!H$3:H$504,IF(E33=År2,'Resultater - Vestdanmark'!I$3:I$504,'Resultater - Vestdanmark'!J$3:J$504)),'Resultater - Vestdanmark'!$F$3:$F$504,$A33,IF(E33=År1,'Resultater - Vestdanmark'!H$3:H$504,IF(E33=År2,'Resultater - Vestdanmark'!I$3:I$504,'Resultater - Vestdanmark'!J$3:J$504)),"&gt;0"),SUMIFS(IF(E33=År1,'Resultater - Østdanmark'!H$3:H$504,IF(E33=År2,'Resultater - Østdanmark'!I$3:I$504,'Resultater - Østdanmark'!J$3:J$504)),'Resultater - Østdanmark'!$F$3:$F$504,$A33,IF(E33=År1,'Resultater - Østdanmark'!H$3:H$504,IF(E33=År2,'Resultater - Østdanmark'!I$3:I$504,'Resultater - Østdanmark'!J$3:J$504)),"&gt;0"))</f>
        <v>108094.85577035608</v>
      </c>
      <c r="H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forbrug'!H$3,'Forbrug af biomasse'!$B$2:$B$425,$F33)</f>
        <v>0</v>
      </c>
      <c r="I33">
        <f>IF(F33="Vestdanmark",-IF(A33="Halm",SUMIFS(IF(E33=År1,'Resultater - Vestdanmark'!H$3:H$504,IF(E33=År2,'Resultater - Vestdanmark'!I$3:I$504,'Resultater - Vestdanmark'!J$3:J$504)),'Resultater - Vestdanmark'!$F$3:$F$504,$A33,'Resultater - Vestdanmark'!H$3:H$504,"&lt;0"),0),-IF(A33="Halm",SUMIFS(IF(E33=År1,'Resultater - Østdanmark'!H$3:H$504,IF(E33=År2,'Resultater - Østdanmark'!I$3:I$504,'Resultater - Østdanmark'!J$3:J$504)),'Resultater - Østdanmark'!$F$3:$F$504,$A33,'Resultater - Østdanmark'!H$3:H$504,"&lt;0"),0))</f>
        <v>0</v>
      </c>
      <c r="J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forbrug'!J$3,'Forbrug af biomasse'!$B$2:$B$425,$F33)</f>
        <v>58080.313724265572</v>
      </c>
      <c r="K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forbrug'!K$3,'Forbrug af biomasse'!$B$2:$B$425,$F33)</f>
        <v>0</v>
      </c>
      <c r="L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forbrug'!L$3,'Forbrug af biomasse'!$B$2:$B$425,$F33)</f>
        <v>0</v>
      </c>
      <c r="M33" s="94">
        <f>IF(A33&lt;&gt;"Biogas",SUMIFS('Forbrug af biomasse'!$E$2:$E$425,'Forbrug af biomasse'!$C$2:$C$425,'Resultat-Produktion &amp; forbrug'!$A33,'Forbrug af biomasse'!$D$2:$D$425,'Resultat-Produktion &amp; forbrug'!$E33,'Forbrug af biomasse'!$A$2:$A$425,'Resultat-Produktion &amp; forbrug'!M$3,'Forbrug af biomasse'!$B$2:$B$425,$F33),G33)</f>
        <v>0</v>
      </c>
      <c r="N33" s="94">
        <f>SUMIFS('Forbrug af biomasse'!E:E,'Forbrug af biomasse'!C:C,'Resultat-Produktion &amp; forbrug'!$A33,'Forbrug af biomasse'!D:D,'Resultat-Produktion &amp; forbrug'!$E33,'Forbrug af biomasse'!G:G,1,'Forbrug af biomasse'!B:B,$F33)</f>
        <v>0</v>
      </c>
      <c r="O33" s="179">
        <f t="shared" si="10"/>
        <v>50014.542046090508</v>
      </c>
      <c r="P33" s="94">
        <f t="shared" si="4"/>
        <v>0</v>
      </c>
      <c r="Q33" s="180">
        <f t="shared" si="11"/>
        <v>0</v>
      </c>
      <c r="R33">
        <f>IFERROR(VLOOKUP(A33,[1]Energiindhold!$A$2:$C$11,3,FALSE),IFERROR(VLOOKUP(A33,[1]Biogasudbytte!$A$2:$B$18,2,FALSE)*[1]Energiindhold!$C$10,0))*P33</f>
        <v>0</v>
      </c>
      <c r="S33">
        <f>IF(A33&lt;&gt;"Biogas",IFERROR(VLOOKUP(A33,[1]Biogasudbytte!$A$2:$B$18,2,FALSE)*[1]Energiindhold!$C$10,0)*K33*IFERROR(VLOOKUP(A33,Biogasanlæg!$F$3:$G$8,2,FALSE),1)+IFERROR(VLOOKUP(A33,[1]Energiindhold!$A$2:$C$11,3,FALSE),0)*M33+IF(E33&lt;&gt;År1,R33,0),0)</f>
        <v>0</v>
      </c>
      <c r="T33">
        <f>IFERROR(VLOOKUP(A33,[1]Biogasudbytte!$A$2:$B$18,2,FALSE)*[1]Energiindhold!$C$10,0)*K33*IFERROR(VLOOKUP(A33,Biogasanlæg!$F$3:$G$8,2,FALSE),1)</f>
        <v>0</v>
      </c>
      <c r="U33" s="170">
        <f t="shared" si="12"/>
        <v>0</v>
      </c>
      <c r="V33" s="169">
        <f>P33*IFERROR(VLOOKUP(A33,[1]Tørstofindhold!A$2:B$24,2,FALSE),0)</f>
        <v>0</v>
      </c>
      <c r="W33">
        <f>IF(E33=År1,Q33,SUM(P33,Q33))*IFERROR(VLOOKUP(A33,[1]Tørstofindhold!A$2:B$24,2,FALSE),0)</f>
        <v>0</v>
      </c>
      <c r="X33">
        <f>K33*IFERROR(VLOOKUP(A33,[1]Tørstofindhold!A$2:B$24,2,FALSE),0)</f>
        <v>0</v>
      </c>
      <c r="Y33" s="170">
        <f t="shared" si="13"/>
        <v>0</v>
      </c>
      <c r="Z33">
        <f t="shared" ca="1" si="1"/>
        <v>0</v>
      </c>
      <c r="AA33">
        <f t="shared" ca="1" si="2"/>
        <v>1</v>
      </c>
      <c r="AB33" s="94">
        <f t="shared" si="8"/>
        <v>108094.85577035608</v>
      </c>
      <c r="AC33">
        <f>AB33*D33*10000*VLOOKUP(A33,[1]kcal!$A$2:$C$49,3,FALSE)/1000000000000</f>
        <v>0.21078496875219438</v>
      </c>
    </row>
    <row r="34" spans="1:29" x14ac:dyDescent="0.25">
      <c r="A34" s="171" t="s">
        <v>55</v>
      </c>
      <c r="B34" s="171"/>
      <c r="C34" s="171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0</v>
      </c>
      <c r="D34" s="171">
        <v>1</v>
      </c>
      <c r="E34" s="171">
        <f t="shared" si="9"/>
        <v>2019</v>
      </c>
      <c r="F34" t="s">
        <v>23</v>
      </c>
      <c r="G34" s="94">
        <f>IF(F34="Vestdanmark",SUMIFS(IF(E34=År1,'Resultater - Vestdanmark'!H$3:H$504,IF(E34=År2,'Resultater - Vestdanmark'!I$3:I$504,'Resultater - Vestdanmark'!J$3:J$504)),'Resultater - Vestdanmark'!$F$3:$F$504,$A34,IF(E34=År1,'Resultater - Vestdanmark'!H$3:H$504,IF(E34=År2,'Resultater - Vestdanmark'!I$3:I$504,'Resultater - Vestdanmark'!J$3:J$504)),"&gt;0"),SUMIFS(IF(E34=År1,'Resultater - Østdanmark'!H$3:H$504,IF(E34=År2,'Resultater - Østdanmark'!I$3:I$504,'Resultater - Østdanmark'!J$3:J$504)),'Resultater - Østdanmark'!$F$3:$F$504,$A34,IF(E34=År1,'Resultater - Østdanmark'!H$3:H$504,IF(E34=År2,'Resultater - Østdanmark'!I$3:I$504,'Resultater - Østdanmark'!J$3:J$504)),"&gt;0"))</f>
        <v>1610618.3345669576</v>
      </c>
      <c r="H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forbrug'!H$3,'Forbrug af biomasse'!$B$2:$B$425,$F34)</f>
        <v>0</v>
      </c>
      <c r="I34">
        <f>IF(F34="Vestdanmark",-IF(A34="Halm",SUMIFS(IF(E34=År1,'Resultater - Vestdanmark'!H$3:H$504,IF(E34=År2,'Resultater - Vestdanmark'!I$3:I$504,'Resultater - Vestdanmark'!J$3:J$504)),'Resultater - Vestdanmark'!$F$3:$F$504,$A34,'Resultater - Vestdanmark'!H$3:H$504,"&lt;0"),0),-IF(A34="Halm",SUMIFS(IF(E34=År1,'Resultater - Østdanmark'!H$3:H$504,IF(E34=År2,'Resultater - Østdanmark'!I$3:I$504,'Resultater - Østdanmark'!J$3:J$504)),'Resultater - Østdanmark'!$F$3:$F$504,$A34,'Resultater - Østdanmark'!H$3:H$504,"&lt;0"),0))</f>
        <v>0</v>
      </c>
      <c r="J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forbrug'!J$3,'Forbrug af biomasse'!$B$2:$B$425,$F34)</f>
        <v>0</v>
      </c>
      <c r="K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forbrug'!K$3,'Forbrug af biomasse'!$B$2:$B$425,$F34)</f>
        <v>0</v>
      </c>
      <c r="L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forbrug'!L$3,'Forbrug af biomasse'!$B$2:$B$425,$F34)</f>
        <v>0</v>
      </c>
      <c r="M34" s="94">
        <f>IF(A34&lt;&gt;"Biogas",SUMIFS('Forbrug af biomasse'!$E$2:$E$425,'Forbrug af biomasse'!$C$2:$C$425,'Resultat-Produktion &amp; forbrug'!$A34,'Forbrug af biomasse'!$D$2:$D$425,'Resultat-Produktion &amp; forbrug'!$E34,'Forbrug af biomasse'!$A$2:$A$425,'Resultat-Produktion &amp; forbrug'!M$3,'Forbrug af biomasse'!$B$2:$B$425,$F34),G34)</f>
        <v>0</v>
      </c>
      <c r="N34" s="94">
        <f>SUMIFS('Forbrug af biomasse'!E:E,'Forbrug af biomasse'!C:C,'Resultat-Produktion &amp; forbrug'!$A34,'Forbrug af biomasse'!D:D,'Resultat-Produktion &amp; forbrug'!$E34,'Forbrug af biomasse'!G:G,1,'Forbrug af biomasse'!B:B,$F34)</f>
        <v>0</v>
      </c>
      <c r="O34" s="179">
        <f t="shared" si="10"/>
        <v>1610618.3345669576</v>
      </c>
      <c r="P34" s="94">
        <f t="shared" si="4"/>
        <v>0</v>
      </c>
      <c r="Q34" s="180">
        <f t="shared" si="11"/>
        <v>0</v>
      </c>
      <c r="R34">
        <f>IFERROR(VLOOKUP(A34,[1]Energiindhold!$A$2:$C$11,3,FALSE),IFERROR(VLOOKUP(A34,[1]Biogasudbytte!$A$2:$B$18,2,FALSE)*[1]Energiindhold!$C$10,0))*P34</f>
        <v>0</v>
      </c>
      <c r="S34">
        <f>IF(A34&lt;&gt;"Biogas",IFERROR(VLOOKUP(A34,[1]Biogasudbytte!$A$2:$B$18,2,FALSE)*[1]Energiindhold!$C$10,0)*K34*IFERROR(VLOOKUP(A34,Biogasanlæg!$F$3:$G$8,2,FALSE),1)+IFERROR(VLOOKUP(A34,[1]Energiindhold!$A$2:$C$11,3,FALSE),0)*M34+IF(E34&lt;&gt;År1,R34,0),0)</f>
        <v>0</v>
      </c>
      <c r="T34">
        <f>IFERROR(VLOOKUP(A34,[1]Biogasudbytte!$A$2:$B$18,2,FALSE)*[1]Energiindhold!$C$10,0)*K34*IFERROR(VLOOKUP(A34,Biogasanlæg!$F$3:$G$8,2,FALSE),1)</f>
        <v>0</v>
      </c>
      <c r="U34" s="170">
        <f t="shared" si="12"/>
        <v>0</v>
      </c>
      <c r="V34" s="169">
        <f>P34*IFERROR(VLOOKUP(A34,[1]Tørstofindhold!A$2:B$24,2,FALSE),0)</f>
        <v>0</v>
      </c>
      <c r="W34">
        <f>IF(E34=År1,Q34,SUM(P34,Q34))*IFERROR(VLOOKUP(A34,[1]Tørstofindhold!A$2:B$24,2,FALSE),0)</f>
        <v>0</v>
      </c>
      <c r="X34">
        <f>K34*IFERROR(VLOOKUP(A34,[1]Tørstofindhold!A$2:B$24,2,FALSE),0)</f>
        <v>0</v>
      </c>
      <c r="Y34" s="170">
        <f t="shared" si="13"/>
        <v>0</v>
      </c>
      <c r="Z34">
        <f t="shared" si="1"/>
        <v>0</v>
      </c>
      <c r="AA34">
        <f t="shared" si="2"/>
        <v>1</v>
      </c>
      <c r="AB34" s="94">
        <f t="shared" si="8"/>
        <v>1610618.3345669576</v>
      </c>
      <c r="AC34">
        <f>AB34*D34*10000*VLOOKUP(A34,[1]kcal!$A$2:$C$49,3,FALSE)/1000000000000</f>
        <v>0.62814115048111341</v>
      </c>
    </row>
    <row r="35" spans="1:29" x14ac:dyDescent="0.25">
      <c r="A35" s="171" t="s">
        <v>95</v>
      </c>
      <c r="B35" s="171" t="s">
        <v>225</v>
      </c>
      <c r="C35" s="171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71">
        <v>0</v>
      </c>
      <c r="E35" s="171">
        <f t="shared" si="9"/>
        <v>2019</v>
      </c>
      <c r="F35" t="s">
        <v>23</v>
      </c>
      <c r="G35" s="94">
        <f>IF(F35="Vestdanmark",SUMIFS(IF(E35=År1,'Resultater - Vestdanmark'!H$3:H$504,IF(E35=År2,'Resultater - Vestdanmark'!I$3:I$504,'Resultater - Vestdanmark'!J$3:J$504)),'Resultater - Vestdanmark'!$F$3:$F$504,$A35,IF(E35=År1,'Resultater - Vestdanmark'!H$3:H$504,IF(E35=År2,'Resultater - Vestdanmark'!I$3:I$504,'Resultater - Vestdanmark'!J$3:J$504)),"&gt;0"),SUMIFS(IF(E35=År1,'Resultater - Østdanmark'!H$3:H$504,IF(E35=År2,'Resultater - Østdanmark'!I$3:I$504,'Resultater - Østdanmark'!J$3:J$504)),'Resultater - Østdanmark'!$F$3:$F$504,$A35,IF(E35=År1,'Resultater - Østdanmark'!H$3:H$504,IF(E35=År2,'Resultater - Østdanmark'!I$3:I$504,'Resultater - Østdanmark'!J$3:J$504)),"&gt;0"))</f>
        <v>171006.78248665464</v>
      </c>
      <c r="H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forbrug'!H$3,'Forbrug af biomasse'!$B$2:$B$425,$F35)</f>
        <v>0</v>
      </c>
      <c r="I35">
        <f>IF(F35="Vestdanmark",-IF(A35="Halm",SUMIFS(IF(E35=År1,'Resultater - Vestdanmark'!H$3:H$504,IF(E35=År2,'Resultater - Vestdanmark'!I$3:I$504,'Resultater - Vestdanmark'!J$3:J$504)),'Resultater - Vestdanmark'!$F$3:$F$504,$A35,'Resultater - Vestdanmark'!H$3:H$504,"&lt;0"),0),-IF(A35="Halm",SUMIFS(IF(E35=År1,'Resultater - Østdanmark'!H$3:H$504,IF(E35=År2,'Resultater - Østdanmark'!I$3:I$504,'Resultater - Østdanmark'!J$3:J$504)),'Resultater - Østdanmark'!$F$3:$F$504,$A35,'Resultater - Østdanmark'!H$3:H$504,"&lt;0"),0))</f>
        <v>0</v>
      </c>
      <c r="J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forbrug'!J$3,'Forbrug af biomasse'!$B$2:$B$425,$F35)</f>
        <v>0</v>
      </c>
      <c r="K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forbrug'!K$3,'Forbrug af biomasse'!$B$2:$B$425,$F35)</f>
        <v>0</v>
      </c>
      <c r="L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forbrug'!L$3,'Forbrug af biomasse'!$B$2:$B$425,$F35)</f>
        <v>0</v>
      </c>
      <c r="M35" s="94">
        <f>IF(A35&lt;&gt;"Biogas",SUMIFS('Forbrug af biomasse'!$E$2:$E$425,'Forbrug af biomasse'!$C$2:$C$425,'Resultat-Produktion &amp; forbrug'!$A35,'Forbrug af biomasse'!$D$2:$D$425,'Resultat-Produktion &amp; forbrug'!$E35,'Forbrug af biomasse'!$A$2:$A$425,'Resultat-Produktion &amp; forbrug'!M$3,'Forbrug af biomasse'!$B$2:$B$425,$F35),G35)</f>
        <v>171006.78248665464</v>
      </c>
      <c r="N35" s="94">
        <f>SUMIFS('Forbrug af biomasse'!E:E,'Forbrug af biomasse'!C:C,'Resultat-Produktion &amp; forbrug'!$A35,'Forbrug af biomasse'!D:D,'Resultat-Produktion &amp; forbrug'!$E35,'Forbrug af biomasse'!G:G,1,'Forbrug af biomasse'!B:B,$F35)</f>
        <v>0</v>
      </c>
      <c r="O35" s="179">
        <f t="shared" si="10"/>
        <v>0</v>
      </c>
      <c r="P35" s="94">
        <f t="shared" si="4"/>
        <v>0</v>
      </c>
      <c r="Q35" s="180">
        <f t="shared" si="11"/>
        <v>171006.78248665464</v>
      </c>
      <c r="R35">
        <f>IFERROR(VLOOKUP(A35,[1]Energiindhold!$A$2:$C$11,3,FALSE),IFERROR(VLOOKUP(A35,[1]Biogasudbytte!$A$2:$B$18,2,FALSE)*[1]Energiindhold!$C$10,0))*P35</f>
        <v>0</v>
      </c>
      <c r="S35">
        <f>IF(A35&lt;&gt;"Biogas",IFERROR(VLOOKUP(A35,[1]Biogasudbytte!$A$2:$B$18,2,FALSE)*[1]Energiindhold!$C$10,0)*K35*IFERROR(VLOOKUP(A35,Biogasanlæg!$F$3:$G$8,2,FALSE),1)+IFERROR(VLOOKUP(A35,[1]Energiindhold!$A$2:$C$11,3,FALSE),0)*M35+IF(E35&lt;&gt;År1,R35,0),0)</f>
        <v>3.146524797754445</v>
      </c>
      <c r="T35">
        <f>IFERROR(VLOOKUP(A35,[1]Biogasudbytte!$A$2:$B$18,2,FALSE)*[1]Energiindhold!$C$10,0)*K35*IFERROR(VLOOKUP(A35,Biogasanlæg!$F$3:$G$8,2,FALSE),1)</f>
        <v>0</v>
      </c>
      <c r="U35" s="170">
        <f t="shared" si="12"/>
        <v>3.146524797754445</v>
      </c>
      <c r="V35" s="169">
        <f>P35*IFERROR(VLOOKUP(A35,[1]Tørstofindhold!A$2:B$24,2,FALSE),0)</f>
        <v>0</v>
      </c>
      <c r="W35">
        <f>IF(E35=År1,Q35,SUM(P35,Q35))*IFERROR(VLOOKUP(A35,[1]Tørstofindhold!A$2:B$24,2,FALSE),0)</f>
        <v>70967.814731961684</v>
      </c>
      <c r="X35">
        <f>K35*IFERROR(VLOOKUP(A35,[1]Tørstofindhold!A$2:B$24,2,FALSE),0)</f>
        <v>0</v>
      </c>
      <c r="Y35" s="170">
        <f t="shared" si="13"/>
        <v>70967.814731961684</v>
      </c>
      <c r="Z35">
        <f t="shared" si="1"/>
        <v>0</v>
      </c>
      <c r="AA35">
        <f t="shared" si="2"/>
        <v>0</v>
      </c>
      <c r="AB35" s="94">
        <f t="shared" si="8"/>
        <v>171006.78248665464</v>
      </c>
      <c r="AC35">
        <f>AB35*D35*10000*VLOOKUP(A35,[1]kcal!$A$2:$C$49,3,FALSE)/1000000000000</f>
        <v>0</v>
      </c>
    </row>
    <row r="36" spans="1:29" x14ac:dyDescent="0.25">
      <c r="A36" s="171" t="s">
        <v>306</v>
      </c>
      <c r="B36" s="171" t="s">
        <v>312</v>
      </c>
      <c r="C36" s="171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71">
        <v>0</v>
      </c>
      <c r="E36" s="171">
        <f t="shared" si="9"/>
        <v>2019</v>
      </c>
      <c r="F36" t="s">
        <v>23</v>
      </c>
      <c r="G36" s="94">
        <f ca="1">IF(F36="Vestdanmark",SUMIFS(IF(E36=År1,'Resultater - Vestdanmark'!H$3:H$504,IF(E36=År2,'Resultater - Vestdanmark'!I$3:I$504,'Resultater - Vestdanmark'!J$3:J$504)),'Resultater - Vestdanmark'!$F$3:$F$504,$A36,IF(E36=År1,'Resultater - Vestdanmark'!H$3:H$504,IF(E36=År2,'Resultater - Vestdanmark'!I$3:I$504,'Resultater - Vestdanmark'!J$3:J$504)),"&gt;0"),SUMIFS(IF(E36=År1,'Resultater - Østdanmark'!H$3:H$504,IF(E36=År2,'Resultater - Østdanmark'!I$3:I$504,'Resultater - Østdanmark'!J$3:J$504)),'Resultater - Østdanmark'!$F$3:$F$504,$A36,IF(E36=År1,'Resultater - Østdanmark'!H$3:H$504,IF(E36=År2,'Resultater - Østdanmark'!I$3:I$504,'Resultater - Østdanmark'!J$3:J$504)),"&gt;0"))</f>
        <v>0</v>
      </c>
      <c r="H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forbrug'!H$3,'Forbrug af biomasse'!$B$2:$B$425,$F36)</f>
        <v>0</v>
      </c>
      <c r="I36">
        <f>IF(F36="Vestdanmark",-IF(A36="Halm",SUMIFS(IF(E36=År1,'Resultater - Vestdanmark'!H$3:H$504,IF(E36=År2,'Resultater - Vestdanmark'!I$3:I$504,'Resultater - Vestdanmark'!J$3:J$504)),'Resultater - Vestdanmark'!$F$3:$F$504,$A36,'Resultater - Vestdanmark'!H$3:H$504,"&lt;0"),0),-IF(A36="Halm",SUMIFS(IF(E36=År1,'Resultater - Østdanmark'!H$3:H$504,IF(E36=År2,'Resultater - Østdanmark'!I$3:I$504,'Resultater - Østdanmark'!J$3:J$504)),'Resultater - Østdanmark'!$F$3:$F$504,$A36,'Resultater - Østdanmark'!H$3:H$504,"&lt;0"),0))</f>
        <v>0</v>
      </c>
      <c r="J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forbrug'!J$3,'Forbrug af biomasse'!$B$2:$B$425,$F36)</f>
        <v>0</v>
      </c>
      <c r="K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forbrug'!K$3,'Forbrug af biomasse'!$B$2:$B$425,$F36)</f>
        <v>0</v>
      </c>
      <c r="L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forbrug'!L$3,'Forbrug af biomasse'!$B$2:$B$425,$F36)</f>
        <v>0</v>
      </c>
      <c r="M36" s="94">
        <f ca="1">IF(A36&lt;&gt;"Biogas",SUMIFS('Forbrug af biomasse'!$E$2:$E$425,'Forbrug af biomasse'!$C$2:$C$425,'Resultat-Produktion &amp; forbrug'!$A36,'Forbrug af biomasse'!$D$2:$D$425,'Resultat-Produktion &amp; forbrug'!$E36,'Forbrug af biomasse'!$A$2:$A$425,'Resultat-Produktion &amp; forbrug'!M$3,'Forbrug af biomasse'!$B$2:$B$425,$F36),G36)</f>
        <v>0</v>
      </c>
      <c r="N36" s="94">
        <f>SUMIFS('Forbrug af biomasse'!E:E,'Forbrug af biomasse'!C:C,'Resultat-Produktion &amp; forbrug'!$A36,'Forbrug af biomasse'!D:D,'Resultat-Produktion &amp; forbrug'!$E36,'Forbrug af biomasse'!G:G,1,'Forbrug af biomasse'!B:B,$F36)</f>
        <v>0</v>
      </c>
      <c r="O36" s="179">
        <f t="shared" ref="O36:O37" ca="1" si="14">G36-SUM(H36:N36)</f>
        <v>0</v>
      </c>
      <c r="P36" s="94">
        <f t="shared" ca="1" si="4"/>
        <v>0</v>
      </c>
      <c r="Q36" s="180">
        <f t="shared" ref="Q36:Q37" ca="1" si="15">SUM(K36,M36)</f>
        <v>0</v>
      </c>
      <c r="R36">
        <f ca="1">IFERROR(VLOOKUP(A36,[1]Energiindhold!$A$2:$C$11,3,FALSE),IFERROR(VLOOKUP(A36,[1]Biogasudbytte!$A$2:$B$18,2,FALSE)*[1]Energiindhold!$C$10,0))*P36</f>
        <v>0</v>
      </c>
      <c r="S36">
        <f ca="1">IF(A36&lt;&gt;"Biogas",IFERROR(VLOOKUP(A36,[1]Biogasudbytte!$A$2:$B$18,2,FALSE)*[1]Energiindhold!$C$10,0)*K36*IFERROR(VLOOKUP(A36,Biogasanlæg!$F$3:$G$8,2,FALSE),1)+IFERROR(VLOOKUP(A36,[1]Energiindhold!$A$2:$C$11,3,FALSE),0)*M36+IF(E36&lt;&gt;År1,R36,0),0)</f>
        <v>0</v>
      </c>
      <c r="T36">
        <f>IFERROR(VLOOKUP(A36,[1]Biogasudbytte!$A$2:$B$18,2,FALSE)*[1]Energiindhold!$C$10,0)*K36*IFERROR(VLOOKUP(A36,Biogasanlæg!$F$3:$G$8,2,FALSE),1)</f>
        <v>0</v>
      </c>
      <c r="U36" s="170">
        <f t="shared" ref="U36:U37" ca="1" si="16">S36-T36</f>
        <v>0</v>
      </c>
      <c r="V36" s="169">
        <f ca="1">P36*IFERROR(VLOOKUP(A36,[1]Tørstofindhold!A$2:B$24,2,FALSE),0)</f>
        <v>0</v>
      </c>
      <c r="W36">
        <f ca="1">IF(E36=År1,Q36,SUM(P36,Q36))*IFERROR(VLOOKUP(A36,[1]Tørstofindhold!A$2:B$24,2,FALSE),0)</f>
        <v>0</v>
      </c>
      <c r="X36">
        <f>K36*IFERROR(VLOOKUP(A36,[1]Tørstofindhold!A$2:B$24,2,FALSE),0)</f>
        <v>0</v>
      </c>
      <c r="Y36" s="170">
        <f t="shared" ref="Y36:Y37" ca="1" si="17">W36-X36</f>
        <v>0</v>
      </c>
      <c r="Z36">
        <f t="shared" ca="1" si="1"/>
        <v>0</v>
      </c>
      <c r="AA36">
        <f t="shared" ca="1" si="2"/>
        <v>0</v>
      </c>
      <c r="AB36" s="94">
        <f t="shared" ca="1" si="8"/>
        <v>0</v>
      </c>
      <c r="AC36">
        <f ca="1">AB36*D36*10000*VLOOKUP(A36,[1]kcal!$A$2:$C$49,3,FALSE)/1000000000000</f>
        <v>0</v>
      </c>
    </row>
    <row r="37" spans="1:29" x14ac:dyDescent="0.25">
      <c r="A37" s="171" t="s">
        <v>307</v>
      </c>
      <c r="B37" s="171" t="s">
        <v>312</v>
      </c>
      <c r="C37" s="171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1</v>
      </c>
      <c r="D37" s="171">
        <v>0</v>
      </c>
      <c r="E37" s="171">
        <f t="shared" si="9"/>
        <v>2019</v>
      </c>
      <c r="F37" t="s">
        <v>23</v>
      </c>
      <c r="G37" s="94">
        <f ca="1">IF(F37="Vestdanmark",SUMIFS(IF(E37=År1,'Resultater - Vestdanmark'!H$3:H$504,IF(E37=År2,'Resultater - Vestdanmark'!I$3:I$504,'Resultater - Vestdanmark'!J$3:J$504)),'Resultater - Vestdanmark'!$F$3:$F$504,$A37,IF(E37=År1,'Resultater - Vestdanmark'!H$3:H$504,IF(E37=År2,'Resultater - Vestdanmark'!I$3:I$504,'Resultater - Vestdanmark'!J$3:J$504)),"&gt;0"),SUMIFS(IF(E37=År1,'Resultater - Østdanmark'!H$3:H$504,IF(E37=År2,'Resultater - Østdanmark'!I$3:I$504,'Resultater - Østdanmark'!J$3:J$504)),'Resultater - Østdanmark'!$F$3:$F$504,$A37,IF(E37=År1,'Resultater - Østdanmark'!H$3:H$504,IF(E37=År2,'Resultater - Østdanmark'!I$3:I$504,'Resultater - Østdanmark'!J$3:J$504)),"&gt;0"))</f>
        <v>0</v>
      </c>
      <c r="H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forbrug'!H$3,'Forbrug af biomasse'!$B$2:$B$425,$F37)</f>
        <v>0</v>
      </c>
      <c r="I37">
        <f>IF(F37="Vestdanmark",-IF(A37="Halm",SUMIFS(IF(E37=År1,'Resultater - Vestdanmark'!H$3:H$504,IF(E37=År2,'Resultater - Vestdanmark'!I$3:I$504,'Resultater - Vestdanmark'!J$3:J$504)),'Resultater - Vestdanmark'!$F$3:$F$504,$A37,'Resultater - Vestdanmark'!H$3:H$504,"&lt;0"),0),-IF(A37="Halm",SUMIFS(IF(E37=År1,'Resultater - Østdanmark'!H$3:H$504,IF(E37=År2,'Resultater - Østdanmark'!I$3:I$504,'Resultater - Østdanmark'!J$3:J$504)),'Resultater - Østdanmark'!$F$3:$F$504,$A37,'Resultater - Østdanmark'!H$3:H$504,"&lt;0"),0))</f>
        <v>0</v>
      </c>
      <c r="J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forbrug'!J$3,'Forbrug af biomasse'!$B$2:$B$425,$F37)</f>
        <v>0</v>
      </c>
      <c r="K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forbrug'!K$3,'Forbrug af biomasse'!$B$2:$B$425,$F37)</f>
        <v>0</v>
      </c>
      <c r="L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forbrug'!L$3,'Forbrug af biomasse'!$B$2:$B$425,$F37)</f>
        <v>0</v>
      </c>
      <c r="M37" s="94">
        <f ca="1">IF(A37&lt;&gt;"Biogas",SUMIFS('Forbrug af biomasse'!$E$2:$E$425,'Forbrug af biomasse'!$C$2:$C$425,'Resultat-Produktion &amp; forbrug'!$A37,'Forbrug af biomasse'!$D$2:$D$425,'Resultat-Produktion &amp; forbrug'!$E37,'Forbrug af biomasse'!$A$2:$A$425,'Resultat-Produktion &amp; forbrug'!M$3,'Forbrug af biomasse'!$B$2:$B$425,$F37),G37)</f>
        <v>0</v>
      </c>
      <c r="N37" s="94">
        <f>SUMIFS('Forbrug af biomasse'!E:E,'Forbrug af biomasse'!C:C,'Resultat-Produktion &amp; forbrug'!$A37,'Forbrug af biomasse'!D:D,'Resultat-Produktion &amp; forbrug'!$E37,'Forbrug af biomasse'!G:G,1,'Forbrug af biomasse'!B:B,$F37)</f>
        <v>0</v>
      </c>
      <c r="O37" s="179">
        <f t="shared" ca="1" si="14"/>
        <v>0</v>
      </c>
      <c r="P37" s="94">
        <f t="shared" ca="1" si="4"/>
        <v>0</v>
      </c>
      <c r="Q37" s="180">
        <f t="shared" ca="1" si="15"/>
        <v>0</v>
      </c>
      <c r="R37">
        <f ca="1">IFERROR(VLOOKUP(A37,[1]Energiindhold!$A$2:$C$11,3,FALSE),IFERROR(VLOOKUP(A37,[1]Biogasudbytte!$A$2:$B$18,2,FALSE)*[1]Energiindhold!$C$10,0))*P37</f>
        <v>0</v>
      </c>
      <c r="S37">
        <f ca="1">IF(A37&lt;&gt;"Biogas",IFERROR(VLOOKUP(A37,[1]Biogasudbytte!$A$2:$B$18,2,FALSE)*[1]Energiindhold!$C$10,0)*K37*IFERROR(VLOOKUP(A37,Biogasanlæg!$F$3:$G$8,2,FALSE),1)+IFERROR(VLOOKUP(A37,[1]Energiindhold!$A$2:$C$11,3,FALSE),0)*M37+IF(E37&lt;&gt;År1,R37,0),0)</f>
        <v>0</v>
      </c>
      <c r="T37">
        <f>IFERROR(VLOOKUP(A37,[1]Biogasudbytte!$A$2:$B$18,2,FALSE)*[1]Energiindhold!$C$10,0)*K37*IFERROR(VLOOKUP(A37,Biogasanlæg!$F$3:$G$8,2,FALSE),1)</f>
        <v>0</v>
      </c>
      <c r="U37" s="170">
        <f t="shared" ca="1" si="16"/>
        <v>0</v>
      </c>
      <c r="V37" s="169">
        <f ca="1">P37*IFERROR(VLOOKUP(A37,[1]Tørstofindhold!A$2:B$24,2,FALSE),0)</f>
        <v>0</v>
      </c>
      <c r="W37">
        <f ca="1">IF(E37=År1,Q37,SUM(P37,Q37))*IFERROR(VLOOKUP(A37,[1]Tørstofindhold!A$2:B$24,2,FALSE),0)</f>
        <v>0</v>
      </c>
      <c r="X37">
        <f>K37*IFERROR(VLOOKUP(A37,[1]Tørstofindhold!A$2:B$24,2,FALSE),0)</f>
        <v>0</v>
      </c>
      <c r="Y37" s="170">
        <f t="shared" ca="1" si="17"/>
        <v>0</v>
      </c>
      <c r="Z37">
        <f t="shared" ca="1" si="1"/>
        <v>0</v>
      </c>
      <c r="AA37">
        <f t="shared" ca="1" si="2"/>
        <v>0</v>
      </c>
      <c r="AB37" s="94">
        <f t="shared" ca="1" si="8"/>
        <v>0</v>
      </c>
      <c r="AC37">
        <f ca="1">AB37*D37*10000*VLOOKUP(A37,[1]kcal!$A$2:$C$49,3,FALSE)/1000000000000</f>
        <v>0</v>
      </c>
    </row>
    <row r="38" spans="1:29" x14ac:dyDescent="0.25">
      <c r="A38" s="171" t="s">
        <v>117</v>
      </c>
      <c r="B38" s="171"/>
      <c r="C38" s="171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71">
        <v>0</v>
      </c>
      <c r="E38" s="171">
        <f t="shared" si="9"/>
        <v>2019</v>
      </c>
      <c r="F38" t="s">
        <v>23</v>
      </c>
      <c r="G38" s="94">
        <f>IF(F38="Vestdanmark",SUMIFS(IF(E38=År1,'Resultater - Vestdanmark'!H$3:H$504,IF(E38=År2,'Resultater - Vestdanmark'!I$3:I$504,'Resultater - Vestdanmark'!J$3:J$504)),'Resultater - Vestdanmark'!$F$3:$F$504,$A38,IF(E38=År1,'Resultater - Vestdanmark'!H$3:H$504,IF(E38=År2,'Resultater - Vestdanmark'!I$3:I$504,'Resultater - Vestdanmark'!J$3:J$504)),"&gt;0"),SUMIFS(IF(E38=År1,'Resultater - Østdanmark'!H$3:H$504,IF(E38=År2,'Resultater - Østdanmark'!I$3:I$504,'Resultater - Østdanmark'!J$3:J$504)),'Resultater - Østdanmark'!$F$3:$F$504,$A38,IF(E38=År1,'Resultater - Østdanmark'!H$3:H$504,IF(E38=År2,'Resultater - Østdanmark'!I$3:I$504,'Resultater - Østdanmark'!J$3:J$504)),"&gt;0"))</f>
        <v>4922001.9803787302</v>
      </c>
      <c r="H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forbrug'!H$3,'Forbrug af biomasse'!$B$2:$B$425,$F38)</f>
        <v>0</v>
      </c>
      <c r="I38">
        <f>IF(F38="Vestdanmark",-IF(A38="Halm",SUMIFS(IF(E38=År1,'Resultater - Vestdanmark'!H$3:H$504,IF(E38=År2,'Resultater - Vestdanmark'!I$3:I$504,'Resultater - Vestdanmark'!J$3:J$504)),'Resultater - Vestdanmark'!$F$3:$F$504,$A38,'Resultater - Vestdanmark'!H$3:H$504,"&lt;0"),0),-IF(A38="Halm",SUMIFS(IF(E38=År1,'Resultater - Østdanmark'!H$3:H$504,IF(E38=År2,'Resultater - Østdanmark'!I$3:I$504,'Resultater - Østdanmark'!J$3:J$504)),'Resultater - Østdanmark'!$F$3:$F$504,$A38,'Resultater - Østdanmark'!H$3:H$504,"&lt;0"),0))</f>
        <v>0</v>
      </c>
      <c r="J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forbrug'!J$3,'Forbrug af biomasse'!$B$2:$B$425,$F38)</f>
        <v>0</v>
      </c>
      <c r="K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forbrug'!K$3,'Forbrug af biomasse'!$B$2:$B$425,$F38)</f>
        <v>0</v>
      </c>
      <c r="L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forbrug'!L$3,'Forbrug af biomasse'!$B$2:$B$425,$F38)</f>
        <v>0</v>
      </c>
      <c r="M38" s="94">
        <f>IF(A38&lt;&gt;"Biogas",SUMIFS('Forbrug af biomasse'!$E$2:$E$425,'Forbrug af biomasse'!$C$2:$C$425,'Resultat-Produktion &amp; forbrug'!$A38,'Forbrug af biomasse'!$D$2:$D$425,'Resultat-Produktion &amp; forbrug'!$E38,'Forbrug af biomasse'!$A$2:$A$425,'Resultat-Produktion &amp; forbrug'!M$3,'Forbrug af biomasse'!$B$2:$B$425,$F38),G38)</f>
        <v>0</v>
      </c>
      <c r="N38" s="94">
        <f>SUMIFS('Forbrug af biomasse'!E:E,'Forbrug af biomasse'!C:C,'Resultat-Produktion &amp; forbrug'!$A38,'Forbrug af biomasse'!D:D,'Resultat-Produktion &amp; forbrug'!$E38,'Forbrug af biomasse'!G:G,1,'Forbrug af biomasse'!B:B,$F38)</f>
        <v>0</v>
      </c>
      <c r="O38" s="179">
        <f t="shared" si="10"/>
        <v>4922001.9803787302</v>
      </c>
      <c r="P38" s="94">
        <f t="shared" si="4"/>
        <v>0</v>
      </c>
      <c r="Q38" s="180">
        <f t="shared" si="11"/>
        <v>0</v>
      </c>
      <c r="R38">
        <f>IFERROR(VLOOKUP(A38,[1]Energiindhold!$A$2:$C$11,3,FALSE),IFERROR(VLOOKUP(A38,[1]Biogasudbytte!$A$2:$B$18,2,FALSE)*[1]Energiindhold!$C$10,0))*P38</f>
        <v>0</v>
      </c>
      <c r="S38">
        <f>IF(A38&lt;&gt;"Biogas",IFERROR(VLOOKUP(A38,[1]Biogasudbytte!$A$2:$B$18,2,FALSE)*[1]Energiindhold!$C$10,0)*K38*IFERROR(VLOOKUP(A38,Biogasanlæg!$F$3:$G$8,2,FALSE),1)+IFERROR(VLOOKUP(A38,[1]Energiindhold!$A$2:$C$11,3,FALSE),0)*M38+IF(E38&lt;&gt;År1,R38,0),0)</f>
        <v>0</v>
      </c>
      <c r="T38">
        <f>IFERROR(VLOOKUP(A38,[1]Biogasudbytte!$A$2:$B$18,2,FALSE)*[1]Energiindhold!$C$10,0)*K38*IFERROR(VLOOKUP(A38,Biogasanlæg!$F$3:$G$8,2,FALSE),1)</f>
        <v>0</v>
      </c>
      <c r="U38" s="170">
        <f t="shared" si="12"/>
        <v>0</v>
      </c>
      <c r="V38" s="169">
        <f>P38*IFERROR(VLOOKUP(A38,[1]Tørstofindhold!A$2:B$24,2,FALSE),0)</f>
        <v>0</v>
      </c>
      <c r="W38">
        <f>IF(E38=År1,Q38,SUM(P38,Q38))*IFERROR(VLOOKUP(A38,[1]Tørstofindhold!A$2:B$24,2,FALSE),0)</f>
        <v>0</v>
      </c>
      <c r="X38">
        <f>K38*IFERROR(VLOOKUP(A38,[1]Tørstofindhold!A$2:B$24,2,FALSE),0)</f>
        <v>0</v>
      </c>
      <c r="Y38" s="170">
        <f t="shared" si="13"/>
        <v>0</v>
      </c>
      <c r="Z38">
        <f t="shared" ca="1" si="1"/>
        <v>0</v>
      </c>
      <c r="AA38">
        <f t="shared" ca="1" si="2"/>
        <v>1</v>
      </c>
      <c r="AB38" s="94">
        <f t="shared" si="8"/>
        <v>4922001.9803787302</v>
      </c>
      <c r="AC38">
        <f>AB38*D38*10000*VLOOKUP(A38,[1]kcal!$A$2:$C$49,3,FALSE)/1000000000000</f>
        <v>0</v>
      </c>
    </row>
    <row r="39" spans="1:29" x14ac:dyDescent="0.25">
      <c r="A39" t="s">
        <v>50</v>
      </c>
      <c r="B39" s="171"/>
      <c r="C39" s="171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71">
        <v>0</v>
      </c>
      <c r="E39" s="171">
        <f t="shared" si="9"/>
        <v>2019</v>
      </c>
      <c r="F39" t="s">
        <v>23</v>
      </c>
      <c r="G39" s="94">
        <f>IF(F39="Vestdanmark",SUMIFS(IF(E39=År1,'Resultater - Vestdanmark'!H$3:H$504,IF(E39=År2,'Resultater - Vestdanmark'!I$3:I$504,'Resultater - Vestdanmark'!J$3:J$504)),'Resultater - Vestdanmark'!$F$3:$F$504,$A39,IF(E39=År1,'Resultater - Vestdanmark'!H$3:H$504,IF(E39=År2,'Resultater - Vestdanmark'!I$3:I$504,'Resultater - Vestdanmark'!J$3:J$504)),"&gt;0"),SUMIFS(IF(E39=År1,'Resultater - Østdanmark'!H$3:H$504,IF(E39=År2,'Resultater - Østdanmark'!I$3:I$504,'Resultater - Østdanmark'!J$3:J$504)),'Resultater - Østdanmark'!$F$3:$F$504,$A39,IF(E39=År1,'Resultater - Østdanmark'!H$3:H$504,IF(E39=År2,'Resultater - Østdanmark'!I$3:I$504,'Resultater - Østdanmark'!J$3:J$504)),"&gt;0"))</f>
        <v>485762.00237315823</v>
      </c>
      <c r="H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forbrug'!H$3,'Forbrug af biomasse'!$B$2:$B$425,$F39)</f>
        <v>0</v>
      </c>
      <c r="I39">
        <f>IF(F39="Vestdanmark",-IF(A39="Halm",SUMIFS(IF(E39=År1,'Resultater - Vestdanmark'!H$3:H$504,IF(E39=År2,'Resultater - Vestdanmark'!I$3:I$504,'Resultater - Vestdanmark'!J$3:J$504)),'Resultater - Vestdanmark'!$F$3:$F$504,$A39,'Resultater - Vestdanmark'!H$3:H$504,"&lt;0"),0),-IF(A39="Halm",SUMIFS(IF(E39=År1,'Resultater - Østdanmark'!H$3:H$504,IF(E39=År2,'Resultater - Østdanmark'!I$3:I$504,'Resultater - Østdanmark'!J$3:J$504)),'Resultater - Østdanmark'!$F$3:$F$504,$A39,'Resultater - Østdanmark'!H$3:H$504,"&lt;0"),0))</f>
        <v>0</v>
      </c>
      <c r="J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forbrug'!J$3,'Forbrug af biomasse'!$B$2:$B$425,$F39)</f>
        <v>0</v>
      </c>
      <c r="K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forbrug'!K$3,'Forbrug af biomasse'!$B$2:$B$425,$F39)</f>
        <v>0</v>
      </c>
      <c r="L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forbrug'!L$3,'Forbrug af biomasse'!$B$2:$B$425,$F39)</f>
        <v>0</v>
      </c>
      <c r="M39" s="94">
        <f>IF(A39&lt;&gt;"Biogas",SUMIFS('Forbrug af biomasse'!$E$2:$E$425,'Forbrug af biomasse'!$C$2:$C$425,'Resultat-Produktion &amp; forbrug'!$A39,'Forbrug af biomasse'!$D$2:$D$425,'Resultat-Produktion &amp; forbrug'!$E39,'Forbrug af biomasse'!$A$2:$A$425,'Resultat-Produktion &amp; forbrug'!M$3,'Forbrug af biomasse'!$B$2:$B$425,$F39),G39)</f>
        <v>0</v>
      </c>
      <c r="N39" s="94">
        <f>SUMIFS('Forbrug af biomasse'!E:E,'Forbrug af biomasse'!C:C,'Resultat-Produktion &amp; forbrug'!$A39,'Forbrug af biomasse'!D:D,'Resultat-Produktion &amp; forbrug'!$E39,'Forbrug af biomasse'!G:G,1,'Forbrug af biomasse'!B:B,$F39)</f>
        <v>485762.00237315823</v>
      </c>
      <c r="O39" s="179">
        <f t="shared" si="10"/>
        <v>0</v>
      </c>
      <c r="P39" s="94">
        <f t="shared" si="4"/>
        <v>0</v>
      </c>
      <c r="Q39" s="180">
        <f t="shared" si="11"/>
        <v>0</v>
      </c>
      <c r="R39">
        <f>IFERROR(VLOOKUP(A39,[1]Energiindhold!$A$2:$C$11,3,FALSE),IFERROR(VLOOKUP(A39,[1]Biogasudbytte!$A$2:$B$18,2,FALSE)*[1]Energiindhold!$C$10,0))*P39</f>
        <v>0</v>
      </c>
      <c r="S39">
        <f>IF(A39&lt;&gt;"Biogas",IFERROR(VLOOKUP(A39,[1]Biogasudbytte!$A$2:$B$18,2,FALSE)*[1]Energiindhold!$C$10,0)*K39*IFERROR(VLOOKUP(A39,Biogasanlæg!$F$3:$G$8,2,FALSE),1)+IFERROR(VLOOKUP(A39,[1]Energiindhold!$A$2:$C$11,3,FALSE),0)*M39+IF(E39&lt;&gt;År1,R39,0),0)</f>
        <v>0</v>
      </c>
      <c r="T39">
        <f>IFERROR(VLOOKUP(A39,[1]Biogasudbytte!$A$2:$B$18,2,FALSE)*[1]Energiindhold!$C$10,0)*K39*IFERROR(VLOOKUP(A39,Biogasanlæg!$F$3:$G$8,2,FALSE),1)</f>
        <v>0</v>
      </c>
      <c r="U39" s="170">
        <f t="shared" si="12"/>
        <v>0</v>
      </c>
      <c r="V39" s="169">
        <f>P39*IFERROR(VLOOKUP(A39,[1]Tørstofindhold!A$2:B$24,2,FALSE),0)</f>
        <v>0</v>
      </c>
      <c r="W39">
        <f>IF(E39=År1,Q39,SUM(P39,Q39))*IFERROR(VLOOKUP(A39,[1]Tørstofindhold!A$2:B$24,2,FALSE),0)</f>
        <v>0</v>
      </c>
      <c r="X39">
        <f>K39*IFERROR(VLOOKUP(A39,[1]Tørstofindhold!A$2:B$24,2,FALSE),0)</f>
        <v>0</v>
      </c>
      <c r="Y39" s="170">
        <f t="shared" si="13"/>
        <v>0</v>
      </c>
      <c r="Z39">
        <f t="shared" si="1"/>
        <v>0</v>
      </c>
      <c r="AA39">
        <f t="shared" si="2"/>
        <v>0</v>
      </c>
      <c r="AB39" s="94">
        <f t="shared" si="8"/>
        <v>485762.00237315823</v>
      </c>
      <c r="AC39">
        <f>AB39*D39*10000*VLOOKUP(A39,[1]kcal!$A$2:$C$49,3,FALSE)/1000000000000</f>
        <v>0</v>
      </c>
    </row>
    <row r="40" spans="1:29" x14ac:dyDescent="0.25">
      <c r="A40" t="s">
        <v>238</v>
      </c>
      <c r="B40" s="171"/>
      <c r="C40" s="171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0</v>
      </c>
      <c r="D40" s="171">
        <v>0</v>
      </c>
      <c r="E40" s="171">
        <f t="shared" si="9"/>
        <v>2019</v>
      </c>
      <c r="F40" t="s">
        <v>23</v>
      </c>
      <c r="G40" s="94">
        <f>IF(F40="Vestdanmark",SUMIFS(IF(E40=År1,'Resultater - Vestdanmark'!H$3:H$504,IF(E40=År2,'Resultater - Vestdanmark'!I$3:I$504,'Resultater - Vestdanmark'!J$3:J$504)),'Resultater - Vestdanmark'!$F$3:$F$504,$A40,IF(E40=År1,'Resultater - Vestdanmark'!H$3:H$504,IF(E40=År2,'Resultater - Vestdanmark'!I$3:I$504,'Resultater - Vestdanmark'!J$3:J$504)),"&gt;0"),SUMIFS(IF(E40=År1,'Resultater - Østdanmark'!H$3:H$504,IF(E40=År2,'Resultater - Østdanmark'!I$3:I$504,'Resultater - Østdanmark'!J$3:J$504)),'Resultater - Østdanmark'!$F$3:$F$504,$A40,IF(E40=År1,'Resultater - Østdanmark'!H$3:H$504,IF(E40=År2,'Resultater - Østdanmark'!I$3:I$504,'Resultater - Østdanmark'!J$3:J$504)),"&gt;0"))</f>
        <v>242881.00118657912</v>
      </c>
      <c r="H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forbrug'!H$3,'Forbrug af biomasse'!$B$2:$B$425,$F40)</f>
        <v>214099.10609126228</v>
      </c>
      <c r="I40">
        <f>IF(F40="Vestdanmark",-IF(A40="Halm",SUMIFS(IF(E40=År1,'Resultater - Vestdanmark'!H$3:H$504,IF(E40=År2,'Resultater - Vestdanmark'!I$3:I$504,'Resultater - Vestdanmark'!J$3:J$504)),'Resultater - Vestdanmark'!$F$3:$F$504,$A40,'Resultater - Vestdanmark'!H$3:H$504,"&lt;0"),0),-IF(A40="Halm",SUMIFS(IF(E40=År1,'Resultater - Østdanmark'!H$3:H$504,IF(E40=År2,'Resultater - Østdanmark'!I$3:I$504,'Resultater - Østdanmark'!J$3:J$504)),'Resultater - Østdanmark'!$F$3:$F$504,$A40,'Resultater - Østdanmark'!H$3:H$504,"&lt;0"),0))</f>
        <v>0</v>
      </c>
      <c r="J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forbrug'!J$3,'Forbrug af biomasse'!$B$2:$B$425,$F40)</f>
        <v>0</v>
      </c>
      <c r="K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forbrug'!K$3,'Forbrug af biomasse'!$B$2:$B$425,$F40)</f>
        <v>0</v>
      </c>
      <c r="L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forbrug'!L$3,'Forbrug af biomasse'!$B$2:$B$425,$F40)</f>
        <v>0</v>
      </c>
      <c r="M40" s="94">
        <f>IF(A40&lt;&gt;"Biogas",SUMIFS('Forbrug af biomasse'!$E$2:$E$425,'Forbrug af biomasse'!$C$2:$C$425,'Resultat-Produktion &amp; forbrug'!$A40,'Forbrug af biomasse'!$D$2:$D$425,'Resultat-Produktion &amp; forbrug'!$E40,'Forbrug af biomasse'!$A$2:$A$425,'Resultat-Produktion &amp; forbrug'!M$3,'Forbrug af biomasse'!$B$2:$B$425,$F40),G40)</f>
        <v>0</v>
      </c>
      <c r="N40" s="94">
        <f>SUMIFS('Forbrug af biomasse'!E:E,'Forbrug af biomasse'!C:C,'Resultat-Produktion &amp; forbrug'!$A40,'Forbrug af biomasse'!D:D,'Resultat-Produktion &amp; forbrug'!$E40,'Forbrug af biomasse'!G:G,1,'Forbrug af biomasse'!B:B,$F40)</f>
        <v>0</v>
      </c>
      <c r="O40" s="179">
        <f t="shared" si="10"/>
        <v>28781.895095316839</v>
      </c>
      <c r="P40" s="94">
        <f t="shared" si="4"/>
        <v>0</v>
      </c>
      <c r="Q40" s="180">
        <f t="shared" si="11"/>
        <v>0</v>
      </c>
      <c r="R40">
        <f>IFERROR(VLOOKUP(A40,[1]Energiindhold!$A$2:$C$11,3,FALSE),IFERROR(VLOOKUP(A40,[1]Biogasudbytte!$A$2:$B$18,2,FALSE)*[1]Energiindhold!$C$10,0))*P40</f>
        <v>0</v>
      </c>
      <c r="S40">
        <f>IF(A40&lt;&gt;"Biogas",IFERROR(VLOOKUP(A40,[1]Biogasudbytte!$A$2:$B$18,2,FALSE)*[1]Energiindhold!$C$10,0)*K40*IFERROR(VLOOKUP(A40,Biogasanlæg!$F$3:$G$8,2,FALSE),1)+IFERROR(VLOOKUP(A40,[1]Energiindhold!$A$2:$C$11,3,FALSE),0)*M40+IF(E40&lt;&gt;År1,R40,0),0)</f>
        <v>0</v>
      </c>
      <c r="T40">
        <f>IFERROR(VLOOKUP(A40,[1]Biogasudbytte!$A$2:$B$18,2,FALSE)*[1]Energiindhold!$C$10,0)*K40*IFERROR(VLOOKUP(A40,Biogasanlæg!$F$3:$G$8,2,FALSE),1)</f>
        <v>0</v>
      </c>
      <c r="U40" s="170">
        <f t="shared" si="12"/>
        <v>0</v>
      </c>
      <c r="V40" s="169">
        <f>P40*IFERROR(VLOOKUP(A40,[1]Tørstofindhold!A$2:B$24,2,FALSE),0)</f>
        <v>0</v>
      </c>
      <c r="W40">
        <f>IF(E40=År1,Q40,SUM(P40,Q40))*IFERROR(VLOOKUP(A40,[1]Tørstofindhold!A$2:B$24,2,FALSE),0)</f>
        <v>0</v>
      </c>
      <c r="X40">
        <f>K40*IFERROR(VLOOKUP(A40,[1]Tørstofindhold!A$2:B$24,2,FALSE),0)</f>
        <v>0</v>
      </c>
      <c r="Y40" s="170">
        <f t="shared" si="13"/>
        <v>0</v>
      </c>
      <c r="Z40">
        <f t="shared" ca="1" si="1"/>
        <v>0</v>
      </c>
      <c r="AA40">
        <f t="shared" ca="1" si="2"/>
        <v>1</v>
      </c>
      <c r="AB40" s="94">
        <f t="shared" si="8"/>
        <v>28781.895095316839</v>
      </c>
      <c r="AC40">
        <f>AB40*D40*10000*VLOOKUP(A40,[1]kcal!$A$2:$C$49,3,FALSE)/1000000000000</f>
        <v>0</v>
      </c>
    </row>
    <row r="41" spans="1:29" x14ac:dyDescent="0.25">
      <c r="A41" t="s">
        <v>231</v>
      </c>
      <c r="B41" s="171" t="s">
        <v>231</v>
      </c>
      <c r="C41" s="171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71">
        <v>1</v>
      </c>
      <c r="E41" s="171">
        <f t="shared" si="9"/>
        <v>2019</v>
      </c>
      <c r="F41" t="s">
        <v>23</v>
      </c>
      <c r="G41" s="94">
        <f>IF(F41="Vestdanmark",SUMIFS(IF(E41=År1,'Resultater - Vestdanmark'!H$3:H$504,IF(E41=År2,'Resultater - Vestdanmark'!I$3:I$504,'Resultater - Vestdanmark'!J$3:J$504)),'Resultater - Vestdanmark'!$F$3:$F$504,$A41,IF(E41=År1,'Resultater - Vestdanmark'!H$3:H$504,IF(E41=År2,'Resultater - Vestdanmark'!I$3:I$504,'Resultater - Vestdanmark'!J$3:J$504)),"&gt;0"),SUMIFS(IF(E41=År1,'Resultater - Østdanmark'!H$3:H$504,IF(E41=År2,'Resultater - Østdanmark'!I$3:I$504,'Resultater - Østdanmark'!J$3:J$504)),'Resultater - Østdanmark'!$F$3:$F$504,$A41,IF(E41=År1,'Resultater - Østdanmark'!H$3:H$504,IF(E41=År2,'Resultater - Østdanmark'!I$3:I$504,'Resultater - Østdanmark'!J$3:J$504)),"&gt;0"))</f>
        <v>155443.84075941064</v>
      </c>
      <c r="H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forbrug'!H$3,'Forbrug af biomasse'!$B$2:$B$425,$F41)</f>
        <v>0</v>
      </c>
      <c r="I41">
        <f>IF(F41="Vestdanmark",-IF(A41="Halm",SUMIFS(IF(E41=År1,'Resultater - Vestdanmark'!H$3:H$504,IF(E41=År2,'Resultater - Vestdanmark'!I$3:I$504,'Resultater - Vestdanmark'!J$3:J$504)),'Resultater - Vestdanmark'!$F$3:$F$504,$A41,'Resultater - Vestdanmark'!H$3:H$504,"&lt;0"),0),-IF(A41="Halm",SUMIFS(IF(E41=År1,'Resultater - Østdanmark'!H$3:H$504,IF(E41=År2,'Resultater - Østdanmark'!I$3:I$504,'Resultater - Østdanmark'!J$3:J$504)),'Resultater - Østdanmark'!$F$3:$F$504,$A41,'Resultater - Østdanmark'!H$3:H$504,"&lt;0"),0))</f>
        <v>0</v>
      </c>
      <c r="J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forbrug'!J$3,'Forbrug af biomasse'!$B$2:$B$425,$F41)</f>
        <v>0</v>
      </c>
      <c r="K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forbrug'!K$3,'Forbrug af biomasse'!$B$2:$B$425,$F41)</f>
        <v>0</v>
      </c>
      <c r="L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forbrug'!L$3,'Forbrug af biomasse'!$B$2:$B$425,$F41)</f>
        <v>0</v>
      </c>
      <c r="M41" s="94">
        <f>IF(A41&lt;&gt;"Biogas",SUMIFS('Forbrug af biomasse'!$E$2:$E$425,'Forbrug af biomasse'!$C$2:$C$425,'Resultat-Produktion &amp; forbrug'!$A41,'Forbrug af biomasse'!$D$2:$D$425,'Resultat-Produktion &amp; forbrug'!$E41,'Forbrug af biomasse'!$A$2:$A$425,'Resultat-Produktion &amp; forbrug'!M$3,'Forbrug af biomasse'!$B$2:$B$425,$F41),G41)</f>
        <v>80830.79719489353</v>
      </c>
      <c r="N41" s="94">
        <f>SUMIFS('Forbrug af biomasse'!E:E,'Forbrug af biomasse'!C:C,'Resultat-Produktion &amp; forbrug'!$A41,'Forbrug af biomasse'!D:D,'Resultat-Produktion &amp; forbrug'!$E41,'Forbrug af biomasse'!G:G,1,'Forbrug af biomasse'!B:B,$F41)</f>
        <v>74613.043564517109</v>
      </c>
      <c r="O41" s="179">
        <f t="shared" si="10"/>
        <v>0</v>
      </c>
      <c r="P41" s="94">
        <f t="shared" si="4"/>
        <v>0</v>
      </c>
      <c r="Q41" s="180">
        <f t="shared" si="11"/>
        <v>80830.79719489353</v>
      </c>
      <c r="R41">
        <f>IFERROR(VLOOKUP(A41,[1]Energiindhold!$A$2:$C$11,3,FALSE),IFERROR(VLOOKUP(A41,[1]Biogasudbytte!$A$2:$B$18,2,FALSE)*[1]Energiindhold!$C$10,0))*P41</f>
        <v>0</v>
      </c>
      <c r="S41">
        <f>IF(A41&lt;&gt;"Biogas",IFERROR(VLOOKUP(A41,[1]Biogasudbytte!$A$2:$B$18,2,FALSE)*[1]Energiindhold!$C$10,0)*K41*IFERROR(VLOOKUP(A41,Biogasanlæg!$F$3:$G$8,2,FALSE),1)+IFERROR(VLOOKUP(A41,[1]Energiindhold!$A$2:$C$11,3,FALSE),0)*M41+IF(E41&lt;&gt;År1,R41,0),0)</f>
        <v>2.8290779018212735</v>
      </c>
      <c r="T41">
        <f>IFERROR(VLOOKUP(A41,[1]Biogasudbytte!$A$2:$B$18,2,FALSE)*[1]Energiindhold!$C$10,0)*K41*IFERROR(VLOOKUP(A41,Biogasanlæg!$F$3:$G$8,2,FALSE),1)</f>
        <v>0</v>
      </c>
      <c r="U41" s="170">
        <f t="shared" si="12"/>
        <v>2.8290779018212735</v>
      </c>
      <c r="V41" s="169">
        <f>P41*IFERROR(VLOOKUP(A41,[1]Tørstofindhold!A$2:B$24,2,FALSE),0)</f>
        <v>0</v>
      </c>
      <c r="W41">
        <f>IF(E41=År1,Q41,SUM(P41,Q41))*IFERROR(VLOOKUP(A41,[1]Tørstofindhold!A$2:B$24,2,FALSE),0)</f>
        <v>0</v>
      </c>
      <c r="X41">
        <f>K41*IFERROR(VLOOKUP(A41,[1]Tørstofindhold!A$2:B$24,2,FALSE),0)</f>
        <v>0</v>
      </c>
      <c r="Y41" s="170">
        <f t="shared" si="13"/>
        <v>0</v>
      </c>
      <c r="Z41">
        <f t="shared" si="1"/>
        <v>0</v>
      </c>
      <c r="AA41">
        <f t="shared" si="2"/>
        <v>0</v>
      </c>
      <c r="AB41" s="94">
        <f t="shared" si="8"/>
        <v>155443.84075941064</v>
      </c>
      <c r="AC41">
        <f>AB41*D41*10000*VLOOKUP(A41,[1]kcal!$A$2:$C$49,3,FALSE)/1000000000000</f>
        <v>1.3989945668346957</v>
      </c>
    </row>
    <row r="42" spans="1:29" x14ac:dyDescent="0.25">
      <c r="A42" t="s">
        <v>52</v>
      </c>
      <c r="B42" s="171" t="s">
        <v>224</v>
      </c>
      <c r="C42" s="171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1</v>
      </c>
      <c r="D42" s="171">
        <v>1</v>
      </c>
      <c r="E42" s="171">
        <f t="shared" si="9"/>
        <v>2019</v>
      </c>
      <c r="F42" t="s">
        <v>23</v>
      </c>
      <c r="G42" s="94">
        <f>IF(F42="Vestdanmark",SUMIFS(IF(E42=År1,'Resultater - Vestdanmark'!H$3:H$504,IF(E42=År2,'Resultater - Vestdanmark'!I$3:I$504,'Resultater - Vestdanmark'!J$3:J$504)),'Resultater - Vestdanmark'!$F$3:$F$504,$A42,IF(E42=År1,'Resultater - Vestdanmark'!H$3:H$504,IF(E42=År2,'Resultater - Vestdanmark'!I$3:I$504,'Resultater - Vestdanmark'!J$3:J$504)),"&gt;0"),SUMIFS(IF(E42=År1,'Resultater - Østdanmark'!H$3:H$504,IF(E42=År2,'Resultater - Østdanmark'!I$3:I$504,'Resultater - Østdanmark'!J$3:J$504)),'Resultater - Østdanmark'!$F$3:$F$504,$A42,IF(E42=År1,'Resultater - Østdanmark'!H$3:H$504,IF(E42=År2,'Resultater - Østdanmark'!I$3:I$504,'Resultater - Østdanmark'!J$3:J$504)),"&gt;0"))</f>
        <v>377517.57644613879</v>
      </c>
      <c r="H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forbrug'!H$3,'Forbrug af biomasse'!$B$2:$B$425,$F42)</f>
        <v>841167.61765562883</v>
      </c>
      <c r="I42">
        <f>IF(F42="Vestdanmark",-IF(A42="Halm",SUMIFS(IF(E42=År1,'Resultater - Vestdanmark'!H$3:H$504,IF(E42=År2,'Resultater - Vestdanmark'!I$3:I$504,'Resultater - Vestdanmark'!J$3:J$504)),'Resultater - Vestdanmark'!$F$3:$F$504,$A42,'Resultater - Vestdanmark'!H$3:H$504,"&lt;0"),0),-IF(A42="Halm",SUMIFS(IF(E42=År1,'Resultater - Østdanmark'!H$3:H$504,IF(E42=År2,'Resultater - Østdanmark'!I$3:I$504,'Resultater - Østdanmark'!J$3:J$504)),'Resultater - Østdanmark'!$F$3:$F$504,$A42,'Resultater - Østdanmark'!H$3:H$504,"&lt;0"),0))</f>
        <v>0</v>
      </c>
      <c r="J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forbrug'!J$3,'Forbrug af biomasse'!$B$2:$B$425,$F42)</f>
        <v>0</v>
      </c>
      <c r="K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forbrug'!K$3,'Forbrug af biomasse'!$B$2:$B$425,$F42)</f>
        <v>4141.9679702877811</v>
      </c>
      <c r="L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forbrug'!L$3,'Forbrug af biomasse'!$B$2:$B$425,$F42)</f>
        <v>0</v>
      </c>
      <c r="M42" s="94">
        <f>IF(A42&lt;&gt;"Biogas",SUMIFS('Forbrug af biomasse'!$E$2:$E$425,'Forbrug af biomasse'!$C$2:$C$425,'Resultat-Produktion &amp; forbrug'!$A42,'Forbrug af biomasse'!$D$2:$D$425,'Resultat-Produktion &amp; forbrug'!$E42,'Forbrug af biomasse'!$A$2:$A$425,'Resultat-Produktion &amp; forbrug'!M$3,'Forbrug af biomasse'!$B$2:$B$425,$F42),G42)</f>
        <v>0</v>
      </c>
      <c r="N42" s="94">
        <f>SUMIFS('Forbrug af biomasse'!E:E,'Forbrug af biomasse'!C:C,'Resultat-Produktion &amp; forbrug'!$A42,'Forbrug af biomasse'!D:D,'Resultat-Produktion &amp; forbrug'!$E42,'Forbrug af biomasse'!G:G,1,'Forbrug af biomasse'!B:B,$F42)</f>
        <v>0</v>
      </c>
      <c r="O42" s="179">
        <f t="shared" si="10"/>
        <v>-467792.00917977782</v>
      </c>
      <c r="P42" s="94">
        <f t="shared" ca="1" si="4"/>
        <v>0</v>
      </c>
      <c r="Q42" s="180">
        <f t="shared" si="11"/>
        <v>4141.9679702877811</v>
      </c>
      <c r="R42">
        <f ca="1">IFERROR(VLOOKUP(A42,[1]Energiindhold!$A$2:$C$11,3,FALSE),IFERROR(VLOOKUP(A42,[1]Biogasudbytte!$A$2:$B$18,2,FALSE)*[1]Energiindhold!$C$10,0))*P42</f>
        <v>0</v>
      </c>
      <c r="S42">
        <f>IF(A42&lt;&gt;"Biogas",IFERROR(VLOOKUP(A42,[1]Biogasudbytte!$A$2:$B$18,2,FALSE)*[1]Energiindhold!$C$10,0)*K42*IFERROR(VLOOKUP(A42,Biogasanlæg!$F$3:$G$8,2,FALSE),1)+IFERROR(VLOOKUP(A42,[1]Energiindhold!$A$2:$C$11,3,FALSE),0)*M42+IF(E42&lt;&gt;År1,R42,0),0)</f>
        <v>1.1241466750079849E-2</v>
      </c>
      <c r="T42">
        <f>IFERROR(VLOOKUP(A42,[1]Biogasudbytte!$A$2:$B$18,2,FALSE)*[1]Energiindhold!$C$10,0)*K42*IFERROR(VLOOKUP(A42,Biogasanlæg!$F$3:$G$8,2,FALSE),1)</f>
        <v>1.1241466750079849E-2</v>
      </c>
      <c r="U42" s="170">
        <f t="shared" si="12"/>
        <v>0</v>
      </c>
      <c r="V42" s="169">
        <f ca="1">P42*IFERROR(VLOOKUP(A42,[1]Tørstofindhold!A$2:B$24,2,FALSE),0)</f>
        <v>0</v>
      </c>
      <c r="W42">
        <f>IF(E42=År1,Q42,SUM(P42,Q42))*IFERROR(VLOOKUP(A42,[1]Tørstofindhold!A$2:B$24,2,FALSE),0)</f>
        <v>828.39359405755624</v>
      </c>
      <c r="X42">
        <f>K42*IFERROR(VLOOKUP(A42,[1]Tørstofindhold!A$2:B$24,2,FALSE),0)</f>
        <v>828.39359405755624</v>
      </c>
      <c r="Y42" s="170">
        <f t="shared" si="13"/>
        <v>0</v>
      </c>
      <c r="Z42">
        <f t="shared" ca="1" si="1"/>
        <v>0</v>
      </c>
      <c r="AA42">
        <f t="shared" ca="1" si="2"/>
        <v>1</v>
      </c>
      <c r="AB42" s="94">
        <f t="shared" si="8"/>
        <v>-467792.00917977782</v>
      </c>
      <c r="AC42">
        <f>AB42*D42*10000*VLOOKUP(A42,[1]kcal!$A$2:$C$49,3,FALSE)/1000000000000</f>
        <v>-0.14033760275393334</v>
      </c>
    </row>
    <row r="43" spans="1:29" x14ac:dyDescent="0.25">
      <c r="A43" t="s">
        <v>121</v>
      </c>
      <c r="B43" s="171"/>
      <c r="C43" s="171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71">
        <v>0</v>
      </c>
      <c r="E43" s="171">
        <f t="shared" si="9"/>
        <v>2019</v>
      </c>
      <c r="F43" t="s">
        <v>23</v>
      </c>
      <c r="G43" s="94">
        <f>IF(F43="Vestdanmark",SUMIFS(IF(E43=År1,'Resultater - Vestdanmark'!H$3:H$504,IF(E43=År2,'Resultater - Vestdanmark'!I$3:I$504,'Resultater - Vestdanmark'!J$3:J$504)),'Resultater - Vestdanmark'!$F$3:$F$504,$A43,IF(E43=År1,'Resultater - Vestdanmark'!H$3:H$504,IF(E43=År2,'Resultater - Vestdanmark'!I$3:I$504,'Resultater - Vestdanmark'!J$3:J$504)),"&gt;0"),SUMIFS(IF(E43=År1,'Resultater - Østdanmark'!H$3:H$504,IF(E43=År2,'Resultater - Østdanmark'!I$3:I$504,'Resultater - Østdanmark'!J$3:J$504)),'Resultater - Østdanmark'!$F$3:$F$504,$A43,IF(E43=År1,'Resultater - Østdanmark'!H$3:H$504,IF(E43=År2,'Resultater - Østdanmark'!I$3:I$504,'Resultater - Østdanmark'!J$3:J$504)),"&gt;0"))</f>
        <v>193830.89221723122</v>
      </c>
      <c r="H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forbrug'!H$3,'Forbrug af biomasse'!$B$2:$B$425,$F43)</f>
        <v>0</v>
      </c>
      <c r="I43">
        <f>IF(F43="Vestdanmark",-IF(A43="Halm",SUMIFS(IF(E43=År1,'Resultater - Vestdanmark'!H$3:H$504,IF(E43=År2,'Resultater - Vestdanmark'!I$3:I$504,'Resultater - Vestdanmark'!J$3:J$504)),'Resultater - Vestdanmark'!$F$3:$F$504,$A43,'Resultater - Vestdanmark'!H$3:H$504,"&lt;0"),0),-IF(A43="Halm",SUMIFS(IF(E43=År1,'Resultater - Østdanmark'!H$3:H$504,IF(E43=År2,'Resultater - Østdanmark'!I$3:I$504,'Resultater - Østdanmark'!J$3:J$504)),'Resultater - Østdanmark'!$F$3:$F$504,$A43,'Resultater - Østdanmark'!H$3:H$504,"&lt;0"),0))</f>
        <v>0</v>
      </c>
      <c r="J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forbrug'!J$3,'Forbrug af biomasse'!$B$2:$B$425,$F43)</f>
        <v>0</v>
      </c>
      <c r="K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forbrug'!K$3,'Forbrug af biomasse'!$B$2:$B$425,$F43)</f>
        <v>0</v>
      </c>
      <c r="L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forbrug'!L$3,'Forbrug af biomasse'!$B$2:$B$425,$F43)</f>
        <v>0</v>
      </c>
      <c r="M43" s="94">
        <f>IF(A43&lt;&gt;"Biogas",SUMIFS('Forbrug af biomasse'!$E$2:$E$425,'Forbrug af biomasse'!$C$2:$C$425,'Resultat-Produktion &amp; forbrug'!$A43,'Forbrug af biomasse'!$D$2:$D$425,'Resultat-Produktion &amp; forbrug'!$E43,'Forbrug af biomasse'!$A$2:$A$425,'Resultat-Produktion &amp; forbrug'!M$3,'Forbrug af biomasse'!$B$2:$B$425,$F43),G43)</f>
        <v>0</v>
      </c>
      <c r="N43" s="94">
        <f>SUMIFS('Forbrug af biomasse'!E:E,'Forbrug af biomasse'!C:C,'Resultat-Produktion &amp; forbrug'!$A43,'Forbrug af biomasse'!D:D,'Resultat-Produktion &amp; forbrug'!$E43,'Forbrug af biomasse'!G:G,1,'Forbrug af biomasse'!B:B,$F43)</f>
        <v>0</v>
      </c>
      <c r="O43" s="179">
        <f t="shared" si="10"/>
        <v>193830.89221723122</v>
      </c>
      <c r="P43" s="94">
        <f t="shared" si="4"/>
        <v>0</v>
      </c>
      <c r="Q43" s="180">
        <f t="shared" si="11"/>
        <v>0</v>
      </c>
      <c r="R43">
        <f>IFERROR(VLOOKUP(A43,[1]Energiindhold!$A$2:$C$11,3,FALSE),IFERROR(VLOOKUP(A43,[1]Biogasudbytte!$A$2:$B$18,2,FALSE)*[1]Energiindhold!$C$10,0))*P43</f>
        <v>0</v>
      </c>
      <c r="S43">
        <f>IF(A43&lt;&gt;"Biogas",IFERROR(VLOOKUP(A43,[1]Biogasudbytte!$A$2:$B$18,2,FALSE)*[1]Energiindhold!$C$10,0)*K43*IFERROR(VLOOKUP(A43,Biogasanlæg!$F$3:$G$8,2,FALSE),1)+IFERROR(VLOOKUP(A43,[1]Energiindhold!$A$2:$C$11,3,FALSE),0)*M43+IF(E43&lt;&gt;År1,R43,0),0)</f>
        <v>0</v>
      </c>
      <c r="T43">
        <f>IFERROR(VLOOKUP(A43,[1]Biogasudbytte!$A$2:$B$18,2,FALSE)*[1]Energiindhold!$C$10,0)*K43*IFERROR(VLOOKUP(A43,Biogasanlæg!$F$3:$G$8,2,FALSE),1)</f>
        <v>0</v>
      </c>
      <c r="U43" s="170">
        <f t="shared" si="12"/>
        <v>0</v>
      </c>
      <c r="V43" s="169">
        <f>P43*IFERROR(VLOOKUP(A43,[1]Tørstofindhold!A$2:B$24,2,FALSE),0)</f>
        <v>0</v>
      </c>
      <c r="W43">
        <f>IF(E43=År1,Q43,SUM(P43,Q43))*IFERROR(VLOOKUP(A43,[1]Tørstofindhold!A$2:B$24,2,FALSE),0)</f>
        <v>0</v>
      </c>
      <c r="X43">
        <f>K43*IFERROR(VLOOKUP(A43,[1]Tørstofindhold!A$2:B$24,2,FALSE),0)</f>
        <v>0</v>
      </c>
      <c r="Y43" s="170">
        <f t="shared" si="13"/>
        <v>0</v>
      </c>
      <c r="Z43">
        <f t="shared" ca="1" si="1"/>
        <v>0</v>
      </c>
      <c r="AA43">
        <f t="shared" ca="1" si="2"/>
        <v>1</v>
      </c>
      <c r="AB43" s="94">
        <f t="shared" si="8"/>
        <v>193830.89221723122</v>
      </c>
      <c r="AC43">
        <f>AB43*D43*10000*VLOOKUP(A43,[1]kcal!$A$2:$C$49,3,FALSE)/1000000000000</f>
        <v>0</v>
      </c>
    </row>
    <row r="44" spans="1:29" x14ac:dyDescent="0.25">
      <c r="A44" t="s">
        <v>107</v>
      </c>
      <c r="B44" s="171"/>
      <c r="C44" s="171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0</v>
      </c>
      <c r="D44" s="171">
        <v>0</v>
      </c>
      <c r="E44" s="171">
        <f t="shared" si="9"/>
        <v>2019</v>
      </c>
      <c r="F44" t="s">
        <v>23</v>
      </c>
      <c r="G44" s="94">
        <f>IF(F44="Vestdanmark",SUMIFS(IF(E44=År1,'Resultater - Vestdanmark'!H$3:H$504,IF(E44=År2,'Resultater - Vestdanmark'!I$3:I$504,'Resultater - Vestdanmark'!J$3:J$504)),'Resultater - Vestdanmark'!$F$3:$F$504,$A44,IF(E44=År1,'Resultater - Vestdanmark'!H$3:H$504,IF(E44=År2,'Resultater - Vestdanmark'!I$3:I$504,'Resultater - Vestdanmark'!J$3:J$504)),"&gt;0"),SUMIFS(IF(E44=År1,'Resultater - Østdanmark'!H$3:H$504,IF(E44=År2,'Resultater - Østdanmark'!I$3:I$504,'Resultater - Østdanmark'!J$3:J$504)),'Resultater - Østdanmark'!$F$3:$F$504,$A44,IF(E44=År1,'Resultater - Østdanmark'!H$3:H$504,IF(E44=År2,'Resultater - Østdanmark'!I$3:I$504,'Resultater - Østdanmark'!J$3:J$504)),"&gt;0"))</f>
        <v>131276.07587880219</v>
      </c>
      <c r="H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forbrug'!H$3,'Forbrug af biomasse'!$B$2:$B$425,$F44)</f>
        <v>39415.735012617326</v>
      </c>
      <c r="I44">
        <f>IF(F44="Vestdanmark",-IF(A44="Halm",SUMIFS(IF(E44=År1,'Resultater - Vestdanmark'!H$3:H$504,IF(E44=År2,'Resultater - Vestdanmark'!I$3:I$504,'Resultater - Vestdanmark'!J$3:J$504)),'Resultater - Vestdanmark'!$F$3:$F$504,$A44,'Resultater - Vestdanmark'!H$3:H$504,"&lt;0"),0),-IF(A44="Halm",SUMIFS(IF(E44=År1,'Resultater - Østdanmark'!H$3:H$504,IF(E44=År2,'Resultater - Østdanmark'!I$3:I$504,'Resultater - Østdanmark'!J$3:J$504)),'Resultater - Østdanmark'!$F$3:$F$504,$A44,'Resultater - Østdanmark'!H$3:H$504,"&lt;0"),0))</f>
        <v>0</v>
      </c>
      <c r="J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forbrug'!J$3,'Forbrug af biomasse'!$B$2:$B$425,$F44)</f>
        <v>0</v>
      </c>
      <c r="K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forbrug'!K$3,'Forbrug af biomasse'!$B$2:$B$425,$F44)</f>
        <v>0</v>
      </c>
      <c r="L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forbrug'!L$3,'Forbrug af biomasse'!$B$2:$B$425,$F44)</f>
        <v>0</v>
      </c>
      <c r="M44" s="94">
        <f>IF(A44&lt;&gt;"Biogas",SUMIFS('Forbrug af biomasse'!$E$2:$E$425,'Forbrug af biomasse'!$C$2:$C$425,'Resultat-Produktion &amp; forbrug'!$A44,'Forbrug af biomasse'!$D$2:$D$425,'Resultat-Produktion &amp; forbrug'!$E44,'Forbrug af biomasse'!$A$2:$A$425,'Resultat-Produktion &amp; forbrug'!M$3,'Forbrug af biomasse'!$B$2:$B$425,$F44),G44)</f>
        <v>0</v>
      </c>
      <c r="N44" s="94">
        <f>SUMIFS('Forbrug af biomasse'!E:E,'Forbrug af biomasse'!C:C,'Resultat-Produktion &amp; forbrug'!$A44,'Forbrug af biomasse'!D:D,'Resultat-Produktion &amp; forbrug'!$E44,'Forbrug af biomasse'!G:G,1,'Forbrug af biomasse'!B:B,$F44)</f>
        <v>0</v>
      </c>
      <c r="O44" s="179">
        <f t="shared" si="10"/>
        <v>91860.340866184866</v>
      </c>
      <c r="P44" s="94">
        <f t="shared" si="4"/>
        <v>0</v>
      </c>
      <c r="Q44" s="180">
        <f t="shared" si="11"/>
        <v>0</v>
      </c>
      <c r="R44">
        <f>IFERROR(VLOOKUP(A44,[1]Energiindhold!$A$2:$C$11,3,FALSE),IFERROR(VLOOKUP(A44,[1]Biogasudbytte!$A$2:$B$18,2,FALSE)*[1]Energiindhold!$C$10,0))*P44</f>
        <v>0</v>
      </c>
      <c r="S44">
        <f>IF(A44&lt;&gt;"Biogas",IFERROR(VLOOKUP(A44,[1]Biogasudbytte!$A$2:$B$18,2,FALSE)*[1]Energiindhold!$C$10,0)*K44*IFERROR(VLOOKUP(A44,Biogasanlæg!$F$3:$G$8,2,FALSE),1)+IFERROR(VLOOKUP(A44,[1]Energiindhold!$A$2:$C$11,3,FALSE),0)*M44+IF(E44&lt;&gt;År1,R44,0),0)</f>
        <v>0</v>
      </c>
      <c r="T44">
        <f>IFERROR(VLOOKUP(A44,[1]Biogasudbytte!$A$2:$B$18,2,FALSE)*[1]Energiindhold!$C$10,0)*K44*IFERROR(VLOOKUP(A44,Biogasanlæg!$F$3:$G$8,2,FALSE),1)</f>
        <v>0</v>
      </c>
      <c r="U44" s="170">
        <f t="shared" si="12"/>
        <v>0</v>
      </c>
      <c r="V44" s="169">
        <f>P44*IFERROR(VLOOKUP(A44,[1]Tørstofindhold!A$2:B$24,2,FALSE),0)</f>
        <v>0</v>
      </c>
      <c r="W44">
        <f>IF(E44=År1,Q44,SUM(P44,Q44))*IFERROR(VLOOKUP(A44,[1]Tørstofindhold!A$2:B$24,2,FALSE),0)</f>
        <v>0</v>
      </c>
      <c r="X44">
        <f>K44*IFERROR(VLOOKUP(A44,[1]Tørstofindhold!A$2:B$24,2,FALSE),0)</f>
        <v>0</v>
      </c>
      <c r="Y44" s="170">
        <f t="shared" si="13"/>
        <v>0</v>
      </c>
      <c r="Z44">
        <f t="shared" ca="1" si="1"/>
        <v>0</v>
      </c>
      <c r="AA44">
        <f t="shared" ca="1" si="2"/>
        <v>1</v>
      </c>
      <c r="AB44" s="94">
        <f t="shared" si="8"/>
        <v>91860.340866184866</v>
      </c>
      <c r="AC44">
        <f>AB44*D44*10000*VLOOKUP(A44,[1]kcal!$A$2:$C$49,3,FALSE)/1000000000000</f>
        <v>0</v>
      </c>
    </row>
    <row r="45" spans="1:29" x14ac:dyDescent="0.25">
      <c r="A45" s="171" t="s">
        <v>140</v>
      </c>
      <c r="B45" s="171" t="s">
        <v>230</v>
      </c>
      <c r="C45" s="171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71">
        <v>0</v>
      </c>
      <c r="E45" s="171">
        <f t="shared" si="9"/>
        <v>2019</v>
      </c>
      <c r="F45" t="s">
        <v>23</v>
      </c>
      <c r="G45" s="94">
        <f>IF(F45="Vestdanmark",SUMIFS(IF(E45=År1,'Resultater - Vestdanmark'!H$3:H$504,IF(E45=År2,'Resultater - Vestdanmark'!I$3:I$504,'Resultater - Vestdanmark'!J$3:J$504)),'Resultater - Vestdanmark'!$F$3:$F$504,$A45,IF(E45=År1,'Resultater - Vestdanmark'!H$3:H$504,IF(E45=År2,'Resultater - Vestdanmark'!I$3:I$504,'Resultater - Vestdanmark'!J$3:J$504)),"&gt;0"),SUMIFS(IF(E45=År1,'Resultater - Østdanmark'!H$3:H$504,IF(E45=År2,'Resultater - Østdanmark'!I$3:I$504,'Resultater - Østdanmark'!J$3:J$504)),'Resultater - Østdanmark'!$F$3:$F$504,$A45,IF(E45=År1,'Resultater - Østdanmark'!H$3:H$504,IF(E45=År2,'Resultater - Østdanmark'!I$3:I$504,'Resultater - Østdanmark'!J$3:J$504)),"&gt;0"))</f>
        <v>3850196.5402414175</v>
      </c>
      <c r="H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forbrug'!H$3,'Forbrug af biomasse'!$B$2:$B$425,$F45)</f>
        <v>0</v>
      </c>
      <c r="I45">
        <f>IF(F45="Vestdanmark",-IF(A45="Halm",SUMIFS(IF(E45=År1,'Resultater - Vestdanmark'!H$3:H$504,IF(E45=År2,'Resultater - Vestdanmark'!I$3:I$504,'Resultater - Vestdanmark'!J$3:J$504)),'Resultater - Vestdanmark'!$F$3:$F$504,$A45,'Resultater - Vestdanmark'!H$3:H$504,"&lt;0"),0),-IF(A45="Halm",SUMIFS(IF(E45=År1,'Resultater - Østdanmark'!H$3:H$504,IF(E45=År2,'Resultater - Østdanmark'!I$3:I$504,'Resultater - Østdanmark'!J$3:J$504)),'Resultater - Østdanmark'!$F$3:$F$504,$A45,'Resultater - Østdanmark'!H$3:H$504,"&lt;0"),0))</f>
        <v>0</v>
      </c>
      <c r="J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forbrug'!J$3,'Forbrug af biomasse'!$B$2:$B$425,$F45)</f>
        <v>0</v>
      </c>
      <c r="K45" s="94">
        <f ca="1">SUMIFS('Forbrug af biomasse'!$E$2:$E$425,'Forbrug af biomasse'!$C$2:$C$425,'Resultat-Produktion &amp; forbrug'!$A45,'Forbrug af biomasse'!$D$2:$D$425,'Resultat-Produktion &amp; forbrug'!$E45,'Forbrug af biomasse'!$A$2:$A$425,'Resultat-Produktion &amp; forbrug'!K$3,'Forbrug af biomasse'!$B$2:$B$425,$F45)</f>
        <v>1460182.5874658169</v>
      </c>
      <c r="L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forbrug'!L$3,'Forbrug af biomasse'!$B$2:$B$425,$F45)</f>
        <v>0</v>
      </c>
      <c r="M45" s="94">
        <f>IF(A45&lt;&gt;"Biogas",SUMIFS('Forbrug af biomasse'!$E$2:$E$425,'Forbrug af biomasse'!$C$2:$C$425,'Resultat-Produktion &amp; forbrug'!$A45,'Forbrug af biomasse'!$D$2:$D$425,'Resultat-Produktion &amp; forbrug'!$E45,'Forbrug af biomasse'!$A$2:$A$425,'Resultat-Produktion &amp; forbrug'!M$3,'Forbrug af biomasse'!$B$2:$B$425,$F45),G45)</f>
        <v>0</v>
      </c>
      <c r="N45" s="94">
        <f>SUMIFS('Forbrug af biomasse'!E:E,'Forbrug af biomasse'!C:C,'Resultat-Produktion &amp; forbrug'!$A45,'Forbrug af biomasse'!D:D,'Resultat-Produktion &amp; forbrug'!$E45,'Forbrug af biomasse'!G:G,1,'Forbrug af biomasse'!B:B,$F45)</f>
        <v>0</v>
      </c>
      <c r="O45" s="179">
        <f t="shared" ca="1" si="10"/>
        <v>2390013.9527756004</v>
      </c>
      <c r="P45" s="94">
        <f t="shared" ca="1" si="4"/>
        <v>2390013.9527756004</v>
      </c>
      <c r="Q45" s="180">
        <f t="shared" ca="1" si="11"/>
        <v>1460182.5874658169</v>
      </c>
      <c r="R45">
        <f ca="1">IFERROR(VLOOKUP(A45,[1]Energiindhold!$A$2:$C$11,3,FALSE),IFERROR(VLOOKUP(A45,[1]Biogasudbytte!$A$2:$B$18,2,FALSE)*[1]Energiindhold!$C$10,0))*P45</f>
        <v>1.1926408625745526</v>
      </c>
      <c r="S45">
        <f ca="1">IF(A45&lt;&gt;"Biogas",IFERROR(VLOOKUP(A45,[1]Biogasudbytte!$A$2:$B$18,2,FALSE)*[1]Energiindhold!$C$10,0)*K45*IFERROR(VLOOKUP(A45,Biogasanlæg!$F$3:$G$8,2,FALSE),1)+IFERROR(VLOOKUP(A45,[1]Energiindhold!$A$2:$C$11,3,FALSE),0)*M45+IF(E45&lt;&gt;År1,R45,0),0)</f>
        <v>0.72864571297131742</v>
      </c>
      <c r="T45">
        <f ca="1">IFERROR(VLOOKUP(A45,[1]Biogasudbytte!$A$2:$B$18,2,FALSE)*[1]Energiindhold!$C$10,0)*K45*IFERROR(VLOOKUP(A45,Biogasanlæg!$F$3:$G$8,2,FALSE),1)</f>
        <v>0.72864571297131742</v>
      </c>
      <c r="U45" s="170">
        <f t="shared" ca="1" si="12"/>
        <v>0</v>
      </c>
      <c r="V45" s="169">
        <f ca="1">P45*IFERROR(VLOOKUP(A45,[1]Tørstofindhold!A$2:B$24,2,FALSE),0)</f>
        <v>143400.83716653602</v>
      </c>
      <c r="W45">
        <f ca="1">IF(E45=År1,Q45,SUM(P45,Q45))*IFERROR(VLOOKUP(A45,[1]Tørstofindhold!A$2:B$24,2,FALSE),0)</f>
        <v>87610.955247949008</v>
      </c>
      <c r="X45">
        <f ca="1">K45*IFERROR(VLOOKUP(A45,[1]Tørstofindhold!A$2:B$24,2,FALSE),0)</f>
        <v>87610.955247949008</v>
      </c>
      <c r="Y45" s="170">
        <f t="shared" ca="1" si="13"/>
        <v>0</v>
      </c>
      <c r="Z45">
        <f t="shared" ca="1" si="1"/>
        <v>0</v>
      </c>
      <c r="AA45">
        <f t="shared" ca="1" si="2"/>
        <v>1</v>
      </c>
      <c r="AB45" s="94">
        <f t="shared" ca="1" si="8"/>
        <v>2390013.9527756004</v>
      </c>
      <c r="AC45">
        <f ca="1">AB45*D45*10000*VLOOKUP(A45,[1]kcal!$A$2:$C$49,3,FALSE)/1000000000000</f>
        <v>0</v>
      </c>
    </row>
    <row r="46" spans="1:29" x14ac:dyDescent="0.25">
      <c r="A46" s="171" t="s">
        <v>135</v>
      </c>
      <c r="B46" s="171" t="s">
        <v>222</v>
      </c>
      <c r="C46" s="171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1</v>
      </c>
      <c r="D46" s="171">
        <v>0</v>
      </c>
      <c r="E46" s="171">
        <f t="shared" si="9"/>
        <v>2019</v>
      </c>
      <c r="F46" t="s">
        <v>23</v>
      </c>
      <c r="G46" s="94">
        <f>IF(F46="Vestdanmark",SUMIFS(IF(E46=År1,'Resultater - Vestdanmark'!H$3:H$504,IF(E46=År2,'Resultater - Vestdanmark'!I$3:I$504,'Resultater - Vestdanmark'!J$3:J$504)),'Resultater - Vestdanmark'!$F$3:$F$504,$A46,IF(E46=År1,'Resultater - Vestdanmark'!H$3:H$504,IF(E46=År2,'Resultater - Vestdanmark'!I$3:I$504,'Resultater - Vestdanmark'!J$3:J$504)),"&gt;0"),SUMIFS(IF(E46=År1,'Resultater - Østdanmark'!H$3:H$504,IF(E46=År2,'Resultater - Østdanmark'!I$3:I$504,'Resultater - Østdanmark'!J$3:J$504)),'Resultater - Østdanmark'!$F$3:$F$504,$A46,IF(E46=År1,'Resultater - Østdanmark'!H$3:H$504,IF(E46=År2,'Resultater - Østdanmark'!I$3:I$504,'Resultater - Østdanmark'!J$3:J$504)),"&gt;0"))</f>
        <v>15352538.506892066</v>
      </c>
      <c r="H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forbrug'!H$3,'Forbrug af biomasse'!$B$2:$B$425,$F46)</f>
        <v>0</v>
      </c>
      <c r="I46">
        <f>IF(F46="Vestdanmark",-IF(A46="Halm",SUMIFS(IF(E46=År1,'Resultater - Vestdanmark'!H$3:H$504,IF(E46=År2,'Resultater - Vestdanmark'!I$3:I$504,'Resultater - Vestdanmark'!J$3:J$504)),'Resultater - Vestdanmark'!$F$3:$F$504,$A46,'Resultater - Vestdanmark'!H$3:H$504,"&lt;0"),0),-IF(A46="Halm",SUMIFS(IF(E46=År1,'Resultater - Østdanmark'!H$3:H$504,IF(E46=År2,'Resultater - Østdanmark'!I$3:I$504,'Resultater - Østdanmark'!J$3:J$504)),'Resultater - Østdanmark'!$F$3:$F$504,$A46,'Resultater - Østdanmark'!H$3:H$504,"&lt;0"),0))</f>
        <v>0</v>
      </c>
      <c r="J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forbrug'!J$3,'Forbrug af biomasse'!$B$2:$B$425,$F46)</f>
        <v>0</v>
      </c>
      <c r="K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forbrug'!K$3,'Forbrug af biomasse'!$B$2:$B$425,$F46)</f>
        <v>2534442.072977222</v>
      </c>
      <c r="L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forbrug'!L$3,'Forbrug af biomasse'!$B$2:$B$425,$F46)</f>
        <v>12818096.433914844</v>
      </c>
      <c r="M46" s="94">
        <f>IF(A46&lt;&gt;"Biogas",SUMIFS('Forbrug af biomasse'!$E$2:$E$425,'Forbrug af biomasse'!$C$2:$C$425,'Resultat-Produktion &amp; forbrug'!$A46,'Forbrug af biomasse'!$D$2:$D$425,'Resultat-Produktion &amp; forbrug'!$E46,'Forbrug af biomasse'!$A$2:$A$425,'Resultat-Produktion &amp; forbrug'!M$3,'Forbrug af biomasse'!$B$2:$B$425,$F46),G46)</f>
        <v>0</v>
      </c>
      <c r="N46" s="94">
        <f>SUMIFS('Forbrug af biomasse'!E:E,'Forbrug af biomasse'!C:C,'Resultat-Produktion &amp; forbrug'!$A46,'Forbrug af biomasse'!D:D,'Resultat-Produktion &amp; forbrug'!$E46,'Forbrug af biomasse'!G:G,1,'Forbrug af biomasse'!B:B,$F46)</f>
        <v>0</v>
      </c>
      <c r="O46" s="179">
        <f t="shared" si="10"/>
        <v>0</v>
      </c>
      <c r="P46" s="94">
        <f t="shared" si="4"/>
        <v>0</v>
      </c>
      <c r="Q46" s="180">
        <f t="shared" si="11"/>
        <v>2534442.072977222</v>
      </c>
      <c r="R46">
        <f>IFERROR(VLOOKUP(A46,[1]Energiindhold!$A$2:$C$11,3,FALSE),IFERROR(VLOOKUP(A46,[1]Biogasudbytte!$A$2:$B$18,2,FALSE)*[1]Energiindhold!$C$10,0))*P46</f>
        <v>0</v>
      </c>
      <c r="S46">
        <f>IF(A46&lt;&gt;"Biogas",IFERROR(VLOOKUP(A46,[1]Biogasudbytte!$A$2:$B$18,2,FALSE)*[1]Energiindhold!$C$10,0)*K46*IFERROR(VLOOKUP(A46,Biogasanlæg!$F$3:$G$8,2,FALSE),1)+IFERROR(VLOOKUP(A46,[1]Energiindhold!$A$2:$C$11,3,FALSE),0)*M46+IF(E46&lt;&gt;År1,R46,0),0)</f>
        <v>1.0918376450385874</v>
      </c>
      <c r="T46">
        <f>IFERROR(VLOOKUP(A46,[1]Biogasudbytte!$A$2:$B$18,2,FALSE)*[1]Energiindhold!$C$10,0)*K46*IFERROR(VLOOKUP(A46,Biogasanlæg!$F$3:$G$8,2,FALSE),1)</f>
        <v>1.0918376450385874</v>
      </c>
      <c r="U46" s="170">
        <f t="shared" si="12"/>
        <v>0</v>
      </c>
      <c r="V46" s="169">
        <f>P46*IFERROR(VLOOKUP(A46,[1]Tørstofindhold!A$2:B$24,2,FALSE),0)</f>
        <v>0</v>
      </c>
      <c r="W46">
        <f>IF(E46=År1,Q46,SUM(P46,Q46))*IFERROR(VLOOKUP(A46,[1]Tørstofindhold!A$2:B$24,2,FALSE),0)</f>
        <v>126722.10364886111</v>
      </c>
      <c r="X46">
        <f>K46*IFERROR(VLOOKUP(A46,[1]Tørstofindhold!A$2:B$24,2,FALSE),0)</f>
        <v>126722.10364886111</v>
      </c>
      <c r="Y46" s="170">
        <f t="shared" si="13"/>
        <v>0</v>
      </c>
      <c r="Z46">
        <f t="shared" si="1"/>
        <v>0</v>
      </c>
      <c r="AA46">
        <f t="shared" si="2"/>
        <v>0</v>
      </c>
      <c r="AB46" s="94">
        <f t="shared" si="8"/>
        <v>0</v>
      </c>
      <c r="AC46">
        <f>AB46*D46*10000*VLOOKUP(A46,[1]kcal!$A$2:$C$49,3,FALSE)/1000000000000</f>
        <v>0</v>
      </c>
    </row>
    <row r="47" spans="1:29" x14ac:dyDescent="0.25">
      <c r="A47" s="171" t="s">
        <v>13</v>
      </c>
      <c r="B47" s="171"/>
      <c r="C47" s="171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0</v>
      </c>
      <c r="D47" s="171">
        <v>1</v>
      </c>
      <c r="E47" s="171">
        <f t="shared" si="9"/>
        <v>2019</v>
      </c>
      <c r="F47" t="s">
        <v>23</v>
      </c>
      <c r="G47" s="94">
        <f>IF(F47="Vestdanmark",SUMIFS(IF(E47=År1,'Resultater - Vestdanmark'!H$3:H$504,IF(E47=År2,'Resultater - Vestdanmark'!I$3:I$504,'Resultater - Vestdanmark'!J$3:J$504)),'Resultater - Vestdanmark'!$F$3:$F$504,$A47,IF(E47=År1,'Resultater - Vestdanmark'!H$3:H$504,IF(E47=År2,'Resultater - Vestdanmark'!I$3:I$504,'Resultater - Vestdanmark'!J$3:J$504)),"&gt;0"),SUMIFS(IF(E47=År1,'Resultater - Østdanmark'!H$3:H$504,IF(E47=År2,'Resultater - Østdanmark'!I$3:I$504,'Resultater - Østdanmark'!J$3:J$504)),'Resultater - Østdanmark'!$F$3:$F$504,$A47,IF(E47=År1,'Resultater - Østdanmark'!H$3:H$504,IF(E47=År2,'Resultater - Østdanmark'!I$3:I$504,'Resultater - Østdanmark'!J$3:J$504)),"&gt;0"))</f>
        <v>1394376.9846055224</v>
      </c>
      <c r="H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forbrug'!H$3,'Forbrug af biomasse'!$B$2:$B$425,$F47)</f>
        <v>0</v>
      </c>
      <c r="I47">
        <f>IF(F47="Vestdanmark",-IF(A47="Halm",SUMIFS(IF(E47=År1,'Resultater - Vestdanmark'!H$3:H$504,IF(E47=År2,'Resultater - Vestdanmark'!I$3:I$504,'Resultater - Vestdanmark'!J$3:J$504)),'Resultater - Vestdanmark'!$F$3:$F$504,$A47,'Resultater - Vestdanmark'!H$3:H$504,"&lt;0"),0),-IF(A47="Halm",SUMIFS(IF(E47=År1,'Resultater - Østdanmark'!H$3:H$504,IF(E47=År2,'Resultater - Østdanmark'!I$3:I$504,'Resultater - Østdanmark'!J$3:J$504)),'Resultater - Østdanmark'!$F$3:$F$504,$A47,'Resultater - Østdanmark'!H$3:H$504,"&lt;0"),0))</f>
        <v>0</v>
      </c>
      <c r="J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forbrug'!J$3,'Forbrug af biomasse'!$B$2:$B$425,$F47)</f>
        <v>117920.63695532705</v>
      </c>
      <c r="K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forbrug'!K$3,'Forbrug af biomasse'!$B$2:$B$425,$F47)</f>
        <v>0</v>
      </c>
      <c r="L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forbrug'!L$3,'Forbrug af biomasse'!$B$2:$B$425,$F47)</f>
        <v>0</v>
      </c>
      <c r="M47" s="94">
        <f>IF(A47&lt;&gt;"Biogas",SUMIFS('Forbrug af biomasse'!$E$2:$E$425,'Forbrug af biomasse'!$C$2:$C$425,'Resultat-Produktion &amp; forbrug'!$A47,'Forbrug af biomasse'!$D$2:$D$425,'Resultat-Produktion &amp; forbrug'!$E47,'Forbrug af biomasse'!$A$2:$A$425,'Resultat-Produktion &amp; forbrug'!M$3,'Forbrug af biomasse'!$B$2:$B$425,$F47),G47)</f>
        <v>0</v>
      </c>
      <c r="N47" s="94">
        <f>SUMIFS('Forbrug af biomasse'!E:E,'Forbrug af biomasse'!C:C,'Resultat-Produktion &amp; forbrug'!$A47,'Forbrug af biomasse'!D:D,'Resultat-Produktion &amp; forbrug'!$E47,'Forbrug af biomasse'!G:G,1,'Forbrug af biomasse'!B:B,$F47)</f>
        <v>0</v>
      </c>
      <c r="O47" s="179">
        <f t="shared" si="10"/>
        <v>1276456.3476501952</v>
      </c>
      <c r="P47" s="94">
        <f t="shared" si="4"/>
        <v>0</v>
      </c>
      <c r="Q47" s="180">
        <f t="shared" si="11"/>
        <v>0</v>
      </c>
      <c r="R47">
        <f>IFERROR(VLOOKUP(A47,[1]Energiindhold!$A$2:$C$11,3,FALSE),IFERROR(VLOOKUP(A47,[1]Biogasudbytte!$A$2:$B$18,2,FALSE)*[1]Energiindhold!$C$10,0))*P47</f>
        <v>0</v>
      </c>
      <c r="S47">
        <f>IF(A47&lt;&gt;"Biogas",IFERROR(VLOOKUP(A47,[1]Biogasudbytte!$A$2:$B$18,2,FALSE)*[1]Energiindhold!$C$10,0)*K47*IFERROR(VLOOKUP(A47,Biogasanlæg!$F$3:$G$8,2,FALSE),1)+IFERROR(VLOOKUP(A47,[1]Energiindhold!$A$2:$C$11,3,FALSE),0)*M47+IF(E47&lt;&gt;År1,R47,0),0)</f>
        <v>0</v>
      </c>
      <c r="T47">
        <f>IFERROR(VLOOKUP(A47,[1]Biogasudbytte!$A$2:$B$18,2,FALSE)*[1]Energiindhold!$C$10,0)*K47*IFERROR(VLOOKUP(A47,Biogasanlæg!$F$3:$G$8,2,FALSE),1)</f>
        <v>0</v>
      </c>
      <c r="U47" s="170">
        <f t="shared" si="12"/>
        <v>0</v>
      </c>
      <c r="V47" s="169">
        <f>P47*IFERROR(VLOOKUP(A47,[1]Tørstofindhold!A$2:B$24,2,FALSE),0)</f>
        <v>0</v>
      </c>
      <c r="W47">
        <f>IF(E47=År1,Q47,SUM(P47,Q47))*IFERROR(VLOOKUP(A47,[1]Tørstofindhold!A$2:B$24,2,FALSE),0)</f>
        <v>0</v>
      </c>
      <c r="X47">
        <f>K47*IFERROR(VLOOKUP(A47,[1]Tørstofindhold!A$2:B$24,2,FALSE),0)</f>
        <v>0</v>
      </c>
      <c r="Y47" s="170">
        <f t="shared" si="13"/>
        <v>0</v>
      </c>
      <c r="Z47">
        <f t="shared" si="1"/>
        <v>0</v>
      </c>
      <c r="AA47">
        <f t="shared" si="2"/>
        <v>1</v>
      </c>
      <c r="AB47" s="94">
        <f t="shared" si="8"/>
        <v>1394376.9846055224</v>
      </c>
      <c r="AC47">
        <f>AB47*D47*10000*VLOOKUP(A47,[1]kcal!$A$2:$C$49,3,FALSE)/1000000000000</f>
        <v>2.7190351199807687</v>
      </c>
    </row>
    <row r="48" spans="1:29" x14ac:dyDescent="0.25">
      <c r="A48" s="171" t="s">
        <v>99</v>
      </c>
      <c r="B48" s="171" t="s">
        <v>226</v>
      </c>
      <c r="C48" s="171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71">
        <v>1</v>
      </c>
      <c r="E48" s="171">
        <f t="shared" si="9"/>
        <v>2019</v>
      </c>
      <c r="F48" t="s">
        <v>23</v>
      </c>
      <c r="G48" s="94">
        <f>IF(F48="Vestdanmark",SUMIFS(IF(E48=År1,'Resultater - Vestdanmark'!H$3:H$504,IF(E48=År2,'Resultater - Vestdanmark'!I$3:I$504,'Resultater - Vestdanmark'!J$3:J$504)),'Resultater - Vestdanmark'!$F$3:$F$504,$A48,IF(E48=År1,'Resultater - Vestdanmark'!H$3:H$504,IF(E48=År2,'Resultater - Vestdanmark'!I$3:I$504,'Resultater - Vestdanmark'!J$3:J$504)),"&gt;0"),SUMIFS(IF(E48=År1,'Resultater - Østdanmark'!H$3:H$504,IF(E48=År2,'Resultater - Østdanmark'!I$3:I$504,'Resultater - Østdanmark'!J$3:J$504)),'Resultater - Østdanmark'!$F$3:$F$504,$A48,IF(E48=År1,'Resultater - Østdanmark'!H$3:H$504,IF(E48=År2,'Resultater - Østdanmark'!I$3:I$504,'Resultater - Østdanmark'!J$3:J$504)),"&gt;0"))</f>
        <v>76.5</v>
      </c>
      <c r="H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forbrug'!H$3,'Forbrug af biomasse'!$B$2:$B$425,$F48)</f>
        <v>0</v>
      </c>
      <c r="I48">
        <f>IF(F48="Vestdanmark",-IF(A48="Halm",SUMIFS(IF(E48=År1,'Resultater - Vestdanmark'!H$3:H$504,IF(E48=År2,'Resultater - Vestdanmark'!I$3:I$504,'Resultater - Vestdanmark'!J$3:J$504)),'Resultater - Vestdanmark'!$F$3:$F$504,$A48,'Resultater - Vestdanmark'!H$3:H$504,"&lt;0"),0),-IF(A48="Halm",SUMIFS(IF(E48=År1,'Resultater - Østdanmark'!H$3:H$504,IF(E48=År2,'Resultater - Østdanmark'!I$3:I$504,'Resultater - Østdanmark'!J$3:J$504)),'Resultater - Østdanmark'!$F$3:$F$504,$A48,'Resultater - Østdanmark'!H$3:H$504,"&lt;0"),0))</f>
        <v>0</v>
      </c>
      <c r="J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forbrug'!J$3,'Forbrug af biomasse'!$B$2:$B$425,$F48)</f>
        <v>0</v>
      </c>
      <c r="K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forbrug'!K$3,'Forbrug af biomasse'!$B$2:$B$425,$F48)</f>
        <v>0</v>
      </c>
      <c r="L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forbrug'!L$3,'Forbrug af biomasse'!$B$2:$B$425,$F48)</f>
        <v>0</v>
      </c>
      <c r="M48" s="94">
        <f>IF(A48&lt;&gt;"Biogas",SUMIFS('Forbrug af biomasse'!$E$2:$E$425,'Forbrug af biomasse'!$C$2:$C$425,'Resultat-Produktion &amp; forbrug'!$A48,'Forbrug af biomasse'!$D$2:$D$425,'Resultat-Produktion &amp; forbrug'!$E48,'Forbrug af biomasse'!$A$2:$A$425,'Resultat-Produktion &amp; forbrug'!M$3,'Forbrug af biomasse'!$B$2:$B$425,$F48),G48)</f>
        <v>0</v>
      </c>
      <c r="N48" s="94">
        <f>SUMIFS('Forbrug af biomasse'!E:E,'Forbrug af biomasse'!C:C,'Resultat-Produktion &amp; forbrug'!$A48,'Forbrug af biomasse'!D:D,'Resultat-Produktion &amp; forbrug'!$E48,'Forbrug af biomasse'!G:G,1,'Forbrug af biomasse'!B:B,$F48)</f>
        <v>0</v>
      </c>
      <c r="O48" s="179">
        <f t="shared" si="10"/>
        <v>76.5</v>
      </c>
      <c r="P48" s="94">
        <f t="shared" ca="1" si="4"/>
        <v>76.5</v>
      </c>
      <c r="Q48" s="180">
        <f t="shared" si="11"/>
        <v>0</v>
      </c>
      <c r="R48">
        <f ca="1">IFERROR(VLOOKUP(A48,[1]Energiindhold!$A$2:$C$11,3,FALSE),IFERROR(VLOOKUP(A48,[1]Biogasudbytte!$A$2:$B$18,2,FALSE)*[1]Energiindhold!$C$10,0))*P48</f>
        <v>6.8658750000000004E-5</v>
      </c>
      <c r="S48">
        <f>IF(A48&lt;&gt;"Biogas",IFERROR(VLOOKUP(A48,[1]Biogasudbytte!$A$2:$B$18,2,FALSE)*[1]Energiindhold!$C$10,0)*K48*IFERROR(VLOOKUP(A48,Biogasanlæg!$F$3:$G$8,2,FALSE),1)+IFERROR(VLOOKUP(A48,[1]Energiindhold!$A$2:$C$11,3,FALSE),0)*M48+IF(E48&lt;&gt;År1,R48,0),0)</f>
        <v>0</v>
      </c>
      <c r="T48">
        <f>IFERROR(VLOOKUP(A48,[1]Biogasudbytte!$A$2:$B$18,2,FALSE)*[1]Energiindhold!$C$10,0)*K48*IFERROR(VLOOKUP(A48,Biogasanlæg!$F$3:$G$8,2,FALSE),1)</f>
        <v>0</v>
      </c>
      <c r="U48" s="170">
        <f t="shared" si="12"/>
        <v>0</v>
      </c>
      <c r="V48" s="169">
        <f ca="1">P48*IFERROR(VLOOKUP(A48,[1]Tørstofindhold!A$2:B$24,2,FALSE),0)</f>
        <v>11.475</v>
      </c>
      <c r="W48">
        <f>IF(E48=År1,Q48,SUM(P48,Q48))*IFERROR(VLOOKUP(A48,[1]Tørstofindhold!A$2:B$24,2,FALSE),0)</f>
        <v>0</v>
      </c>
      <c r="X48">
        <f>K48*IFERROR(VLOOKUP(A48,[1]Tørstofindhold!A$2:B$24,2,FALSE),0)</f>
        <v>0</v>
      </c>
      <c r="Y48" s="170">
        <f t="shared" si="13"/>
        <v>0</v>
      </c>
      <c r="Z48">
        <f t="shared" ca="1" si="1"/>
        <v>0</v>
      </c>
      <c r="AA48">
        <f t="shared" ca="1" si="2"/>
        <v>1</v>
      </c>
      <c r="AB48" s="94">
        <f t="shared" si="8"/>
        <v>76.5</v>
      </c>
      <c r="AC48">
        <f>AB48*D48*10000*VLOOKUP(A48,[1]kcal!$A$2:$C$49,3,FALSE)/1000000000000</f>
        <v>3.1211999999999999E-5</v>
      </c>
    </row>
    <row r="49" spans="1:29" x14ac:dyDescent="0.25">
      <c r="A49" s="171" t="s">
        <v>104</v>
      </c>
      <c r="B49" s="171"/>
      <c r="C49" s="171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71">
        <v>0</v>
      </c>
      <c r="E49" s="171">
        <f t="shared" si="9"/>
        <v>2019</v>
      </c>
      <c r="F49" t="s">
        <v>23</v>
      </c>
      <c r="G49" s="94">
        <f>IF(F49="Vestdanmark",SUMIFS(IF(E49=År1,'Resultater - Vestdanmark'!H$3:H$504,IF(E49=År2,'Resultater - Vestdanmark'!I$3:I$504,'Resultater - Vestdanmark'!J$3:J$504)),'Resultater - Vestdanmark'!$F$3:$F$504,$A49,IF(E49=År1,'Resultater - Vestdanmark'!H$3:H$504,IF(E49=År2,'Resultater - Vestdanmark'!I$3:I$504,'Resultater - Vestdanmark'!J$3:J$504)),"&gt;0"),SUMIFS(IF(E49=År1,'Resultater - Østdanmark'!H$3:H$504,IF(E49=År2,'Resultater - Østdanmark'!I$3:I$504,'Resultater - Østdanmark'!J$3:J$504)),'Resultater - Østdanmark'!$F$3:$F$504,$A49,IF(E49=År1,'Resultater - Østdanmark'!H$3:H$504,IF(E49=År2,'Resultater - Østdanmark'!I$3:I$504,'Resultater - Østdanmark'!J$3:J$504)),"&gt;0"))</f>
        <v>0</v>
      </c>
      <c r="H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forbrug'!H$3,'Forbrug af biomasse'!$B$2:$B$425,$F49)</f>
        <v>0</v>
      </c>
      <c r="I49">
        <f>IF(F49="Vestdanmark",-IF(A49="Halm",SUMIFS(IF(E49=År1,'Resultater - Vestdanmark'!H$3:H$504,IF(E49=År2,'Resultater - Vestdanmark'!I$3:I$504,'Resultater - Vestdanmark'!J$3:J$504)),'Resultater - Vestdanmark'!$F$3:$F$504,$A49,'Resultater - Vestdanmark'!H$3:H$504,"&lt;0"),0),-IF(A49="Halm",SUMIFS(IF(E49=År1,'Resultater - Østdanmark'!H$3:H$504,IF(E49=År2,'Resultater - Østdanmark'!I$3:I$504,'Resultater - Østdanmark'!J$3:J$504)),'Resultater - Østdanmark'!$F$3:$F$504,$A49,'Resultater - Østdanmark'!H$3:H$504,"&lt;0"),0))</f>
        <v>0</v>
      </c>
      <c r="J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forbrug'!J$3,'Forbrug af biomasse'!$B$2:$B$425,$F49)</f>
        <v>0</v>
      </c>
      <c r="K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forbrug'!K$3,'Forbrug af biomasse'!$B$2:$B$425,$F49)</f>
        <v>0</v>
      </c>
      <c r="L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forbrug'!L$3,'Forbrug af biomasse'!$B$2:$B$425,$F49)</f>
        <v>0</v>
      </c>
      <c r="M49" s="94">
        <f>IF(A49&lt;&gt;"Biogas",SUMIFS('Forbrug af biomasse'!$E$2:$E$425,'Forbrug af biomasse'!$C$2:$C$425,'Resultat-Produktion &amp; forbrug'!$A49,'Forbrug af biomasse'!$D$2:$D$425,'Resultat-Produktion &amp; forbrug'!$E49,'Forbrug af biomasse'!$A$2:$A$425,'Resultat-Produktion &amp; forbrug'!M$3,'Forbrug af biomasse'!$B$2:$B$425,$F49),G49)</f>
        <v>0</v>
      </c>
      <c r="N49" s="94">
        <f>SUMIFS('Forbrug af biomasse'!E:E,'Forbrug af biomasse'!C:C,'Resultat-Produktion &amp; forbrug'!$A49,'Forbrug af biomasse'!D:D,'Resultat-Produktion &amp; forbrug'!$E49,'Forbrug af biomasse'!G:G,1,'Forbrug af biomasse'!B:B,$F49)</f>
        <v>0</v>
      </c>
      <c r="O49" s="179">
        <f t="shared" si="10"/>
        <v>0</v>
      </c>
      <c r="P49" s="94">
        <f t="shared" si="4"/>
        <v>0</v>
      </c>
      <c r="Q49" s="180">
        <f t="shared" si="11"/>
        <v>0</v>
      </c>
      <c r="R49">
        <f>IFERROR(VLOOKUP(A49,[1]Energiindhold!$A$2:$C$11,3,FALSE),IFERROR(VLOOKUP(A49,[1]Biogasudbytte!$A$2:$B$18,2,FALSE)*[1]Energiindhold!$C$10,0))*P49</f>
        <v>0</v>
      </c>
      <c r="S49">
        <f>IF(A49&lt;&gt;"Biogas",IFERROR(VLOOKUP(A49,[1]Biogasudbytte!$A$2:$B$18,2,FALSE)*[1]Energiindhold!$C$10,0)*K49*IFERROR(VLOOKUP(A49,Biogasanlæg!$F$3:$G$8,2,FALSE),1)+IFERROR(VLOOKUP(A49,[1]Energiindhold!$A$2:$C$11,3,FALSE),0)*M49+IF(E49&lt;&gt;År1,R49,0),0)</f>
        <v>0</v>
      </c>
      <c r="T49">
        <f>IFERROR(VLOOKUP(A49,[1]Biogasudbytte!$A$2:$B$18,2,FALSE)*[1]Energiindhold!$C$10,0)*K49*IFERROR(VLOOKUP(A49,Biogasanlæg!$F$3:$G$8,2,FALSE),1)</f>
        <v>0</v>
      </c>
      <c r="U49" s="170">
        <f t="shared" si="12"/>
        <v>0</v>
      </c>
      <c r="V49" s="169">
        <f>P49*IFERROR(VLOOKUP(A49,[1]Tørstofindhold!A$2:B$24,2,FALSE),0)</f>
        <v>0</v>
      </c>
      <c r="W49">
        <f>IF(E49=År1,Q49,SUM(P49,Q49))*IFERROR(VLOOKUP(A49,[1]Tørstofindhold!A$2:B$24,2,FALSE),0)</f>
        <v>0</v>
      </c>
      <c r="X49">
        <f>K49*IFERROR(VLOOKUP(A49,[1]Tørstofindhold!A$2:B$24,2,FALSE),0)</f>
        <v>0</v>
      </c>
      <c r="Y49" s="170">
        <f t="shared" si="13"/>
        <v>0</v>
      </c>
      <c r="Z49">
        <f t="shared" si="1"/>
        <v>0</v>
      </c>
      <c r="AA49">
        <f t="shared" si="2"/>
        <v>0</v>
      </c>
      <c r="AB49" s="94">
        <f t="shared" si="8"/>
        <v>0</v>
      </c>
      <c r="AC49">
        <f>AB49*D49*10000*VLOOKUP(A49,[1]kcal!$A$2:$C$49,3,FALSE)/1000000000000</f>
        <v>0</v>
      </c>
    </row>
    <row r="50" spans="1:29" x14ac:dyDescent="0.25">
      <c r="A50" s="171" t="s">
        <v>119</v>
      </c>
      <c r="B50" s="171" t="s">
        <v>225</v>
      </c>
      <c r="C50" s="171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1</v>
      </c>
      <c r="D50" s="171">
        <v>0</v>
      </c>
      <c r="E50" s="171">
        <f t="shared" si="9"/>
        <v>2019</v>
      </c>
      <c r="F50" t="s">
        <v>23</v>
      </c>
      <c r="G50" s="94">
        <f>IF(F50="Vestdanmark",SUMIFS(IF(E50=År1,'Resultater - Vestdanmark'!H$3:H$504,IF(E50=År2,'Resultater - Vestdanmark'!I$3:I$504,'Resultater - Vestdanmark'!J$3:J$504)),'Resultater - Vestdanmark'!$F$3:$F$504,$A50,IF(E50=År1,'Resultater - Vestdanmark'!H$3:H$504,IF(E50=År2,'Resultater - Vestdanmark'!I$3:I$504,'Resultater - Vestdanmark'!J$3:J$504)),"&gt;0"),SUMIFS(IF(E50=År1,'Resultater - Østdanmark'!H$3:H$504,IF(E50=År2,'Resultater - Østdanmark'!I$3:I$504,'Resultater - Østdanmark'!J$3:J$504)),'Resultater - Østdanmark'!$F$3:$F$504,$A50,IF(E50=År1,'Resultater - Østdanmark'!H$3:H$504,IF(E50=År2,'Resultater - Østdanmark'!I$3:I$504,'Resultater - Østdanmark'!J$3:J$504)),"&gt;0"))</f>
        <v>2328677.081002241</v>
      </c>
      <c r="H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forbrug'!H$3,'Forbrug af biomasse'!$B$2:$B$425,$F50)</f>
        <v>0</v>
      </c>
      <c r="I50">
        <f>IF(F50="Vestdanmark",-IF(A50="Halm",SUMIFS(IF(E50=År1,'Resultater - Vestdanmark'!H$3:H$504,IF(E50=År2,'Resultater - Vestdanmark'!I$3:I$504,'Resultater - Vestdanmark'!J$3:J$504)),'Resultater - Vestdanmark'!$F$3:$F$504,$A50,'Resultater - Vestdanmark'!H$3:H$504,"&lt;0"),0),-IF(A50="Halm",SUMIFS(IF(E50=År1,'Resultater - Østdanmark'!H$3:H$504,IF(E50=År2,'Resultater - Østdanmark'!I$3:I$504,'Resultater - Østdanmark'!J$3:J$504)),'Resultater - Østdanmark'!$F$3:$F$504,$A50,'Resultater - Østdanmark'!H$3:H$504,"&lt;0"),0))</f>
        <v>0</v>
      </c>
      <c r="J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forbrug'!J$3,'Forbrug af biomasse'!$B$2:$B$425,$F50)</f>
        <v>0</v>
      </c>
      <c r="K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forbrug'!K$3,'Forbrug af biomasse'!$B$2:$B$425,$F50)</f>
        <v>0</v>
      </c>
      <c r="L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forbrug'!L$3,'Forbrug af biomasse'!$B$2:$B$425,$F50)</f>
        <v>0</v>
      </c>
      <c r="M50" s="94">
        <f ca="1">IF(A50&lt;&gt;"Biogas",SUMIFS('Forbrug af biomasse'!$E$2:$E$425,'Forbrug af biomasse'!$C$2:$C$425,'Resultat-Produktion &amp; forbrug'!$A50,'Forbrug af biomasse'!$D$2:$D$425,'Resultat-Produktion &amp; forbrug'!$E50,'Forbrug af biomasse'!$A$2:$A$425,'Resultat-Produktion &amp; forbrug'!M$3,'Forbrug af biomasse'!$B$2:$B$425,$F50),G50)</f>
        <v>2328677.081002241</v>
      </c>
      <c r="N50" s="94">
        <f>SUMIFS('Forbrug af biomasse'!E:E,'Forbrug af biomasse'!C:C,'Resultat-Produktion &amp; forbrug'!$A50,'Forbrug af biomasse'!D:D,'Resultat-Produktion &amp; forbrug'!$E50,'Forbrug af biomasse'!G:G,1,'Forbrug af biomasse'!B:B,$F50)</f>
        <v>0</v>
      </c>
      <c r="O50" s="179">
        <f t="shared" ca="1" si="10"/>
        <v>0</v>
      </c>
      <c r="P50" s="94">
        <f t="shared" ca="1" si="4"/>
        <v>0</v>
      </c>
      <c r="Q50" s="180">
        <f t="shared" ca="1" si="11"/>
        <v>2328677.081002241</v>
      </c>
      <c r="R50">
        <f ca="1">IFERROR(VLOOKUP(A50,[1]Energiindhold!$A$2:$C$11,3,FALSE),IFERROR(VLOOKUP(A50,[1]Biogasudbytte!$A$2:$B$18,2,FALSE)*[1]Energiindhold!$C$10,0))*P50</f>
        <v>0</v>
      </c>
      <c r="S50">
        <f ca="1">IF(A50&lt;&gt;"Biogas",IFERROR(VLOOKUP(A50,[1]Biogasudbytte!$A$2:$B$18,2,FALSE)*[1]Energiindhold!$C$10,0)*K50*IFERROR(VLOOKUP(A50,Biogasanlæg!$F$3:$G$8,2,FALSE),1)+IFERROR(VLOOKUP(A50,[1]Energiindhold!$A$2:$C$11,3,FALSE),0)*M50+IF(E50&lt;&gt;År1,R50,0),0)</f>
        <v>33.750841721162331</v>
      </c>
      <c r="T50">
        <f>IFERROR(VLOOKUP(A50,[1]Biogasudbytte!$A$2:$B$18,2,FALSE)*[1]Energiindhold!$C$10,0)*K50*IFERROR(VLOOKUP(A50,Biogasanlæg!$F$3:$G$8,2,FALSE),1)</f>
        <v>0</v>
      </c>
      <c r="U50" s="170">
        <f t="shared" ca="1" si="12"/>
        <v>33.750841721162331</v>
      </c>
      <c r="V50" s="169">
        <f ca="1">P50*IFERROR(VLOOKUP(A50,[1]Tørstofindhold!A$2:B$24,2,FALSE),0)</f>
        <v>0</v>
      </c>
      <c r="W50">
        <f ca="1">IF(E50=År1,Q50,SUM(P50,Q50))*IFERROR(VLOOKUP(A50,[1]Tørstofindhold!A$2:B$24,2,FALSE),0)</f>
        <v>1151724.8729790249</v>
      </c>
      <c r="X50">
        <f>K50*IFERROR(VLOOKUP(A50,[1]Tørstofindhold!A$2:B$24,2,FALSE),0)</f>
        <v>0</v>
      </c>
      <c r="Y50" s="170">
        <f t="shared" ca="1" si="13"/>
        <v>1151724.8729790249</v>
      </c>
      <c r="Z50">
        <f t="shared" ca="1" si="1"/>
        <v>0</v>
      </c>
      <c r="AA50">
        <f t="shared" ca="1" si="2"/>
        <v>0</v>
      </c>
      <c r="AB50" s="94">
        <f t="shared" ca="1" si="8"/>
        <v>2328677.081002241</v>
      </c>
      <c r="AC50">
        <f ca="1">AB50*D50*10000*VLOOKUP(A50,[1]kcal!$A$2:$C$49,3,FALSE)/1000000000000</f>
        <v>0</v>
      </c>
    </row>
    <row r="51" spans="1:29" x14ac:dyDescent="0.25">
      <c r="A51" s="171" t="s">
        <v>118</v>
      </c>
      <c r="B51" s="171"/>
      <c r="C51" s="171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71">
        <v>0</v>
      </c>
      <c r="E51" s="171">
        <f t="shared" si="9"/>
        <v>2019</v>
      </c>
      <c r="F51" t="s">
        <v>23</v>
      </c>
      <c r="G51" s="94">
        <f>IF(F51="Vestdanmark",SUMIFS(IF(E51=År1,'Resultater - Vestdanmark'!H$3:H$504,IF(E51=År2,'Resultater - Vestdanmark'!I$3:I$504,'Resultater - Vestdanmark'!J$3:J$504)),'Resultater - Vestdanmark'!$F$3:$F$504,$A51,IF(E51=År1,'Resultater - Vestdanmark'!H$3:H$504,IF(E51=År2,'Resultater - Vestdanmark'!I$3:I$504,'Resultater - Vestdanmark'!J$3:J$504)),"&gt;0"),SUMIFS(IF(E51=År1,'Resultater - Østdanmark'!H$3:H$504,IF(E51=År2,'Resultater - Østdanmark'!I$3:I$504,'Resultater - Østdanmark'!J$3:J$504)),'Resultater - Østdanmark'!$F$3:$F$504,$A51,IF(E51=År1,'Resultater - Østdanmark'!H$3:H$504,IF(E51=År2,'Resultater - Østdanmark'!I$3:I$504,'Resultater - Østdanmark'!J$3:J$504)),"&gt;0"))</f>
        <v>640291.52551137318</v>
      </c>
      <c r="H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forbrug'!H$3,'Forbrug af biomasse'!$B$2:$B$425,$F51)</f>
        <v>0</v>
      </c>
      <c r="I51">
        <f>IF(F51="Vestdanmark",-IF(A51="Halm",SUMIFS(IF(E51=År1,'Resultater - Vestdanmark'!H$3:H$504,IF(E51=År2,'Resultater - Vestdanmark'!I$3:I$504,'Resultater - Vestdanmark'!J$3:J$504)),'Resultater - Vestdanmark'!$F$3:$F$504,$A51,'Resultater - Vestdanmark'!H$3:H$504,"&lt;0"),0),-IF(A51="Halm",SUMIFS(IF(E51=År1,'Resultater - Østdanmark'!H$3:H$504,IF(E51=År2,'Resultater - Østdanmark'!I$3:I$504,'Resultater - Østdanmark'!J$3:J$504)),'Resultater - Østdanmark'!$F$3:$F$504,$A51,'Resultater - Østdanmark'!H$3:H$504,"&lt;0"),0))</f>
        <v>0</v>
      </c>
      <c r="J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forbrug'!J$3,'Forbrug af biomasse'!$B$2:$B$425,$F51)</f>
        <v>0</v>
      </c>
      <c r="K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forbrug'!K$3,'Forbrug af biomasse'!$B$2:$B$425,$F51)</f>
        <v>0</v>
      </c>
      <c r="L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forbrug'!L$3,'Forbrug af biomasse'!$B$2:$B$425,$F51)</f>
        <v>0</v>
      </c>
      <c r="M51" s="94">
        <f>IF(A51&lt;&gt;"Biogas",SUMIFS('Forbrug af biomasse'!$E$2:$E$425,'Forbrug af biomasse'!$C$2:$C$425,'Resultat-Produktion &amp; forbrug'!$A51,'Forbrug af biomasse'!$D$2:$D$425,'Resultat-Produktion &amp; forbrug'!$E51,'Forbrug af biomasse'!$A$2:$A$425,'Resultat-Produktion &amp; forbrug'!M$3,'Forbrug af biomasse'!$B$2:$B$425,$F51),G51)</f>
        <v>0</v>
      </c>
      <c r="N51" s="94">
        <f>SUMIFS('Forbrug af biomasse'!E:E,'Forbrug af biomasse'!C:C,'Resultat-Produktion &amp; forbrug'!$A51,'Forbrug af biomasse'!D:D,'Resultat-Produktion &amp; forbrug'!$E51,'Forbrug af biomasse'!G:G,1,'Forbrug af biomasse'!B:B,$F51)</f>
        <v>640291.52551137318</v>
      </c>
      <c r="O51" s="179">
        <f t="shared" si="10"/>
        <v>0</v>
      </c>
      <c r="P51" s="94">
        <f t="shared" si="4"/>
        <v>0</v>
      </c>
      <c r="Q51" s="180">
        <f t="shared" si="11"/>
        <v>0</v>
      </c>
      <c r="R51">
        <f>IFERROR(VLOOKUP(A51,[1]Energiindhold!$A$2:$C$11,3,FALSE),IFERROR(VLOOKUP(A51,[1]Biogasudbytte!$A$2:$B$18,2,FALSE)*[1]Energiindhold!$C$10,0))*P51</f>
        <v>0</v>
      </c>
      <c r="S51">
        <f>IF(A51&lt;&gt;"Biogas",IFERROR(VLOOKUP(A51,[1]Biogasudbytte!$A$2:$B$18,2,FALSE)*[1]Energiindhold!$C$10,0)*K51*IFERROR(VLOOKUP(A51,Biogasanlæg!$F$3:$G$8,2,FALSE),1)+IFERROR(VLOOKUP(A51,[1]Energiindhold!$A$2:$C$11,3,FALSE),0)*M51+IF(E51&lt;&gt;År1,R51,0),0)</f>
        <v>0</v>
      </c>
      <c r="T51">
        <f>IFERROR(VLOOKUP(A51,[1]Biogasudbytte!$A$2:$B$18,2,FALSE)*[1]Energiindhold!$C$10,0)*K51*IFERROR(VLOOKUP(A51,Biogasanlæg!$F$3:$G$8,2,FALSE),1)</f>
        <v>0</v>
      </c>
      <c r="U51" s="170">
        <f t="shared" si="12"/>
        <v>0</v>
      </c>
      <c r="V51" s="169">
        <f>P51*IFERROR(VLOOKUP(A51,[1]Tørstofindhold!A$2:B$24,2,FALSE),0)</f>
        <v>0</v>
      </c>
      <c r="W51">
        <f>IF(E51=År1,Q51,SUM(P51,Q51))*IFERROR(VLOOKUP(A51,[1]Tørstofindhold!A$2:B$24,2,FALSE),0)</f>
        <v>0</v>
      </c>
      <c r="X51">
        <f>K51*IFERROR(VLOOKUP(A51,[1]Tørstofindhold!A$2:B$24,2,FALSE),0)</f>
        <v>0</v>
      </c>
      <c r="Y51" s="170">
        <f t="shared" si="13"/>
        <v>0</v>
      </c>
      <c r="Z51">
        <f t="shared" ca="1" si="1"/>
        <v>0</v>
      </c>
      <c r="AA51">
        <f t="shared" ca="1" si="2"/>
        <v>0</v>
      </c>
      <c r="AB51" s="94">
        <f t="shared" si="8"/>
        <v>640291.52551137318</v>
      </c>
      <c r="AC51">
        <f>AB51*D51*10000*VLOOKUP(A51,[1]kcal!$A$2:$C$49,3,FALSE)/1000000000000</f>
        <v>0</v>
      </c>
    </row>
    <row r="52" spans="1:29" x14ac:dyDescent="0.25">
      <c r="A52" s="171" t="str">
        <f t="shared" ref="A52:A83" si="18">A4</f>
        <v>Æg</v>
      </c>
      <c r="B52" s="171" t="str">
        <f t="shared" ref="B52:B83" si="19">IF(B4&lt;&gt;"",B4,"")</f>
        <v/>
      </c>
      <c r="C52" s="171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71">
        <f>D4</f>
        <v>1</v>
      </c>
      <c r="E52" s="171">
        <f t="shared" ref="E52:E99" si="20">År2</f>
        <v>2030</v>
      </c>
      <c r="F52" t="s">
        <v>23</v>
      </c>
      <c r="G52" s="94">
        <f>IF(F52="Vestdanmark",SUMIFS(IF(E52=År1,'Resultater - Vestdanmark'!H$3:H$504,IF(E52=År2,'Resultater - Vestdanmark'!I$3:I$504,'Resultater - Vestdanmark'!J$3:J$504)),'Resultater - Vestdanmark'!$F$3:$F$504,$A52,IF(E52=År1,'Resultater - Vestdanmark'!H$3:H$504,IF(E52=År2,'Resultater - Vestdanmark'!I$3:I$504,'Resultater - Vestdanmark'!J$3:J$504)),"&gt;0"),SUMIFS(IF(E52=År1,'Resultater - Østdanmark'!H$3:H$504,IF(E52=År2,'Resultater - Østdanmark'!I$3:I$504,'Resultater - Østdanmark'!J$3:J$504)),'Resultater - Østdanmark'!$F$3:$F$504,$A52,IF(E52=År1,'Resultater - Østdanmark'!H$3:H$504,IF(E52=År2,'Resultater - Østdanmark'!I$3:I$504,'Resultater - Østdanmark'!J$3:J$504)),"&gt;0"))</f>
        <v>213791.94985288731</v>
      </c>
      <c r="H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forbrug'!H$3,'Forbrug af biomasse'!$B$2:$B$425,$F52)</f>
        <v>0</v>
      </c>
      <c r="I52">
        <f>IF(F52="Vestdanmark",-IF(A52="Halm",SUMIFS(IF(E52=År1,'Resultater - Vestdanmark'!H$3:H$504,IF(E52=År2,'Resultater - Vestdanmark'!I$3:I$504,'Resultater - Vestdanmark'!J$3:J$504)),'Resultater - Vestdanmark'!$F$3:$F$504,$A52,'Resultater - Vestdanmark'!H$3:H$504,"&lt;0"),0),-IF(A52="Halm",SUMIFS(IF(E52=År1,'Resultater - Østdanmark'!H$3:H$504,IF(E52=År2,'Resultater - Østdanmark'!I$3:I$504,'Resultater - Østdanmark'!J$3:J$504)),'Resultater - Østdanmark'!$F$3:$F$504,$A52,'Resultater - Østdanmark'!H$3:H$504,"&lt;0"),0))</f>
        <v>0</v>
      </c>
      <c r="J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forbrug'!J$3,'Forbrug af biomasse'!$B$2:$B$425,$F52)</f>
        <v>32579.784552999867</v>
      </c>
      <c r="K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forbrug'!K$3,'Forbrug af biomasse'!$B$2:$B$425,$F52)</f>
        <v>0</v>
      </c>
      <c r="L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forbrug'!L$3,'Forbrug af biomasse'!$B$2:$B$425,$F52)</f>
        <v>0</v>
      </c>
      <c r="M52" s="94">
        <f>IF(A52&lt;&gt;"Biogas",SUMIFS('Forbrug af biomasse'!$E$2:$E$425,'Forbrug af biomasse'!$C$2:$C$425,'Resultat-Produktion &amp; forbrug'!$A52,'Forbrug af biomasse'!$D$2:$D$425,'Resultat-Produktion &amp; forbrug'!$E52,'Forbrug af biomasse'!$A$2:$A$425,'Resultat-Produktion &amp; forbrug'!M$3,'Forbrug af biomasse'!$B$2:$B$425,$F52),G52)</f>
        <v>0</v>
      </c>
      <c r="N52" s="94">
        <f>SUMIFS('Forbrug af biomasse'!E:E,'Forbrug af biomasse'!C:C,'Resultat-Produktion &amp; forbrug'!$A52,'Forbrug af biomasse'!D:D,'Resultat-Produktion &amp; forbrug'!$E52,'Forbrug af biomasse'!G:G,1,'Forbrug af biomasse'!B:B,$F52)</f>
        <v>0</v>
      </c>
      <c r="O52" s="179">
        <f t="shared" si="10"/>
        <v>181212.16529988745</v>
      </c>
      <c r="P52" s="94">
        <f t="shared" si="4"/>
        <v>0</v>
      </c>
      <c r="Q52" s="180">
        <f t="shared" si="11"/>
        <v>0</v>
      </c>
      <c r="R52">
        <f>IFERROR(VLOOKUP(A52,[1]Energiindhold!$A$2:$C$11,3,FALSE),IFERROR(VLOOKUP(A52,[1]Biogasudbytte!$A$2:$B$18,2,FALSE)*[1]Energiindhold!$C$10,0))*P52</f>
        <v>0</v>
      </c>
      <c r="S52">
        <f>IF(A52&lt;&gt;"Biogas",IFERROR(VLOOKUP(A52,[1]Biogasudbytte!$A$2:$B$18,2,FALSE)*[1]Energiindhold!$C$10,0)*K52*IFERROR(VLOOKUP(A52,Biogasanlæg!$F$3:$G$8,2,FALSE),1)+IFERROR(VLOOKUP(A52,[1]Energiindhold!$A$2:$C$11,3,FALSE),0)*M52+IF(E52&lt;&gt;År1,R52,0),0)</f>
        <v>0</v>
      </c>
      <c r="T52">
        <f>IFERROR(VLOOKUP(A52,[1]Biogasudbytte!$A$2:$B$18,2,FALSE)*[1]Energiindhold!$C$10,0)*K52*IFERROR(VLOOKUP(A52,Biogasanlæg!$F$3:$G$8,2,FALSE),1)</f>
        <v>0</v>
      </c>
      <c r="U52" s="170">
        <f t="shared" si="12"/>
        <v>0</v>
      </c>
      <c r="V52" s="169">
        <f>P52*IFERROR(VLOOKUP(A52,[1]Tørstofindhold!A$2:B$24,2,FALSE),0)</f>
        <v>0</v>
      </c>
      <c r="W52">
        <f>IF(E52=År1,Q52,SUM(P52,Q52))*IFERROR(VLOOKUP(A52,[1]Tørstofindhold!A$2:B$24,2,FALSE),0)</f>
        <v>0</v>
      </c>
      <c r="X52">
        <f>K52*IFERROR(VLOOKUP(A52,[1]Tørstofindhold!A$2:B$24,2,FALSE),0)</f>
        <v>0</v>
      </c>
      <c r="Y52" s="170">
        <f t="shared" si="13"/>
        <v>0</v>
      </c>
      <c r="Z52">
        <f t="shared" ca="1" si="1"/>
        <v>0</v>
      </c>
      <c r="AA52">
        <f t="shared" ca="1" si="2"/>
        <v>1</v>
      </c>
      <c r="AB52" s="94">
        <f t="shared" si="8"/>
        <v>213791.94985288731</v>
      </c>
      <c r="AC52">
        <f>AB52*D52*10000*VLOOKUP(A52,[1]kcal!$A$2:$C$49,3,FALSE)/1000000000000</f>
        <v>0.29503289079698447</v>
      </c>
    </row>
    <row r="53" spans="1:29" x14ac:dyDescent="0.25">
      <c r="A53" s="171" t="str">
        <f t="shared" si="18"/>
        <v>Bælgsæd</v>
      </c>
      <c r="B53" s="171" t="str">
        <f t="shared" si="19"/>
        <v/>
      </c>
      <c r="C53" s="171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0</v>
      </c>
      <c r="D53" s="171">
        <f t="shared" ref="D53:D116" si="21">D5</f>
        <v>1</v>
      </c>
      <c r="E53" s="171">
        <f t="shared" si="20"/>
        <v>2030</v>
      </c>
      <c r="F53" t="s">
        <v>23</v>
      </c>
      <c r="G53" s="94">
        <f>IF(F53="Vestdanmark",SUMIFS(IF(E53=År1,'Resultater - Vestdanmark'!H$3:H$504,IF(E53=År2,'Resultater - Vestdanmark'!I$3:I$504,'Resultater - Vestdanmark'!J$3:J$504)),'Resultater - Vestdanmark'!$F$3:$F$504,$A53,IF(E53=År1,'Resultater - Vestdanmark'!H$3:H$504,IF(E53=År2,'Resultater - Vestdanmark'!I$3:I$504,'Resultater - Vestdanmark'!J$3:J$504)),"&gt;0"),SUMIFS(IF(E53=År1,'Resultater - Østdanmark'!H$3:H$504,IF(E53=År2,'Resultater - Østdanmark'!I$3:I$504,'Resultater - Østdanmark'!J$3:J$504)),'Resultater - Østdanmark'!$F$3:$F$504,$A53,IF(E53=År1,'Resultater - Østdanmark'!H$3:H$504,IF(E53=År2,'Resultater - Østdanmark'!I$3:I$504,'Resultater - Østdanmark'!J$3:J$504)),"&gt;0"))</f>
        <v>256967.2608743826</v>
      </c>
      <c r="H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forbrug'!H$3,'Forbrug af biomasse'!$B$2:$B$425,$F53)</f>
        <v>62908.541627737373</v>
      </c>
      <c r="I53">
        <f>IF(F53="Vestdanmark",-IF(A53="Halm",SUMIFS(IF(E53=År1,'Resultater - Vestdanmark'!H$3:H$504,IF(E53=År2,'Resultater - Vestdanmark'!I$3:I$504,'Resultater - Vestdanmark'!J$3:J$504)),'Resultater - Vestdanmark'!$F$3:$F$504,$A53,'Resultater - Vestdanmark'!H$3:H$504,"&lt;0"),0),-IF(A53="Halm",SUMIFS(IF(E53=År1,'Resultater - Østdanmark'!H$3:H$504,IF(E53=År2,'Resultater - Østdanmark'!I$3:I$504,'Resultater - Østdanmark'!J$3:J$504)),'Resultater - Østdanmark'!$F$3:$F$504,$A53,'Resultater - Østdanmark'!H$3:H$504,"&lt;0"),0))</f>
        <v>0</v>
      </c>
      <c r="J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forbrug'!J$3,'Forbrug af biomasse'!$B$2:$B$425,$F53)</f>
        <v>0</v>
      </c>
      <c r="K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forbrug'!K$3,'Forbrug af biomasse'!$B$2:$B$425,$F53)</f>
        <v>0</v>
      </c>
      <c r="L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forbrug'!L$3,'Forbrug af biomasse'!$B$2:$B$425,$F53)</f>
        <v>0</v>
      </c>
      <c r="M53" s="94">
        <f>IF(A53&lt;&gt;"Biogas",SUMIFS('Forbrug af biomasse'!$E$2:$E$425,'Forbrug af biomasse'!$C$2:$C$425,'Resultat-Produktion &amp; forbrug'!$A53,'Forbrug af biomasse'!$D$2:$D$425,'Resultat-Produktion &amp; forbrug'!$E53,'Forbrug af biomasse'!$A$2:$A$425,'Resultat-Produktion &amp; forbrug'!M$3,'Forbrug af biomasse'!$B$2:$B$425,$F53),G53)</f>
        <v>0</v>
      </c>
      <c r="N53" s="94">
        <f>SUMIFS('Forbrug af biomasse'!E:E,'Forbrug af biomasse'!C:C,'Resultat-Produktion &amp; forbrug'!$A53,'Forbrug af biomasse'!D:D,'Resultat-Produktion &amp; forbrug'!$E53,'Forbrug af biomasse'!G:G,1,'Forbrug af biomasse'!B:B,$F53)</f>
        <v>0</v>
      </c>
      <c r="O53" s="179">
        <f t="shared" si="10"/>
        <v>194058.71924664523</v>
      </c>
      <c r="P53" s="94">
        <f t="shared" si="4"/>
        <v>0</v>
      </c>
      <c r="Q53" s="180">
        <f t="shared" si="11"/>
        <v>0</v>
      </c>
      <c r="R53">
        <f>IFERROR(VLOOKUP(A53,[1]Energiindhold!$A$2:$C$11,3,FALSE),IFERROR(VLOOKUP(A53,[1]Biogasudbytte!$A$2:$B$18,2,FALSE)*[1]Energiindhold!$C$10,0))*P53</f>
        <v>0</v>
      </c>
      <c r="S53">
        <f>IF(A53&lt;&gt;"Biogas",IFERROR(VLOOKUP(A53,[1]Biogasudbytte!$A$2:$B$18,2,FALSE)*[1]Energiindhold!$C$10,0)*K53*IFERROR(VLOOKUP(A53,Biogasanlæg!$F$3:$G$8,2,FALSE),1)+IFERROR(VLOOKUP(A53,[1]Energiindhold!$A$2:$C$11,3,FALSE),0)*M53+IF(E53&lt;&gt;År1,R53,0),0)</f>
        <v>0</v>
      </c>
      <c r="T53">
        <f>IFERROR(VLOOKUP(A53,[1]Biogasudbytte!$A$2:$B$18,2,FALSE)*[1]Energiindhold!$C$10,0)*K53*IFERROR(VLOOKUP(A53,Biogasanlæg!$F$3:$G$8,2,FALSE),1)</f>
        <v>0</v>
      </c>
      <c r="U53" s="170">
        <f t="shared" si="12"/>
        <v>0</v>
      </c>
      <c r="V53" s="169">
        <f>P53*IFERROR(VLOOKUP(A53,[1]Tørstofindhold!A$2:B$24,2,FALSE),0)</f>
        <v>0</v>
      </c>
      <c r="W53">
        <f>IF(E53=År1,Q53,SUM(P53,Q53))*IFERROR(VLOOKUP(A53,[1]Tørstofindhold!A$2:B$24,2,FALSE),0)</f>
        <v>0</v>
      </c>
      <c r="X53">
        <f>K53*IFERROR(VLOOKUP(A53,[1]Tørstofindhold!A$2:B$24,2,FALSE),0)</f>
        <v>0</v>
      </c>
      <c r="Y53" s="170">
        <f t="shared" si="13"/>
        <v>0</v>
      </c>
      <c r="Z53">
        <f t="shared" ca="1" si="1"/>
        <v>0</v>
      </c>
      <c r="AA53">
        <f t="shared" ca="1" si="2"/>
        <v>1</v>
      </c>
      <c r="AB53" s="94">
        <f t="shared" si="8"/>
        <v>194058.71924664523</v>
      </c>
      <c r="AC53">
        <f>AB53*D53*10000*VLOOKUP(A53,[1]kcal!$A$2:$C$49,3,FALSE)/1000000000000</f>
        <v>1.3477378051679512</v>
      </c>
    </row>
    <row r="54" spans="1:29" x14ac:dyDescent="0.25">
      <c r="A54" s="171" t="str">
        <f t="shared" si="18"/>
        <v>Bioaffald</v>
      </c>
      <c r="B54" s="171" t="str">
        <f t="shared" si="19"/>
        <v>Bionedbrydeligt affald</v>
      </c>
      <c r="C54" s="171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71">
        <f t="shared" si="21"/>
        <v>0</v>
      </c>
      <c r="E54" s="171">
        <f t="shared" si="20"/>
        <v>2030</v>
      </c>
      <c r="F54" t="s">
        <v>23</v>
      </c>
      <c r="G54" s="94">
        <f ca="1">IF(F54="Vestdanmark",SUMIFS(IF(E54=År1,'Resultater - Vestdanmark'!H$3:H$504,IF(E54=År2,'Resultater - Vestdanmark'!I$3:I$504,'Resultater - Vestdanmark'!J$3:J$504)),'Resultater - Vestdanmark'!$F$3:$F$504,$A54,IF(E54=År1,'Resultater - Vestdanmark'!H$3:H$504,IF(E54=År2,'Resultater - Vestdanmark'!I$3:I$504,'Resultater - Vestdanmark'!J$3:J$504)),"&gt;0"),SUMIFS(IF(E54=År1,'Resultater - Østdanmark'!H$3:H$504,IF(E54=År2,'Resultater - Østdanmark'!I$3:I$504,'Resultater - Østdanmark'!J$3:J$504)),'Resultater - Østdanmark'!$F$3:$F$504,$A54,IF(E54=År1,'Resultater - Østdanmark'!H$3:H$504,IF(E54=År2,'Resultater - Østdanmark'!I$3:I$504,'Resultater - Østdanmark'!J$3:J$504)),"&gt;0"))</f>
        <v>195082.22598438186</v>
      </c>
      <c r="H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forbrug'!H$3,'Forbrug af biomasse'!$B$2:$B$425,$F54)</f>
        <v>0</v>
      </c>
      <c r="I54">
        <f>IF(F54="Vestdanmark",-IF(A54="Halm",SUMIFS(IF(E54=År1,'Resultater - Vestdanmark'!H$3:H$504,IF(E54=År2,'Resultater - Vestdanmark'!I$3:I$504,'Resultater - Vestdanmark'!J$3:J$504)),'Resultater - Vestdanmark'!$F$3:$F$504,$A54,'Resultater - Vestdanmark'!H$3:H$504,"&lt;0"),0),-IF(A54="Halm",SUMIFS(IF(E54=År1,'Resultater - Østdanmark'!H$3:H$504,IF(E54=År2,'Resultater - Østdanmark'!I$3:I$504,'Resultater - Østdanmark'!J$3:J$504)),'Resultater - Østdanmark'!$F$3:$F$504,$A54,'Resultater - Østdanmark'!H$3:H$504,"&lt;0"),0))</f>
        <v>0</v>
      </c>
      <c r="J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forbrug'!J$3,'Forbrug af biomasse'!$B$2:$B$425,$F54)</f>
        <v>0</v>
      </c>
      <c r="K54" s="94">
        <f ca="1">SUMIFS('Forbrug af biomasse'!$E$2:$E$425,'Forbrug af biomasse'!$C$2:$C$425,'Resultat-Produktion &amp; forbrug'!$A54,'Forbrug af biomasse'!$D$2:$D$425,'Resultat-Produktion &amp; forbrug'!$E54,'Forbrug af biomasse'!$A$2:$A$425,'Resultat-Produktion &amp; forbrug'!K$3,'Forbrug af biomasse'!$B$2:$B$425,$F54)</f>
        <v>0</v>
      </c>
      <c r="L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forbrug'!L$3,'Forbrug af biomasse'!$B$2:$B$425,$F54)</f>
        <v>0</v>
      </c>
      <c r="M54" s="94">
        <f ca="1">IF(A54&lt;&gt;"Biogas",SUMIFS('Forbrug af biomasse'!$E$2:$E$425,'Forbrug af biomasse'!$C$2:$C$425,'Resultat-Produktion &amp; forbrug'!$A54,'Forbrug af biomasse'!$D$2:$D$425,'Resultat-Produktion &amp; forbrug'!$E54,'Forbrug af biomasse'!$A$2:$A$425,'Resultat-Produktion &amp; forbrug'!M$3,'Forbrug af biomasse'!$B$2:$B$425,$F54),G54)</f>
        <v>195082.22598438186</v>
      </c>
      <c r="N54" s="94">
        <f ca="1">SUMIFS('Forbrug af biomasse'!E:E,'Forbrug af biomasse'!C:C,'Resultat-Produktion &amp; forbrug'!$A54,'Forbrug af biomasse'!D:D,'Resultat-Produktion &amp; forbrug'!$E54,'Forbrug af biomasse'!G:G,1,'Forbrug af biomasse'!B:B,$F54)</f>
        <v>0</v>
      </c>
      <c r="O54" s="179">
        <f t="shared" ca="1" si="10"/>
        <v>0</v>
      </c>
      <c r="P54" s="94">
        <f t="shared" ca="1" si="4"/>
        <v>0</v>
      </c>
      <c r="Q54" s="180">
        <f t="shared" ca="1" si="11"/>
        <v>195082.22598438186</v>
      </c>
      <c r="R54">
        <f ca="1">IFERROR(VLOOKUP(A54,[1]Energiindhold!$A$2:$C$11,3,FALSE),IFERROR(VLOOKUP(A54,[1]Biogasudbytte!$A$2:$B$18,2,FALSE)*[1]Energiindhold!$C$10,0))*P54</f>
        <v>0</v>
      </c>
      <c r="S54">
        <f ca="1">IF(A54&lt;&gt;"Biogas",IFERROR(VLOOKUP(A54,[1]Biogasudbytte!$A$2:$B$18,2,FALSE)*[1]Energiindhold!$C$10,0)*K54*IFERROR(VLOOKUP(A54,Biogasanlæg!$F$3:$G$8,2,FALSE),1)+IFERROR(VLOOKUP(A54,[1]Energiindhold!$A$2:$C$11,3,FALSE),0)*M54+IF(E54&lt;&gt;År1,R54,0),0)</f>
        <v>3.4826509179371086</v>
      </c>
      <c r="T54">
        <f ca="1">IFERROR(VLOOKUP(A54,[1]Biogasudbytte!$A$2:$B$18,2,FALSE)*[1]Energiindhold!$C$10,0)*K54*IFERROR(VLOOKUP(A54,Biogasanlæg!$F$3:$G$8,2,FALSE),1)</f>
        <v>0</v>
      </c>
      <c r="U54" s="170">
        <f t="shared" ca="1" si="12"/>
        <v>3.4826509179371086</v>
      </c>
      <c r="V54" s="169">
        <f ca="1">P54*IFERROR(VLOOKUP(A54,[1]Tørstofindhold!A$2:B$24,2,FALSE),0)</f>
        <v>0</v>
      </c>
      <c r="W54">
        <f ca="1">IF(E54=År1,Q54,SUM(P54,Q54))*IFERROR(VLOOKUP(A54,[1]Tørstofindhold!A$2:B$24,2,FALSE),0)</f>
        <v>54623.023275626925</v>
      </c>
      <c r="X54">
        <f ca="1">K54*IFERROR(VLOOKUP(A54,[1]Tørstofindhold!A$2:B$24,2,FALSE),0)</f>
        <v>0</v>
      </c>
      <c r="Y54" s="170">
        <f t="shared" ca="1" si="13"/>
        <v>54623.023275626925</v>
      </c>
      <c r="Z54">
        <f t="shared" ca="1" si="1"/>
        <v>0</v>
      </c>
      <c r="AA54">
        <f t="shared" ca="1" si="2"/>
        <v>0</v>
      </c>
      <c r="AB54" s="94">
        <f t="shared" ca="1" si="8"/>
        <v>195082.22598438186</v>
      </c>
      <c r="AC54">
        <f ca="1">AB54*D54*10000*VLOOKUP(A54,[1]kcal!$A$2:$C$49,3,FALSE)/1000000000000</f>
        <v>0</v>
      </c>
    </row>
    <row r="55" spans="1:29" x14ac:dyDescent="0.25">
      <c r="A55" s="171" t="str">
        <f t="shared" si="18"/>
        <v>Biogas</v>
      </c>
      <c r="B55" s="171" t="str">
        <f t="shared" si="19"/>
        <v/>
      </c>
      <c r="C55" s="171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1</v>
      </c>
      <c r="D55" s="171">
        <f t="shared" si="21"/>
        <v>0</v>
      </c>
      <c r="E55" s="171">
        <f t="shared" si="20"/>
        <v>2030</v>
      </c>
      <c r="F55" t="s">
        <v>23</v>
      </c>
      <c r="G55" s="94">
        <f ca="1">IF(F55="Vestdanmark",SUMIFS(IF(E55=År1,'Resultater - Vestdanmark'!H$3:H$504,IF(E55=År2,'Resultater - Vestdanmark'!I$3:I$504,'Resultater - Vestdanmark'!J$3:J$504)),'Resultater - Vestdanmark'!$F$3:$F$504,$A55,IF(E55=År1,'Resultater - Vestdanmark'!H$3:H$504,IF(E55=År2,'Resultater - Vestdanmark'!I$3:I$504,'Resultater - Vestdanmark'!J$3:J$504)),"&gt;0"),SUMIFS(IF(E55=År1,'Resultater - Østdanmark'!H$3:H$504,IF(E55=År2,'Resultater - Østdanmark'!I$3:I$504,'Resultater - Østdanmark'!J$3:J$504)),'Resultater - Østdanmark'!$F$3:$F$504,$A55,IF(E55=År1,'Resultater - Østdanmark'!H$3:H$504,IF(E55=År2,'Resultater - Østdanmark'!I$3:I$504,'Resultater - Østdanmark'!J$3:J$504)),"&gt;0"))</f>
        <v>492782535.68274039</v>
      </c>
      <c r="H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forbrug'!H$3,'Forbrug af biomasse'!$B$2:$B$425,$F55)</f>
        <v>0</v>
      </c>
      <c r="I55">
        <f>IF(F55="Vestdanmark",-IF(A55="Halm",SUMIFS(IF(E55=År1,'Resultater - Vestdanmark'!H$3:H$504,IF(E55=År2,'Resultater - Vestdanmark'!I$3:I$504,'Resultater - Vestdanmark'!J$3:J$504)),'Resultater - Vestdanmark'!$F$3:$F$504,$A55,'Resultater - Vestdanmark'!H$3:H$504,"&lt;0"),0),-IF(A55="Halm",SUMIFS(IF(E55=År1,'Resultater - Østdanmark'!H$3:H$504,IF(E55=År2,'Resultater - Østdanmark'!I$3:I$504,'Resultater - Østdanmark'!J$3:J$504)),'Resultater - Østdanmark'!$F$3:$F$504,$A55,'Resultater - Østdanmark'!H$3:H$504,"&lt;0"),0))</f>
        <v>0</v>
      </c>
      <c r="J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forbrug'!J$3,'Forbrug af biomasse'!$B$2:$B$425,$F55)</f>
        <v>0</v>
      </c>
      <c r="K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forbrug'!K$3,'Forbrug af biomasse'!$B$2:$B$425,$F55)</f>
        <v>0</v>
      </c>
      <c r="L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forbrug'!L$3,'Forbrug af biomasse'!$B$2:$B$425,$F55)</f>
        <v>0</v>
      </c>
      <c r="M55" s="94">
        <f ca="1">IF(A55&lt;&gt;"Biogas",SUMIFS('Forbrug af biomasse'!$E$2:$E$425,'Forbrug af biomasse'!$C$2:$C$425,'Resultat-Produktion &amp; forbrug'!$A55,'Forbrug af biomasse'!$D$2:$D$425,'Resultat-Produktion &amp; forbrug'!$E55,'Forbrug af biomasse'!$A$2:$A$425,'Resultat-Produktion &amp; forbrug'!M$3,'Forbrug af biomasse'!$B$2:$B$425,$F55),G55)</f>
        <v>492782535.68274039</v>
      </c>
      <c r="N55" s="94">
        <f>SUMIFS('Forbrug af biomasse'!E:E,'Forbrug af biomasse'!C:C,'Resultat-Produktion &amp; forbrug'!$A55,'Forbrug af biomasse'!D:D,'Resultat-Produktion &amp; forbrug'!$E55,'Forbrug af biomasse'!G:G,1,'Forbrug af biomasse'!B:B,$F55)</f>
        <v>0</v>
      </c>
      <c r="O55" s="179">
        <f t="shared" ca="1" si="10"/>
        <v>0</v>
      </c>
      <c r="P55" s="94">
        <f t="shared" ca="1" si="4"/>
        <v>0</v>
      </c>
      <c r="Q55" s="180">
        <f t="shared" ca="1" si="11"/>
        <v>492782535.68274039</v>
      </c>
      <c r="R55">
        <f ca="1">IFERROR(VLOOKUP(A55,[1]Energiindhold!$A$2:$C$11,3,FALSE),IFERROR(VLOOKUP(A55,[1]Biogasudbytte!$A$2:$B$18,2,FALSE)*[1]Energiindhold!$C$10,0))*P55</f>
        <v>0</v>
      </c>
      <c r="S55">
        <f>IF(A55&lt;&gt;"Biogas",IFERROR(VLOOKUP(A55,[1]Biogasudbytte!$A$2:$B$18,2,FALSE)*[1]Energiindhold!$C$10,0)*K55*IFERROR(VLOOKUP(A55,Biogasanlæg!$F$3:$G$8,2,FALSE),1)+IFERROR(VLOOKUP(A55,[1]Energiindhold!$A$2:$C$11,3,FALSE),0)*M55+IF(E55&lt;&gt;År1,R55,0),0)</f>
        <v>0</v>
      </c>
      <c r="T55">
        <f>IFERROR(VLOOKUP(A55,[1]Biogasudbytte!$A$2:$B$18,2,FALSE)*[1]Energiindhold!$C$10,0)*K55*IFERROR(VLOOKUP(A55,Biogasanlæg!$F$3:$G$8,2,FALSE),1)</f>
        <v>0</v>
      </c>
      <c r="U55" s="170">
        <f t="shared" si="12"/>
        <v>0</v>
      </c>
      <c r="V55" s="169">
        <f ca="1">P55*IFERROR(VLOOKUP(A55,[1]Tørstofindhold!A$2:B$24,2,FALSE),0)</f>
        <v>0</v>
      </c>
      <c r="W55">
        <f ca="1">IF(E55=År1,Q55,SUM(P55,Q55))*IFERROR(VLOOKUP(A55,[1]Tørstofindhold!A$2:B$24,2,FALSE),0)</f>
        <v>0</v>
      </c>
      <c r="X55">
        <f>K55*IFERROR(VLOOKUP(A55,[1]Tørstofindhold!A$2:B$24,2,FALSE),0)</f>
        <v>0</v>
      </c>
      <c r="Y55" s="170">
        <f t="shared" ca="1" si="13"/>
        <v>0</v>
      </c>
      <c r="Z55">
        <f t="shared" ca="1" si="1"/>
        <v>0</v>
      </c>
      <c r="AA55">
        <f t="shared" ca="1" si="2"/>
        <v>0</v>
      </c>
      <c r="AB55" s="94">
        <f t="shared" ca="1" si="8"/>
        <v>492782535.68274039</v>
      </c>
      <c r="AC55">
        <f ca="1">AB55*D55*10000*VLOOKUP(A55,[1]kcal!$A$2:$C$49,3,FALSE)/1000000000000</f>
        <v>0</v>
      </c>
    </row>
    <row r="56" spans="1:29" x14ac:dyDescent="0.25">
      <c r="A56" s="171" t="str">
        <f t="shared" si="18"/>
        <v>Biogasgylle</v>
      </c>
      <c r="B56" s="171" t="str">
        <f t="shared" si="19"/>
        <v/>
      </c>
      <c r="C56" s="171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0</v>
      </c>
      <c r="D56" s="171">
        <f t="shared" si="21"/>
        <v>0</v>
      </c>
      <c r="E56" s="171">
        <f t="shared" si="20"/>
        <v>2030</v>
      </c>
      <c r="F56" t="s">
        <v>23</v>
      </c>
      <c r="G56" s="94">
        <f ca="1">IF(F56="Vestdanmark",SUMIFS(IF(E56=År1,'Resultater - Vestdanmark'!H$3:H$504,IF(E56=År2,'Resultater - Vestdanmark'!I$3:I$504,'Resultater - Vestdanmark'!J$3:J$504)),'Resultater - Vestdanmark'!$F$3:$F$504,$A56,IF(E56=År1,'Resultater - Vestdanmark'!H$3:H$504,IF(E56=År2,'Resultater - Vestdanmark'!I$3:I$504,'Resultater - Vestdanmark'!J$3:J$504)),"&gt;0"),SUMIFS(IF(E56=År1,'Resultater - Østdanmark'!H$3:H$504,IF(E56=År2,'Resultater - Østdanmark'!I$3:I$504,'Resultater - Østdanmark'!J$3:J$504)),'Resultater - Østdanmark'!$F$3:$F$504,$A56,IF(E56=År1,'Resultater - Østdanmark'!H$3:H$504,IF(E56=År2,'Resultater - Østdanmark'!I$3:I$504,'Resultater - Østdanmark'!J$3:J$504)),"&gt;0"))</f>
        <v>23970432.839117184</v>
      </c>
      <c r="H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forbrug'!H$3,'Forbrug af biomasse'!$B$2:$B$425,$F56)</f>
        <v>0</v>
      </c>
      <c r="I56">
        <f>IF(F56="Vestdanmark",-IF(A56="Halm",SUMIFS(IF(E56=År1,'Resultater - Vestdanmark'!H$3:H$504,IF(E56=År2,'Resultater - Vestdanmark'!I$3:I$504,'Resultater - Vestdanmark'!J$3:J$504)),'Resultater - Vestdanmark'!$F$3:$F$504,$A56,'Resultater - Vestdanmark'!H$3:H$504,"&lt;0"),0),-IF(A56="Halm",SUMIFS(IF(E56=År1,'Resultater - Østdanmark'!H$3:H$504,IF(E56=År2,'Resultater - Østdanmark'!I$3:I$504,'Resultater - Østdanmark'!J$3:J$504)),'Resultater - Østdanmark'!$F$3:$F$504,$A56,'Resultater - Østdanmark'!H$3:H$504,"&lt;0"),0))</f>
        <v>0</v>
      </c>
      <c r="J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forbrug'!J$3,'Forbrug af biomasse'!$B$2:$B$425,$F56)</f>
        <v>0</v>
      </c>
      <c r="K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forbrug'!K$3,'Forbrug af biomasse'!$B$2:$B$425,$F56)</f>
        <v>0</v>
      </c>
      <c r="L56" s="94">
        <f ca="1">SUMIFS('Forbrug af biomasse'!$E$2:$E$425,'Forbrug af biomasse'!$C$2:$C$425,'Resultat-Produktion &amp; forbrug'!$A56,'Forbrug af biomasse'!$D$2:$D$425,'Resultat-Produktion &amp; forbrug'!$E56,'Forbrug af biomasse'!$A$2:$A$425,'Resultat-Produktion &amp; forbrug'!L$3,'Forbrug af biomasse'!$B$2:$B$425,$F56)</f>
        <v>19339631.292659696</v>
      </c>
      <c r="M56" s="94">
        <f>IF(A56&lt;&gt;"Biogas",SUMIFS('Forbrug af biomasse'!$E$2:$E$425,'Forbrug af biomasse'!$C$2:$C$425,'Resultat-Produktion &amp; forbrug'!$A56,'Forbrug af biomasse'!$D$2:$D$425,'Resultat-Produktion &amp; forbrug'!$E56,'Forbrug af biomasse'!$A$2:$A$425,'Resultat-Produktion &amp; forbrug'!M$3,'Forbrug af biomasse'!$B$2:$B$425,$F56),G56)</f>
        <v>0</v>
      </c>
      <c r="N56" s="94">
        <f>SUMIFS('Forbrug af biomasse'!E:E,'Forbrug af biomasse'!C:C,'Resultat-Produktion &amp; forbrug'!$A56,'Forbrug af biomasse'!D:D,'Resultat-Produktion &amp; forbrug'!$E56,'Forbrug af biomasse'!G:G,1,'Forbrug af biomasse'!B:B,$F56)</f>
        <v>0</v>
      </c>
      <c r="O56" s="179">
        <f t="shared" ca="1" si="10"/>
        <v>4630801.5464574881</v>
      </c>
      <c r="P56" s="94">
        <f t="shared" si="4"/>
        <v>0</v>
      </c>
      <c r="Q56" s="180">
        <f t="shared" si="11"/>
        <v>0</v>
      </c>
      <c r="R56">
        <f>IFERROR(VLOOKUP(A56,[1]Energiindhold!$A$2:$C$11,3,FALSE),IFERROR(VLOOKUP(A56,[1]Biogasudbytte!$A$2:$B$18,2,FALSE)*[1]Energiindhold!$C$10,0))*P56</f>
        <v>0</v>
      </c>
      <c r="S56">
        <f>IF(A56&lt;&gt;"Biogas",IFERROR(VLOOKUP(A56,[1]Biogasudbytte!$A$2:$B$18,2,FALSE)*[1]Energiindhold!$C$10,0)*K56*IFERROR(VLOOKUP(A56,Biogasanlæg!$F$3:$G$8,2,FALSE),1)+IFERROR(VLOOKUP(A56,[1]Energiindhold!$A$2:$C$11,3,FALSE),0)*M56+IF(E56&lt;&gt;År1,R56,0),0)</f>
        <v>0</v>
      </c>
      <c r="T56">
        <f>IFERROR(VLOOKUP(A56,[1]Biogasudbytte!$A$2:$B$18,2,FALSE)*[1]Energiindhold!$C$10,0)*K56*IFERROR(VLOOKUP(A56,Biogasanlæg!$F$3:$G$8,2,FALSE),1)</f>
        <v>0</v>
      </c>
      <c r="U56" s="170">
        <f t="shared" si="12"/>
        <v>0</v>
      </c>
      <c r="V56" s="169">
        <f>P56*IFERROR(VLOOKUP(A56,[1]Tørstofindhold!A$2:B$24,2,FALSE),0)</f>
        <v>0</v>
      </c>
      <c r="W56">
        <f>IF(E56=År1,Q56,SUM(P56,Q56))*IFERROR(VLOOKUP(A56,[1]Tørstofindhold!A$2:B$24,2,FALSE),0)</f>
        <v>0</v>
      </c>
      <c r="X56">
        <f>K56*IFERROR(VLOOKUP(A56,[1]Tørstofindhold!A$2:B$24,2,FALSE),0)</f>
        <v>0</v>
      </c>
      <c r="Y56" s="170">
        <f t="shared" si="13"/>
        <v>0</v>
      </c>
      <c r="Z56">
        <f t="shared" ca="1" si="1"/>
        <v>0</v>
      </c>
      <c r="AA56">
        <f t="shared" ca="1" si="2"/>
        <v>1</v>
      </c>
      <c r="AB56" s="94">
        <f t="shared" ca="1" si="8"/>
        <v>4630801.5464574881</v>
      </c>
      <c r="AC56">
        <f ca="1">AB56*D56*10000*VLOOKUP(A56,[1]kcal!$A$2:$C$49,3,FALSE)/1000000000000</f>
        <v>0</v>
      </c>
    </row>
    <row r="57" spans="1:29" x14ac:dyDescent="0.25">
      <c r="A57" s="171" t="str">
        <f t="shared" si="18"/>
        <v>Brun saft</v>
      </c>
      <c r="B57" s="171" t="str">
        <f t="shared" si="19"/>
        <v>Bionedbrydeligt affald</v>
      </c>
      <c r="C57" s="171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71">
        <f t="shared" si="21"/>
        <v>0</v>
      </c>
      <c r="E57" s="171">
        <f t="shared" si="20"/>
        <v>2030</v>
      </c>
      <c r="F57" t="s">
        <v>23</v>
      </c>
      <c r="G57" s="94">
        <f>IF(F57="Vestdanmark",SUMIFS(IF(E57=År1,'Resultater - Vestdanmark'!H$3:H$504,IF(E57=År2,'Resultater - Vestdanmark'!I$3:I$504,'Resultater - Vestdanmark'!J$3:J$504)),'Resultater - Vestdanmark'!$F$3:$F$504,$A57,IF(E57=År1,'Resultater - Vestdanmark'!H$3:H$504,IF(E57=År2,'Resultater - Vestdanmark'!I$3:I$504,'Resultater - Vestdanmark'!J$3:J$504)),"&gt;0"),SUMIFS(IF(E57=År1,'Resultater - Østdanmark'!H$3:H$504,IF(E57=År2,'Resultater - Østdanmark'!I$3:I$504,'Resultater - Østdanmark'!J$3:J$504)),'Resultater - Østdanmark'!$F$3:$F$504,$A57,IF(E57=År1,'Resultater - Østdanmark'!H$3:H$504,IF(E57=År2,'Resultater - Østdanmark'!I$3:I$504,'Resultater - Østdanmark'!J$3:J$504)),"&gt;0"))</f>
        <v>0</v>
      </c>
      <c r="H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forbrug'!H$3,'Forbrug af biomasse'!$B$2:$B$425,$F57)</f>
        <v>0</v>
      </c>
      <c r="I57">
        <f>IF(F57="Vestdanmark",-IF(A57="Halm",SUMIFS(IF(E57=År1,'Resultater - Vestdanmark'!H$3:H$504,IF(E57=År2,'Resultater - Vestdanmark'!I$3:I$504,'Resultater - Vestdanmark'!J$3:J$504)),'Resultater - Vestdanmark'!$F$3:$F$504,$A57,'Resultater - Vestdanmark'!H$3:H$504,"&lt;0"),0),-IF(A57="Halm",SUMIFS(IF(E57=År1,'Resultater - Østdanmark'!H$3:H$504,IF(E57=År2,'Resultater - Østdanmark'!I$3:I$504,'Resultater - Østdanmark'!J$3:J$504)),'Resultater - Østdanmark'!$F$3:$F$504,$A57,'Resultater - Østdanmark'!H$3:H$504,"&lt;0"),0))</f>
        <v>0</v>
      </c>
      <c r="J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forbrug'!J$3,'Forbrug af biomasse'!$B$2:$B$425,$F57)</f>
        <v>0</v>
      </c>
      <c r="K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forbrug'!K$3,'Forbrug af biomasse'!$B$2:$B$425,$F57)</f>
        <v>0</v>
      </c>
      <c r="L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forbrug'!L$3,'Forbrug af biomasse'!$B$2:$B$425,$F57)</f>
        <v>0</v>
      </c>
      <c r="M57" s="94">
        <f>IF(A57&lt;&gt;"Biogas",SUMIFS('Forbrug af biomasse'!$E$2:$E$425,'Forbrug af biomasse'!$C$2:$C$425,'Resultat-Produktion &amp; forbrug'!$A57,'Forbrug af biomasse'!$D$2:$D$425,'Resultat-Produktion &amp; forbrug'!$E57,'Forbrug af biomasse'!$A$2:$A$425,'Resultat-Produktion &amp; forbrug'!M$3,'Forbrug af biomasse'!$B$2:$B$425,$F57),G57)</f>
        <v>0</v>
      </c>
      <c r="N57" s="94">
        <f>SUMIFS('Forbrug af biomasse'!E:E,'Forbrug af biomasse'!C:C,'Resultat-Produktion &amp; forbrug'!$A57,'Forbrug af biomasse'!D:D,'Resultat-Produktion &amp; forbrug'!$E57,'Forbrug af biomasse'!G:G,1,'Forbrug af biomasse'!B:B,$F57)</f>
        <v>0</v>
      </c>
      <c r="O57" s="179">
        <f t="shared" si="10"/>
        <v>0</v>
      </c>
      <c r="P57" s="94">
        <f t="shared" ca="1" si="4"/>
        <v>0</v>
      </c>
      <c r="Q57" s="180">
        <f t="shared" si="11"/>
        <v>0</v>
      </c>
      <c r="R57">
        <f ca="1">IFERROR(VLOOKUP(A57,[1]Energiindhold!$A$2:$C$11,3,FALSE),IFERROR(VLOOKUP(A57,[1]Biogasudbytte!$A$2:$B$18,2,FALSE)*[1]Energiindhold!$C$10,0))*P57</f>
        <v>0</v>
      </c>
      <c r="S57">
        <f ca="1">IF(A57&lt;&gt;"Biogas",IFERROR(VLOOKUP(A57,[1]Biogasudbytte!$A$2:$B$18,2,FALSE)*[1]Energiindhold!$C$10,0)*K57*IFERROR(VLOOKUP(A57,Biogasanlæg!$F$3:$G$8,2,FALSE),1)+IFERROR(VLOOKUP(A57,[1]Energiindhold!$A$2:$C$11,3,FALSE),0)*M57+IF(E57&lt;&gt;År1,R57,0),0)</f>
        <v>0</v>
      </c>
      <c r="T57">
        <f>IFERROR(VLOOKUP(A57,[1]Biogasudbytte!$A$2:$B$18,2,FALSE)*[1]Energiindhold!$C$10,0)*K57*IFERROR(VLOOKUP(A57,Biogasanlæg!$F$3:$G$8,2,FALSE),1)</f>
        <v>0</v>
      </c>
      <c r="U57" s="170">
        <f t="shared" ca="1" si="12"/>
        <v>0</v>
      </c>
      <c r="V57" s="169">
        <f ca="1">P57*IFERROR(VLOOKUP(A57,[1]Tørstofindhold!A$2:B$24,2,FALSE),0)</f>
        <v>0</v>
      </c>
      <c r="W57">
        <f ca="1">IF(E57=År1,Q57,SUM(P57,Q57))*IFERROR(VLOOKUP(A57,[1]Tørstofindhold!A$2:B$24,2,FALSE),0)</f>
        <v>0</v>
      </c>
      <c r="X57">
        <f>K57*IFERROR(VLOOKUP(A57,[1]Tørstofindhold!A$2:B$24,2,FALSE),0)</f>
        <v>0</v>
      </c>
      <c r="Y57" s="170">
        <f t="shared" ca="1" si="13"/>
        <v>0</v>
      </c>
      <c r="Z57">
        <f t="shared" ca="1" si="1"/>
        <v>0</v>
      </c>
      <c r="AA57">
        <f t="shared" ca="1" si="2"/>
        <v>0</v>
      </c>
      <c r="AB57" s="94">
        <f t="shared" si="8"/>
        <v>0</v>
      </c>
      <c r="AC57">
        <f>AB57*D57*10000*VLOOKUP(A57,[1]kcal!$A$2:$C$49,3,FALSE)/1000000000000</f>
        <v>0</v>
      </c>
    </row>
    <row r="58" spans="1:29" x14ac:dyDescent="0.25">
      <c r="A58" s="171" t="str">
        <f t="shared" si="18"/>
        <v>Dybstrøelse</v>
      </c>
      <c r="B58" s="171" t="str">
        <f t="shared" si="19"/>
        <v>Husdyrgødning</v>
      </c>
      <c r="C58" s="171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1</v>
      </c>
      <c r="D58" s="171">
        <f t="shared" si="21"/>
        <v>0</v>
      </c>
      <c r="E58" s="171">
        <f t="shared" si="20"/>
        <v>2030</v>
      </c>
      <c r="F58" t="s">
        <v>23</v>
      </c>
      <c r="G58" s="94">
        <f ca="1">IF(F58="Vestdanmark",SUMIFS(IF(E58=År1,'Resultater - Vestdanmark'!H$3:H$504,IF(E58=År2,'Resultater - Vestdanmark'!I$3:I$504,'Resultater - Vestdanmark'!J$3:J$504)),'Resultater - Vestdanmark'!$F$3:$F$504,$A58,IF(E58=År1,'Resultater - Vestdanmark'!H$3:H$504,IF(E58=År2,'Resultater - Vestdanmark'!I$3:I$504,'Resultater - Vestdanmark'!J$3:J$504)),"&gt;0"),SUMIFS(IF(E58=År1,'Resultater - Østdanmark'!H$3:H$504,IF(E58=År2,'Resultater - Østdanmark'!I$3:I$504,'Resultater - Østdanmark'!J$3:J$504)),'Resultater - Østdanmark'!$F$3:$F$504,$A58,IF(E58=År1,'Resultater - Østdanmark'!H$3:H$504,IF(E58=År2,'Resultater - Østdanmark'!I$3:I$504,'Resultater - Østdanmark'!J$3:J$504)),"&gt;0"))</f>
        <v>2572334.3954420607</v>
      </c>
      <c r="H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forbrug'!H$3,'Forbrug af biomasse'!$B$2:$B$425,$F58)</f>
        <v>0</v>
      </c>
      <c r="I58">
        <f>IF(F58="Vestdanmark",-IF(A58="Halm",SUMIFS(IF(E58=År1,'Resultater - Vestdanmark'!H$3:H$504,IF(E58=År2,'Resultater - Vestdanmark'!I$3:I$504,'Resultater - Vestdanmark'!J$3:J$504)),'Resultater - Vestdanmark'!$F$3:$F$504,$A58,'Resultater - Vestdanmark'!H$3:H$504,"&lt;0"),0),-IF(A58="Halm",SUMIFS(IF(E58=År1,'Resultater - Østdanmark'!H$3:H$504,IF(E58=År2,'Resultater - Østdanmark'!I$3:I$504,'Resultater - Østdanmark'!J$3:J$504)),'Resultater - Østdanmark'!$F$3:$F$504,$A58,'Resultater - Østdanmark'!H$3:H$504,"&lt;0"),0))</f>
        <v>0</v>
      </c>
      <c r="J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forbrug'!J$3,'Forbrug af biomasse'!$B$2:$B$425,$F58)</f>
        <v>0</v>
      </c>
      <c r="K58" s="94">
        <f ca="1">SUMIFS('Forbrug af biomasse'!$E$2:$E$425,'Forbrug af biomasse'!$C$2:$C$425,'Resultat-Produktion &amp; forbrug'!$A58,'Forbrug af biomasse'!$D$2:$D$425,'Resultat-Produktion &amp; forbrug'!$E58,'Forbrug af biomasse'!$A$2:$A$425,'Resultat-Produktion &amp; forbrug'!K$3,'Forbrug af biomasse'!$B$2:$B$425,$F58)</f>
        <v>1929250.7965815454</v>
      </c>
      <c r="L58" s="94">
        <f ca="1">SUMIFS('Forbrug af biomasse'!$E$2:$E$425,'Forbrug af biomasse'!$C$2:$C$425,'Resultat-Produktion &amp; forbrug'!$A58,'Forbrug af biomasse'!$D$2:$D$425,'Resultat-Produktion &amp; forbrug'!$E58,'Forbrug af biomasse'!$A$2:$A$425,'Resultat-Produktion &amp; forbrug'!L$3,'Forbrug af biomasse'!$B$2:$B$425,$F58)</f>
        <v>243453.07671148074</v>
      </c>
      <c r="M58" s="94">
        <f>IF(A58&lt;&gt;"Biogas",SUMIFS('Forbrug af biomasse'!$E$2:$E$425,'Forbrug af biomasse'!$C$2:$C$425,'Resultat-Produktion &amp; forbrug'!$A58,'Forbrug af biomasse'!$D$2:$D$425,'Resultat-Produktion &amp; forbrug'!$E58,'Forbrug af biomasse'!$A$2:$A$425,'Resultat-Produktion &amp; forbrug'!M$3,'Forbrug af biomasse'!$B$2:$B$425,$F58),G58)</f>
        <v>0</v>
      </c>
      <c r="N58" s="94">
        <f>SUMIFS('Forbrug af biomasse'!E:E,'Forbrug af biomasse'!C:C,'Resultat-Produktion &amp; forbrug'!$A58,'Forbrug af biomasse'!D:D,'Resultat-Produktion &amp; forbrug'!$E58,'Forbrug af biomasse'!G:G,1,'Forbrug af biomasse'!B:B,$F58)</f>
        <v>0</v>
      </c>
      <c r="O58" s="179">
        <f t="shared" ca="1" si="10"/>
        <v>399630.52214903431</v>
      </c>
      <c r="P58" s="94">
        <f t="shared" ca="1" si="4"/>
        <v>399630.52214903431</v>
      </c>
      <c r="Q58" s="180">
        <f t="shared" ca="1" si="11"/>
        <v>1929250.7965815454</v>
      </c>
      <c r="R58">
        <f ca="1">IFERROR(VLOOKUP(A58,[1]Energiindhold!$A$2:$C$11,3,FALSE),IFERROR(VLOOKUP(A58,[1]Biogasudbytte!$A$2:$B$18,2,FALSE)*[1]Energiindhold!$C$10,0))*P58</f>
        <v>0.86080414470901989</v>
      </c>
      <c r="S58">
        <f ca="1">IF(A58&lt;&gt;"Biogas",IFERROR(VLOOKUP(A58,[1]Biogasudbytte!$A$2:$B$18,2,FALSE)*[1]Energiindhold!$C$10,0)*K58*IFERROR(VLOOKUP(A58,Biogasanlæg!$F$3:$G$8,2,FALSE),1)+IFERROR(VLOOKUP(A58,[1]Energiindhold!$A$2:$C$11,3,FALSE),0)*M58+IF(E58&lt;&gt;År1,R58,0),0)</f>
        <v>5.0164103605456685</v>
      </c>
      <c r="T58">
        <f ca="1">IFERROR(VLOOKUP(A58,[1]Biogasudbytte!$A$2:$B$18,2,FALSE)*[1]Energiindhold!$C$10,0)*K58*IFERROR(VLOOKUP(A58,Biogasanlæg!$F$3:$G$8,2,FALSE),1)</f>
        <v>4.1556062158366487</v>
      </c>
      <c r="U58" s="170">
        <f t="shared" ca="1" si="12"/>
        <v>0.86080414470901978</v>
      </c>
      <c r="V58" s="169">
        <f ca="1">P58*IFERROR(VLOOKUP(A58,[1]Tørstofindhold!A$2:B$24,2,FALSE),0)</f>
        <v>119889.15664471028</v>
      </c>
      <c r="W58">
        <f ca="1">IF(E58=År1,Q58,SUM(P58,Q58))*IFERROR(VLOOKUP(A58,[1]Tørstofindhold!A$2:B$24,2,FALSE),0)</f>
        <v>698664.39561917388</v>
      </c>
      <c r="X58">
        <f ca="1">K58*IFERROR(VLOOKUP(A58,[1]Tørstofindhold!A$2:B$24,2,FALSE),0)</f>
        <v>578775.23897446354</v>
      </c>
      <c r="Y58" s="170">
        <f t="shared" ca="1" si="13"/>
        <v>119889.15664471034</v>
      </c>
      <c r="Z58">
        <f t="shared" ca="1" si="1"/>
        <v>0</v>
      </c>
      <c r="AA58">
        <f t="shared" ca="1" si="2"/>
        <v>1</v>
      </c>
      <c r="AB58" s="94">
        <f t="shared" ca="1" si="8"/>
        <v>399630.52214903431</v>
      </c>
      <c r="AC58">
        <f ca="1">AB58*D58*10000*VLOOKUP(A58,[1]kcal!$A$2:$C$49,3,FALSE)/1000000000000</f>
        <v>0</v>
      </c>
    </row>
    <row r="59" spans="1:29" x14ac:dyDescent="0.25">
      <c r="A59" s="171" t="str">
        <f t="shared" si="18"/>
        <v>Fiberfraktion</v>
      </c>
      <c r="B59" s="171" t="str">
        <f t="shared" si="19"/>
        <v/>
      </c>
      <c r="C59" s="171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0</v>
      </c>
      <c r="D59" s="171">
        <f t="shared" si="21"/>
        <v>0</v>
      </c>
      <c r="E59" s="171">
        <f t="shared" si="20"/>
        <v>2030</v>
      </c>
      <c r="F59" t="s">
        <v>23</v>
      </c>
      <c r="G59" s="94">
        <f>IF(F59="Vestdanmark",SUMIFS(IF(E59=År1,'Resultater - Vestdanmark'!H$3:H$504,IF(E59=År2,'Resultater - Vestdanmark'!I$3:I$504,'Resultater - Vestdanmark'!J$3:J$504)),'Resultater - Vestdanmark'!$F$3:$F$504,$A59,IF(E59=År1,'Resultater - Vestdanmark'!H$3:H$504,IF(E59=År2,'Resultater - Vestdanmark'!I$3:I$504,'Resultater - Vestdanmark'!J$3:J$504)),"&gt;0"),SUMIFS(IF(E59=År1,'Resultater - Østdanmark'!H$3:H$504,IF(E59=År2,'Resultater - Østdanmark'!I$3:I$504,'Resultater - Østdanmark'!J$3:J$504)),'Resultater - Østdanmark'!$F$3:$F$504,$A59,IF(E59=År1,'Resultater - Østdanmark'!H$3:H$504,IF(E59=År2,'Resultater - Østdanmark'!I$3:I$504,'Resultater - Østdanmark'!J$3:J$504)),"&gt;0"))</f>
        <v>0</v>
      </c>
      <c r="H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forbrug'!H$3,'Forbrug af biomasse'!$B$2:$B$425,$F59)</f>
        <v>0</v>
      </c>
      <c r="I59">
        <f>IF(F59="Vestdanmark",-IF(A59="Halm",SUMIFS(IF(E59=År1,'Resultater - Vestdanmark'!H$3:H$504,IF(E59=År2,'Resultater - Vestdanmark'!I$3:I$504,'Resultater - Vestdanmark'!J$3:J$504)),'Resultater - Vestdanmark'!$F$3:$F$504,$A59,'Resultater - Vestdanmark'!H$3:H$504,"&lt;0"),0),-IF(A59="Halm",SUMIFS(IF(E59=År1,'Resultater - Østdanmark'!H$3:H$504,IF(E59=År2,'Resultater - Østdanmark'!I$3:I$504,'Resultater - Østdanmark'!J$3:J$504)),'Resultater - Østdanmark'!$F$3:$F$504,$A59,'Resultater - Østdanmark'!H$3:H$504,"&lt;0"),0))</f>
        <v>0</v>
      </c>
      <c r="J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forbrug'!J$3,'Forbrug af biomasse'!$B$2:$B$425,$F59)</f>
        <v>0</v>
      </c>
      <c r="K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forbrug'!K$3,'Forbrug af biomasse'!$B$2:$B$425,$F59)</f>
        <v>0</v>
      </c>
      <c r="L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forbrug'!L$3,'Forbrug af biomasse'!$B$2:$B$425,$F59)</f>
        <v>0</v>
      </c>
      <c r="M59" s="94">
        <f>IF(A59&lt;&gt;"Biogas",SUMIFS('Forbrug af biomasse'!$E$2:$E$425,'Forbrug af biomasse'!$C$2:$C$425,'Resultat-Produktion &amp; forbrug'!$A59,'Forbrug af biomasse'!$D$2:$D$425,'Resultat-Produktion &amp; forbrug'!$E59,'Forbrug af biomasse'!$A$2:$A$425,'Resultat-Produktion &amp; forbrug'!M$3,'Forbrug af biomasse'!$B$2:$B$425,$F59),G59)</f>
        <v>0</v>
      </c>
      <c r="N59" s="94">
        <f>SUMIFS('Forbrug af biomasse'!E:E,'Forbrug af biomasse'!C:C,'Resultat-Produktion &amp; forbrug'!$A59,'Forbrug af biomasse'!D:D,'Resultat-Produktion &amp; forbrug'!$E59,'Forbrug af biomasse'!G:G,1,'Forbrug af biomasse'!B:B,$F59)</f>
        <v>0</v>
      </c>
      <c r="O59" s="179">
        <f t="shared" si="10"/>
        <v>0</v>
      </c>
      <c r="P59" s="94">
        <f t="shared" si="4"/>
        <v>0</v>
      </c>
      <c r="Q59" s="180">
        <f t="shared" si="11"/>
        <v>0</v>
      </c>
      <c r="R59">
        <f>IFERROR(VLOOKUP(A59,[1]Energiindhold!$A$2:$C$11,3,FALSE),IFERROR(VLOOKUP(A59,[1]Biogasudbytte!$A$2:$B$18,2,FALSE)*[1]Energiindhold!$C$10,0))*P59</f>
        <v>0</v>
      </c>
      <c r="S59">
        <f>IF(A59&lt;&gt;"Biogas",IFERROR(VLOOKUP(A59,[1]Biogasudbytte!$A$2:$B$18,2,FALSE)*[1]Energiindhold!$C$10,0)*K59*IFERROR(VLOOKUP(A59,Biogasanlæg!$F$3:$G$8,2,FALSE),1)+IFERROR(VLOOKUP(A59,[1]Energiindhold!$A$2:$C$11,3,FALSE),0)*M59+IF(E59&lt;&gt;År1,R59,0),0)</f>
        <v>0</v>
      </c>
      <c r="T59">
        <f>IFERROR(VLOOKUP(A59,[1]Biogasudbytte!$A$2:$B$18,2,FALSE)*[1]Energiindhold!$C$10,0)*K59*IFERROR(VLOOKUP(A59,Biogasanlæg!$F$3:$G$8,2,FALSE),1)</f>
        <v>0</v>
      </c>
      <c r="U59" s="170">
        <f t="shared" si="12"/>
        <v>0</v>
      </c>
      <c r="V59" s="169">
        <f>P59*IFERROR(VLOOKUP(A59,[1]Tørstofindhold!A$2:B$24,2,FALSE),0)</f>
        <v>0</v>
      </c>
      <c r="W59">
        <f>IF(E59=År1,Q59,SUM(P59,Q59))*IFERROR(VLOOKUP(A59,[1]Tørstofindhold!A$2:B$24,2,FALSE),0)</f>
        <v>0</v>
      </c>
      <c r="X59">
        <f>K59*IFERROR(VLOOKUP(A59,[1]Tørstofindhold!A$2:B$24,2,FALSE),0)</f>
        <v>0</v>
      </c>
      <c r="Y59" s="170">
        <f t="shared" si="13"/>
        <v>0</v>
      </c>
      <c r="Z59">
        <f t="shared" ca="1" si="1"/>
        <v>0</v>
      </c>
      <c r="AA59">
        <f t="shared" ca="1" si="2"/>
        <v>0</v>
      </c>
      <c r="AB59" s="94">
        <f t="shared" si="8"/>
        <v>0</v>
      </c>
      <c r="AC59">
        <f>AB59*D59*10000*VLOOKUP(A59,[1]kcal!$A$2:$C$49,3,FALSE)/1000000000000</f>
        <v>0</v>
      </c>
    </row>
    <row r="60" spans="1:29" x14ac:dyDescent="0.25">
      <c r="A60" s="171" t="str">
        <f t="shared" si="18"/>
        <v>Fjerkrægylle</v>
      </c>
      <c r="B60" s="171" t="str">
        <f t="shared" si="19"/>
        <v>Husdyrgødning</v>
      </c>
      <c r="C60" s="171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1</v>
      </c>
      <c r="D60" s="171">
        <f t="shared" si="21"/>
        <v>0</v>
      </c>
      <c r="E60" s="171">
        <f t="shared" si="20"/>
        <v>2030</v>
      </c>
      <c r="F60" t="s">
        <v>23</v>
      </c>
      <c r="G60" s="94">
        <f>IF(F60="Vestdanmark",SUMIFS(IF(E60=År1,'Resultater - Vestdanmark'!H$3:H$504,IF(E60=År2,'Resultater - Vestdanmark'!I$3:I$504,'Resultater - Vestdanmark'!J$3:J$504)),'Resultater - Vestdanmark'!$F$3:$F$504,$A60,IF(E60=År1,'Resultater - Vestdanmark'!H$3:H$504,IF(E60=År2,'Resultater - Vestdanmark'!I$3:I$504,'Resultater - Vestdanmark'!J$3:J$504)),"&gt;0"),SUMIFS(IF(E60=År1,'Resultater - Østdanmark'!H$3:H$504,IF(E60=År2,'Resultater - Østdanmark'!I$3:I$504,'Resultater - Østdanmark'!J$3:J$504)),'Resultater - Østdanmark'!$F$3:$F$504,$A60,IF(E60=År1,'Resultater - Østdanmark'!H$3:H$504,IF(E60=År2,'Resultater - Østdanmark'!I$3:I$504,'Resultater - Østdanmark'!J$3:J$504)),"&gt;0"))</f>
        <v>8342.726135545483</v>
      </c>
      <c r="H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forbrug'!H$3,'Forbrug af biomasse'!$B$2:$B$425,$F60)</f>
        <v>0</v>
      </c>
      <c r="I60">
        <f>IF(F60="Vestdanmark",-IF(A60="Halm",SUMIFS(IF(E60=År1,'Resultater - Vestdanmark'!H$3:H$504,IF(E60=År2,'Resultater - Vestdanmark'!I$3:I$504,'Resultater - Vestdanmark'!J$3:J$504)),'Resultater - Vestdanmark'!$F$3:$F$504,$A60,'Resultater - Vestdanmark'!H$3:H$504,"&lt;0"),0),-IF(A60="Halm",SUMIFS(IF(E60=År1,'Resultater - Østdanmark'!H$3:H$504,IF(E60=År2,'Resultater - Østdanmark'!I$3:I$504,'Resultater - Østdanmark'!J$3:J$504)),'Resultater - Østdanmark'!$F$3:$F$504,$A60,'Resultater - Østdanmark'!H$3:H$504,"&lt;0"),0))</f>
        <v>0</v>
      </c>
      <c r="J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forbrug'!J$3,'Forbrug af biomasse'!$B$2:$B$425,$F60)</f>
        <v>0</v>
      </c>
      <c r="K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forbrug'!K$3,'Forbrug af biomasse'!$B$2:$B$425,$F60)</f>
        <v>6257.0446016591122</v>
      </c>
      <c r="L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forbrug'!L$3,'Forbrug af biomasse'!$B$2:$B$425,$F60)</f>
        <v>2085.6815338863707</v>
      </c>
      <c r="M60" s="94">
        <f>IF(A60&lt;&gt;"Biogas",SUMIFS('Forbrug af biomasse'!$E$2:$E$425,'Forbrug af biomasse'!$C$2:$C$425,'Resultat-Produktion &amp; forbrug'!$A60,'Forbrug af biomasse'!$D$2:$D$425,'Resultat-Produktion &amp; forbrug'!$E60,'Forbrug af biomasse'!$A$2:$A$425,'Resultat-Produktion &amp; forbrug'!M$3,'Forbrug af biomasse'!$B$2:$B$425,$F60),G60)</f>
        <v>0</v>
      </c>
      <c r="N60" s="94">
        <f>SUMIFS('Forbrug af biomasse'!E:E,'Forbrug af biomasse'!C:C,'Resultat-Produktion &amp; forbrug'!$A60,'Forbrug af biomasse'!D:D,'Resultat-Produktion &amp; forbrug'!$E60,'Forbrug af biomasse'!G:G,1,'Forbrug af biomasse'!B:B,$F60)</f>
        <v>0</v>
      </c>
      <c r="O60" s="179">
        <f t="shared" si="10"/>
        <v>0</v>
      </c>
      <c r="P60" s="94">
        <f t="shared" ca="1" si="4"/>
        <v>0</v>
      </c>
      <c r="Q60" s="180">
        <f t="shared" si="11"/>
        <v>6257.0446016591122</v>
      </c>
      <c r="R60">
        <f ca="1">IFERROR(VLOOKUP(A60,[1]Energiindhold!$A$2:$C$11,3,FALSE),IFERROR(VLOOKUP(A60,[1]Biogasudbytte!$A$2:$B$18,2,FALSE)*[1]Energiindhold!$C$10,0))*P60</f>
        <v>0</v>
      </c>
      <c r="S60">
        <f ca="1">IF(A60&lt;&gt;"Biogas",IFERROR(VLOOKUP(A60,[1]Biogasudbytte!$A$2:$B$18,2,FALSE)*[1]Energiindhold!$C$10,0)*K60*IFERROR(VLOOKUP(A60,Biogasanlæg!$F$3:$G$8,2,FALSE),1)+IFERROR(VLOOKUP(A60,[1]Energiindhold!$A$2:$C$11,3,FALSE),0)*M60+IF(E60&lt;&gt;År1,R60,0),0)</f>
        <v>2.9426255057142638E-3</v>
      </c>
      <c r="T60">
        <f>IFERROR(VLOOKUP(A60,[1]Biogasudbytte!$A$2:$B$18,2,FALSE)*[1]Energiindhold!$C$10,0)*K60*IFERROR(VLOOKUP(A60,Biogasanlæg!$F$3:$G$8,2,FALSE),1)</f>
        <v>2.9426255057142638E-3</v>
      </c>
      <c r="U60" s="170">
        <f t="shared" ca="1" si="12"/>
        <v>0</v>
      </c>
      <c r="V60" s="169">
        <f ca="1">P60*IFERROR(VLOOKUP(A60,[1]Tørstofindhold!A$2:B$24,2,FALSE),0)</f>
        <v>0</v>
      </c>
      <c r="W60">
        <f ca="1">IF(E60=År1,Q60,SUM(P60,Q60))*IFERROR(VLOOKUP(A60,[1]Tørstofindhold!A$2:B$24,2,FALSE),0)</f>
        <v>394.19380990452407</v>
      </c>
      <c r="X60">
        <f>K60*IFERROR(VLOOKUP(A60,[1]Tørstofindhold!A$2:B$24,2,FALSE),0)</f>
        <v>394.19380990452407</v>
      </c>
      <c r="Y60" s="170">
        <f t="shared" ca="1" si="13"/>
        <v>0</v>
      </c>
      <c r="Z60">
        <f t="shared" ca="1" si="1"/>
        <v>0</v>
      </c>
      <c r="AA60">
        <f t="shared" ca="1" si="2"/>
        <v>0</v>
      </c>
      <c r="AB60" s="94">
        <f t="shared" si="8"/>
        <v>0</v>
      </c>
      <c r="AC60">
        <f>AB60*D60*10000*VLOOKUP(A60,[1]kcal!$A$2:$C$49,3,FALSE)/1000000000000</f>
        <v>0</v>
      </c>
    </row>
    <row r="61" spans="1:29" x14ac:dyDescent="0.25">
      <c r="A61" s="171" t="str">
        <f t="shared" si="18"/>
        <v>Fjerkrækød</v>
      </c>
      <c r="B61" s="171" t="str">
        <f t="shared" si="19"/>
        <v/>
      </c>
      <c r="C61" s="171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71">
        <f t="shared" si="21"/>
        <v>1</v>
      </c>
      <c r="E61" s="171">
        <f t="shared" si="20"/>
        <v>2030</v>
      </c>
      <c r="F61" t="s">
        <v>23</v>
      </c>
      <c r="G61" s="94">
        <f>IF(F61="Vestdanmark",SUMIFS(IF(E61=År1,'Resultater - Vestdanmark'!H$3:H$504,IF(E61=År2,'Resultater - Vestdanmark'!I$3:I$504,'Resultater - Vestdanmark'!J$3:J$504)),'Resultater - Vestdanmark'!$F$3:$F$504,$A61,IF(E61=År1,'Resultater - Vestdanmark'!H$3:H$504,IF(E61=År2,'Resultater - Vestdanmark'!I$3:I$504,'Resultater - Vestdanmark'!J$3:J$504)),"&gt;0"),SUMIFS(IF(E61=År1,'Resultater - Østdanmark'!H$3:H$504,IF(E61=År2,'Resultater - Østdanmark'!I$3:I$504,'Resultater - Østdanmark'!J$3:J$504)),'Resultater - Østdanmark'!$F$3:$F$504,$A61,IF(E61=År1,'Resultater - Østdanmark'!H$3:H$504,IF(E61=År2,'Resultater - Østdanmark'!I$3:I$504,'Resultater - Østdanmark'!J$3:J$504)),"&gt;0"))</f>
        <v>181628.8895635134</v>
      </c>
      <c r="H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forbrug'!H$3,'Forbrug af biomasse'!$B$2:$B$425,$F61)</f>
        <v>0</v>
      </c>
      <c r="I61">
        <f>IF(F61="Vestdanmark",-IF(A61="Halm",SUMIFS(IF(E61=År1,'Resultater - Vestdanmark'!H$3:H$504,IF(E61=År2,'Resultater - Vestdanmark'!I$3:I$504,'Resultater - Vestdanmark'!J$3:J$504)),'Resultater - Vestdanmark'!$F$3:$F$504,$A61,'Resultater - Vestdanmark'!H$3:H$504,"&lt;0"),0),-IF(A61="Halm",SUMIFS(IF(E61=År1,'Resultater - Østdanmark'!H$3:H$504,IF(E61=År2,'Resultater - Østdanmark'!I$3:I$504,'Resultater - Østdanmark'!J$3:J$504)),'Resultater - Østdanmark'!$F$3:$F$504,$A61,'Resultater - Østdanmark'!H$3:H$504,"&lt;0"),0))</f>
        <v>0</v>
      </c>
      <c r="J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forbrug'!J$3,'Forbrug af biomasse'!$B$2:$B$425,$F61)</f>
        <v>35294.766599083188</v>
      </c>
      <c r="K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forbrug'!K$3,'Forbrug af biomasse'!$B$2:$B$425,$F61)</f>
        <v>0</v>
      </c>
      <c r="L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forbrug'!L$3,'Forbrug af biomasse'!$B$2:$B$425,$F61)</f>
        <v>0</v>
      </c>
      <c r="M61" s="94">
        <f>IF(A61&lt;&gt;"Biogas",SUMIFS('Forbrug af biomasse'!$E$2:$E$425,'Forbrug af biomasse'!$C$2:$C$425,'Resultat-Produktion &amp; forbrug'!$A61,'Forbrug af biomasse'!$D$2:$D$425,'Resultat-Produktion &amp; forbrug'!$E61,'Forbrug af biomasse'!$A$2:$A$425,'Resultat-Produktion &amp; forbrug'!M$3,'Forbrug af biomasse'!$B$2:$B$425,$F61),G61)</f>
        <v>0</v>
      </c>
      <c r="N61" s="94">
        <f>SUMIFS('Forbrug af biomasse'!E:E,'Forbrug af biomasse'!C:C,'Resultat-Produktion &amp; forbrug'!$A61,'Forbrug af biomasse'!D:D,'Resultat-Produktion &amp; forbrug'!$E61,'Forbrug af biomasse'!G:G,1,'Forbrug af biomasse'!B:B,$F61)</f>
        <v>0</v>
      </c>
      <c r="O61" s="179">
        <f t="shared" si="10"/>
        <v>146334.12296443019</v>
      </c>
      <c r="P61" s="94">
        <f t="shared" si="4"/>
        <v>0</v>
      </c>
      <c r="Q61" s="180">
        <f t="shared" si="11"/>
        <v>0</v>
      </c>
      <c r="R61">
        <f>IFERROR(VLOOKUP(A61,[1]Energiindhold!$A$2:$C$11,3,FALSE),IFERROR(VLOOKUP(A61,[1]Biogasudbytte!$A$2:$B$18,2,FALSE)*[1]Energiindhold!$C$10,0))*P61</f>
        <v>0</v>
      </c>
      <c r="S61">
        <f>IF(A61&lt;&gt;"Biogas",IFERROR(VLOOKUP(A61,[1]Biogasudbytte!$A$2:$B$18,2,FALSE)*[1]Energiindhold!$C$10,0)*K61*IFERROR(VLOOKUP(A61,Biogasanlæg!$F$3:$G$8,2,FALSE),1)+IFERROR(VLOOKUP(A61,[1]Energiindhold!$A$2:$C$11,3,FALSE),0)*M61+IF(E61&lt;&gt;År1,R61,0),0)</f>
        <v>0</v>
      </c>
      <c r="T61">
        <f>IFERROR(VLOOKUP(A61,[1]Biogasudbytte!$A$2:$B$18,2,FALSE)*[1]Energiindhold!$C$10,0)*K61*IFERROR(VLOOKUP(A61,Biogasanlæg!$F$3:$G$8,2,FALSE),1)</f>
        <v>0</v>
      </c>
      <c r="U61" s="170">
        <f t="shared" si="12"/>
        <v>0</v>
      </c>
      <c r="V61" s="169">
        <f>P61*IFERROR(VLOOKUP(A61,[1]Tørstofindhold!A$2:B$24,2,FALSE),0)</f>
        <v>0</v>
      </c>
      <c r="W61">
        <f>IF(E61=År1,Q61,SUM(P61,Q61))*IFERROR(VLOOKUP(A61,[1]Tørstofindhold!A$2:B$24,2,FALSE),0)</f>
        <v>0</v>
      </c>
      <c r="X61">
        <f>K61*IFERROR(VLOOKUP(A61,[1]Tørstofindhold!A$2:B$24,2,FALSE),0)</f>
        <v>0</v>
      </c>
      <c r="Y61" s="170">
        <f t="shared" si="13"/>
        <v>0</v>
      </c>
      <c r="Z61">
        <f t="shared" ca="1" si="1"/>
        <v>0</v>
      </c>
      <c r="AA61">
        <f t="shared" ca="1" si="2"/>
        <v>1</v>
      </c>
      <c r="AB61" s="94">
        <f t="shared" si="8"/>
        <v>181628.8895635134</v>
      </c>
      <c r="AC61">
        <f>AB61*D61*10000*VLOOKUP(A61,[1]kcal!$A$2:$C$49,3,FALSE)/1000000000000</f>
        <v>0.27607591213654037</v>
      </c>
    </row>
    <row r="62" spans="1:29" x14ac:dyDescent="0.25">
      <c r="A62" s="171" t="str">
        <f t="shared" si="18"/>
        <v>Frø</v>
      </c>
      <c r="B62" s="171" t="str">
        <f t="shared" si="19"/>
        <v/>
      </c>
      <c r="C62" s="171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71">
        <f t="shared" si="21"/>
        <v>0</v>
      </c>
      <c r="E62" s="171">
        <f t="shared" si="20"/>
        <v>2030</v>
      </c>
      <c r="F62" t="s">
        <v>23</v>
      </c>
      <c r="G62" s="94">
        <f>IF(F62="Vestdanmark",SUMIFS(IF(E62=År1,'Resultater - Vestdanmark'!H$3:H$504,IF(E62=År2,'Resultater - Vestdanmark'!I$3:I$504,'Resultater - Vestdanmark'!J$3:J$504)),'Resultater - Vestdanmark'!$F$3:$F$504,$A62,IF(E62=År1,'Resultater - Vestdanmark'!H$3:H$504,IF(E62=År2,'Resultater - Vestdanmark'!I$3:I$504,'Resultater - Vestdanmark'!J$3:J$504)),"&gt;0"),SUMIFS(IF(E62=År1,'Resultater - Østdanmark'!H$3:H$504,IF(E62=År2,'Resultater - Østdanmark'!I$3:I$504,'Resultater - Østdanmark'!J$3:J$504)),'Resultater - Østdanmark'!$F$3:$F$504,$A62,IF(E62=År1,'Resultater - Østdanmark'!H$3:H$504,IF(E62=År2,'Resultater - Østdanmark'!I$3:I$504,'Resultater - Østdanmark'!J$3:J$504)),"&gt;0"))</f>
        <v>873813.69022327301</v>
      </c>
      <c r="H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forbrug'!H$3,'Forbrug af biomasse'!$B$2:$B$425,$F62)</f>
        <v>0</v>
      </c>
      <c r="I62">
        <f>IF(F62="Vestdanmark",-IF(A62="Halm",SUMIFS(IF(E62=År1,'Resultater - Vestdanmark'!H$3:H$504,IF(E62=År2,'Resultater - Vestdanmark'!I$3:I$504,'Resultater - Vestdanmark'!J$3:J$504)),'Resultater - Vestdanmark'!$F$3:$F$504,$A62,'Resultater - Vestdanmark'!H$3:H$504,"&lt;0"),0),-IF(A62="Halm",SUMIFS(IF(E62=År1,'Resultater - Østdanmark'!H$3:H$504,IF(E62=År2,'Resultater - Østdanmark'!I$3:I$504,'Resultater - Østdanmark'!J$3:J$504)),'Resultater - Østdanmark'!$F$3:$F$504,$A62,'Resultater - Østdanmark'!H$3:H$504,"&lt;0"),0))</f>
        <v>0</v>
      </c>
      <c r="J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forbrug'!J$3,'Forbrug af biomasse'!$B$2:$B$425,$F62)</f>
        <v>0</v>
      </c>
      <c r="K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forbrug'!K$3,'Forbrug af biomasse'!$B$2:$B$425,$F62)</f>
        <v>0</v>
      </c>
      <c r="L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forbrug'!L$3,'Forbrug af biomasse'!$B$2:$B$425,$F62)</f>
        <v>0</v>
      </c>
      <c r="M62" s="94">
        <f>IF(A62&lt;&gt;"Biogas",SUMIFS('Forbrug af biomasse'!$E$2:$E$425,'Forbrug af biomasse'!$C$2:$C$425,'Resultat-Produktion &amp; forbrug'!$A62,'Forbrug af biomasse'!$D$2:$D$425,'Resultat-Produktion &amp; forbrug'!$E62,'Forbrug af biomasse'!$A$2:$A$425,'Resultat-Produktion &amp; forbrug'!M$3,'Forbrug af biomasse'!$B$2:$B$425,$F62),G62)</f>
        <v>0</v>
      </c>
      <c r="N62" s="94">
        <f>SUMIFS('Forbrug af biomasse'!E:E,'Forbrug af biomasse'!C:C,'Resultat-Produktion &amp; forbrug'!$A62,'Forbrug af biomasse'!D:D,'Resultat-Produktion &amp; forbrug'!$E62,'Forbrug af biomasse'!G:G,1,'Forbrug af biomasse'!B:B,$F62)</f>
        <v>0</v>
      </c>
      <c r="O62" s="179">
        <f t="shared" si="10"/>
        <v>873813.69022327301</v>
      </c>
      <c r="P62" s="94">
        <f t="shared" si="4"/>
        <v>0</v>
      </c>
      <c r="Q62" s="180">
        <f t="shared" si="11"/>
        <v>0</v>
      </c>
      <c r="R62">
        <f>IFERROR(VLOOKUP(A62,[1]Energiindhold!$A$2:$C$11,3,FALSE),IFERROR(VLOOKUP(A62,[1]Biogasudbytte!$A$2:$B$18,2,FALSE)*[1]Energiindhold!$C$10,0))*P62</f>
        <v>0</v>
      </c>
      <c r="S62">
        <f>IF(A62&lt;&gt;"Biogas",IFERROR(VLOOKUP(A62,[1]Biogasudbytte!$A$2:$B$18,2,FALSE)*[1]Energiindhold!$C$10,0)*K62*IFERROR(VLOOKUP(A62,Biogasanlæg!$F$3:$G$8,2,FALSE),1)+IFERROR(VLOOKUP(A62,[1]Energiindhold!$A$2:$C$11,3,FALSE),0)*M62+IF(E62&lt;&gt;År1,R62,0),0)</f>
        <v>0</v>
      </c>
      <c r="T62">
        <f>IFERROR(VLOOKUP(A62,[1]Biogasudbytte!$A$2:$B$18,2,FALSE)*[1]Energiindhold!$C$10,0)*K62*IFERROR(VLOOKUP(A62,Biogasanlæg!$F$3:$G$8,2,FALSE),1)</f>
        <v>0</v>
      </c>
      <c r="U62" s="170">
        <f t="shared" si="12"/>
        <v>0</v>
      </c>
      <c r="V62" s="169">
        <f>P62*IFERROR(VLOOKUP(A62,[1]Tørstofindhold!A$2:B$24,2,FALSE),0)</f>
        <v>0</v>
      </c>
      <c r="W62">
        <f>IF(E62=År1,Q62,SUM(P62,Q62))*IFERROR(VLOOKUP(A62,[1]Tørstofindhold!A$2:B$24,2,FALSE),0)</f>
        <v>0</v>
      </c>
      <c r="X62">
        <f>K62*IFERROR(VLOOKUP(A62,[1]Tørstofindhold!A$2:B$24,2,FALSE),0)</f>
        <v>0</v>
      </c>
      <c r="Y62" s="170">
        <f t="shared" si="13"/>
        <v>0</v>
      </c>
      <c r="Z62">
        <f t="shared" si="1"/>
        <v>0</v>
      </c>
      <c r="AA62">
        <f t="shared" si="2"/>
        <v>1</v>
      </c>
      <c r="AB62" s="94">
        <f t="shared" si="8"/>
        <v>873813.69022327301</v>
      </c>
      <c r="AC62">
        <f>AB62*D62*10000*VLOOKUP(A62,[1]kcal!$A$2:$C$49,3,FALSE)/1000000000000</f>
        <v>0</v>
      </c>
    </row>
    <row r="63" spans="1:29" x14ac:dyDescent="0.25">
      <c r="A63" s="171" t="str">
        <f t="shared" si="18"/>
        <v>Frugt</v>
      </c>
      <c r="B63" s="171" t="str">
        <f t="shared" si="19"/>
        <v/>
      </c>
      <c r="C63" s="171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0</v>
      </c>
      <c r="D63" s="171">
        <f t="shared" si="21"/>
        <v>1</v>
      </c>
      <c r="E63" s="171">
        <f t="shared" si="20"/>
        <v>2030</v>
      </c>
      <c r="F63" t="s">
        <v>23</v>
      </c>
      <c r="G63" s="94">
        <f>IF(F63="Vestdanmark",SUMIFS(IF(E63=År1,'Resultater - Vestdanmark'!H$3:H$504,IF(E63=År2,'Resultater - Vestdanmark'!I$3:I$504,'Resultater - Vestdanmark'!J$3:J$504)),'Resultater - Vestdanmark'!$F$3:$F$504,$A63,IF(E63=År1,'Resultater - Vestdanmark'!H$3:H$504,IF(E63=År2,'Resultater - Vestdanmark'!I$3:I$504,'Resultater - Vestdanmark'!J$3:J$504)),"&gt;0"),SUMIFS(IF(E63=År1,'Resultater - Østdanmark'!H$3:H$504,IF(E63=År2,'Resultater - Østdanmark'!I$3:I$504,'Resultater - Østdanmark'!J$3:J$504)),'Resultater - Østdanmark'!$F$3:$F$504,$A63,IF(E63=År1,'Resultater - Østdanmark'!H$3:H$504,IF(E63=År2,'Resultater - Østdanmark'!I$3:I$504,'Resultater - Østdanmark'!J$3:J$504)),"&gt;0"))</f>
        <v>25759.973477026811</v>
      </c>
      <c r="H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forbrug'!H$3,'Forbrug af biomasse'!$B$2:$B$425,$F63)</f>
        <v>0</v>
      </c>
      <c r="I63">
        <f>IF(F63="Vestdanmark",-IF(A63="Halm",SUMIFS(IF(E63=År1,'Resultater - Vestdanmark'!H$3:H$504,IF(E63=År2,'Resultater - Vestdanmark'!I$3:I$504,'Resultater - Vestdanmark'!J$3:J$504)),'Resultater - Vestdanmark'!$F$3:$F$504,$A63,'Resultater - Vestdanmark'!H$3:H$504,"&lt;0"),0),-IF(A63="Halm",SUMIFS(IF(E63=År1,'Resultater - Østdanmark'!H$3:H$504,IF(E63=År2,'Resultater - Østdanmark'!I$3:I$504,'Resultater - Østdanmark'!J$3:J$504)),'Resultater - Østdanmark'!$F$3:$F$504,$A63,'Resultater - Østdanmark'!H$3:H$504,"&lt;0"),0))</f>
        <v>0</v>
      </c>
      <c r="J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forbrug'!J$3,'Forbrug af biomasse'!$B$2:$B$425,$F63)</f>
        <v>257923.29437791562</v>
      </c>
      <c r="K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forbrug'!K$3,'Forbrug af biomasse'!$B$2:$B$425,$F63)</f>
        <v>0</v>
      </c>
      <c r="L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forbrug'!L$3,'Forbrug af biomasse'!$B$2:$B$425,$F63)</f>
        <v>0</v>
      </c>
      <c r="M63" s="94">
        <f>IF(A63&lt;&gt;"Biogas",SUMIFS('Forbrug af biomasse'!$E$2:$E$425,'Forbrug af biomasse'!$C$2:$C$425,'Resultat-Produktion &amp; forbrug'!$A63,'Forbrug af biomasse'!$D$2:$D$425,'Resultat-Produktion &amp; forbrug'!$E63,'Forbrug af biomasse'!$A$2:$A$425,'Resultat-Produktion &amp; forbrug'!M$3,'Forbrug af biomasse'!$B$2:$B$425,$F63),G63)</f>
        <v>0</v>
      </c>
      <c r="N63" s="94">
        <f>SUMIFS('Forbrug af biomasse'!E:E,'Forbrug af biomasse'!C:C,'Resultat-Produktion &amp; forbrug'!$A63,'Forbrug af biomasse'!D:D,'Resultat-Produktion &amp; forbrug'!$E63,'Forbrug af biomasse'!G:G,1,'Forbrug af biomasse'!B:B,$F63)</f>
        <v>0</v>
      </c>
      <c r="O63" s="179">
        <f t="shared" si="10"/>
        <v>-232163.32090088882</v>
      </c>
      <c r="P63" s="94">
        <f t="shared" si="4"/>
        <v>0</v>
      </c>
      <c r="Q63" s="180">
        <f t="shared" si="11"/>
        <v>0</v>
      </c>
      <c r="R63">
        <f>IFERROR(VLOOKUP(A63,[1]Energiindhold!$A$2:$C$11,3,FALSE),IFERROR(VLOOKUP(A63,[1]Biogasudbytte!$A$2:$B$18,2,FALSE)*[1]Energiindhold!$C$10,0))*P63</f>
        <v>0</v>
      </c>
      <c r="S63">
        <f>IF(A63&lt;&gt;"Biogas",IFERROR(VLOOKUP(A63,[1]Biogasudbytte!$A$2:$B$18,2,FALSE)*[1]Energiindhold!$C$10,0)*K63*IFERROR(VLOOKUP(A63,Biogasanlæg!$F$3:$G$8,2,FALSE),1)+IFERROR(VLOOKUP(A63,[1]Energiindhold!$A$2:$C$11,3,FALSE),0)*M63+IF(E63&lt;&gt;År1,R63,0),0)</f>
        <v>0</v>
      </c>
      <c r="T63">
        <f>IFERROR(VLOOKUP(A63,[1]Biogasudbytte!$A$2:$B$18,2,FALSE)*[1]Energiindhold!$C$10,0)*K63*IFERROR(VLOOKUP(A63,Biogasanlæg!$F$3:$G$8,2,FALSE),1)</f>
        <v>0</v>
      </c>
      <c r="U63" s="170">
        <f t="shared" si="12"/>
        <v>0</v>
      </c>
      <c r="V63" s="169">
        <f>P63*IFERROR(VLOOKUP(A63,[1]Tørstofindhold!A$2:B$24,2,FALSE),0)</f>
        <v>0</v>
      </c>
      <c r="W63">
        <f>IF(E63=År1,Q63,SUM(P63,Q63))*IFERROR(VLOOKUP(A63,[1]Tørstofindhold!A$2:B$24,2,FALSE),0)</f>
        <v>0</v>
      </c>
      <c r="X63">
        <f>K63*IFERROR(VLOOKUP(A63,[1]Tørstofindhold!A$2:B$24,2,FALSE),0)</f>
        <v>0</v>
      </c>
      <c r="Y63" s="170">
        <f t="shared" si="13"/>
        <v>0</v>
      </c>
      <c r="Z63">
        <f t="shared" si="1"/>
        <v>1</v>
      </c>
      <c r="AA63">
        <f t="shared" si="2"/>
        <v>0</v>
      </c>
      <c r="AB63" s="94">
        <f t="shared" si="8"/>
        <v>25759.973477026811</v>
      </c>
      <c r="AC63">
        <f>AB63*D63*10000*VLOOKUP(A63,[1]kcal!$A$2:$C$49,3,FALSE)/1000000000000</f>
        <v>1.3395186208053942E-2</v>
      </c>
    </row>
    <row r="64" spans="1:29" x14ac:dyDescent="0.25">
      <c r="A64" s="171" t="str">
        <f t="shared" si="18"/>
        <v>Glycerin</v>
      </c>
      <c r="B64" s="171" t="str">
        <f t="shared" si="19"/>
        <v>Glycerin</v>
      </c>
      <c r="C64" s="171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71">
        <f t="shared" si="21"/>
        <v>0</v>
      </c>
      <c r="E64" s="171">
        <f t="shared" si="20"/>
        <v>2030</v>
      </c>
      <c r="F64" t="s">
        <v>23</v>
      </c>
      <c r="G64" s="94">
        <f>IF(F64="Vestdanmark",SUMIFS(IF(E64=År1,'Resultater - Vestdanmark'!H$3:H$504,IF(E64=År2,'Resultater - Vestdanmark'!I$3:I$504,'Resultater - Vestdanmark'!J$3:J$504)),'Resultater - Vestdanmark'!$F$3:$F$504,$A64,IF(E64=År1,'Resultater - Vestdanmark'!H$3:H$504,IF(E64=År2,'Resultater - Vestdanmark'!I$3:I$504,'Resultater - Vestdanmark'!J$3:J$504)),"&gt;0"),SUMIFS(IF(E64=År1,'Resultater - Østdanmark'!H$3:H$504,IF(E64=År2,'Resultater - Østdanmark'!I$3:I$504,'Resultater - Østdanmark'!J$3:J$504)),'Resultater - Østdanmark'!$F$3:$F$504,$A64,IF(E64=År1,'Resultater - Østdanmark'!H$3:H$504,IF(E64=År2,'Resultater - Østdanmark'!I$3:I$504,'Resultater - Østdanmark'!J$3:J$504)),"&gt;0"))</f>
        <v>0</v>
      </c>
      <c r="H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forbrug'!H$3,'Forbrug af biomasse'!$B$2:$B$425,$F64)</f>
        <v>0</v>
      </c>
      <c r="I64">
        <f>IF(F64="Vestdanmark",-IF(A64="Halm",SUMIFS(IF(E64=År1,'Resultater - Vestdanmark'!H$3:H$504,IF(E64=År2,'Resultater - Vestdanmark'!I$3:I$504,'Resultater - Vestdanmark'!J$3:J$504)),'Resultater - Vestdanmark'!$F$3:$F$504,$A64,'Resultater - Vestdanmark'!H$3:H$504,"&lt;0"),0),-IF(A64="Halm",SUMIFS(IF(E64=År1,'Resultater - Østdanmark'!H$3:H$504,IF(E64=År2,'Resultater - Østdanmark'!I$3:I$504,'Resultater - Østdanmark'!J$3:J$504)),'Resultater - Østdanmark'!$F$3:$F$504,$A64,'Resultater - Østdanmark'!H$3:H$504,"&lt;0"),0))</f>
        <v>0</v>
      </c>
      <c r="J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forbrug'!J$3,'Forbrug af biomasse'!$B$2:$B$425,$F64)</f>
        <v>0</v>
      </c>
      <c r="K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forbrug'!K$3,'Forbrug af biomasse'!$B$2:$B$425,$F64)</f>
        <v>114193.60000000001</v>
      </c>
      <c r="L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forbrug'!L$3,'Forbrug af biomasse'!$B$2:$B$425,$F64)</f>
        <v>0</v>
      </c>
      <c r="M64" s="94">
        <f>IF(A64&lt;&gt;"Biogas",SUMIFS('Forbrug af biomasse'!$E$2:$E$425,'Forbrug af biomasse'!$C$2:$C$425,'Resultat-Produktion &amp; forbrug'!$A64,'Forbrug af biomasse'!$D$2:$D$425,'Resultat-Produktion &amp; forbrug'!$E64,'Forbrug af biomasse'!$A$2:$A$425,'Resultat-Produktion &amp; forbrug'!M$3,'Forbrug af biomasse'!$B$2:$B$425,$F64),G64)</f>
        <v>0</v>
      </c>
      <c r="N64" s="94">
        <f>SUMIFS('Forbrug af biomasse'!E:E,'Forbrug af biomasse'!C:C,'Resultat-Produktion &amp; forbrug'!$A64,'Forbrug af biomasse'!D:D,'Resultat-Produktion &amp; forbrug'!$E64,'Forbrug af biomasse'!G:G,1,'Forbrug af biomasse'!B:B,$F64)</f>
        <v>0</v>
      </c>
      <c r="O64" s="179">
        <f t="shared" si="10"/>
        <v>-114193.60000000001</v>
      </c>
      <c r="P64" s="94">
        <f t="shared" si="4"/>
        <v>0</v>
      </c>
      <c r="Q64" s="180">
        <f t="shared" si="11"/>
        <v>114193.60000000001</v>
      </c>
      <c r="R64">
        <f>IFERROR(VLOOKUP(A64,[1]Energiindhold!$A$2:$C$11,3,FALSE),IFERROR(VLOOKUP(A64,[1]Biogasudbytte!$A$2:$B$18,2,FALSE)*[1]Energiindhold!$C$10,0))*P64</f>
        <v>0</v>
      </c>
      <c r="S64">
        <f>IF(A64&lt;&gt;"Biogas",IFERROR(VLOOKUP(A64,[1]Biogasudbytte!$A$2:$B$18,2,FALSE)*[1]Energiindhold!$C$10,0)*K64*IFERROR(VLOOKUP(A64,Biogasanlæg!$F$3:$G$8,2,FALSE),1)+IFERROR(VLOOKUP(A64,[1]Energiindhold!$A$2:$C$11,3,FALSE),0)*M64+IF(E64&lt;&gt;År1,R64,0),0)</f>
        <v>1.7355855896064003</v>
      </c>
      <c r="T64">
        <f>IFERROR(VLOOKUP(A64,[1]Biogasudbytte!$A$2:$B$18,2,FALSE)*[1]Energiindhold!$C$10,0)*K64*IFERROR(VLOOKUP(A64,Biogasanlæg!$F$3:$G$8,2,FALSE),1)</f>
        <v>1.7355855896064003</v>
      </c>
      <c r="U64" s="170">
        <f t="shared" si="12"/>
        <v>0</v>
      </c>
      <c r="V64" s="169">
        <f>P64*IFERROR(VLOOKUP(A64,[1]Tørstofindhold!A$2:B$24,2,FALSE),0)</f>
        <v>0</v>
      </c>
      <c r="W64">
        <f>IF(E64=År1,Q64,SUM(P64,Q64))*IFERROR(VLOOKUP(A64,[1]Tørstofindhold!A$2:B$24,2,FALSE),0)</f>
        <v>102774.24</v>
      </c>
      <c r="X64">
        <f>K64*IFERROR(VLOOKUP(A64,[1]Tørstofindhold!A$2:B$24,2,FALSE),0)</f>
        <v>102774.24</v>
      </c>
      <c r="Y64" s="170">
        <f t="shared" si="13"/>
        <v>0</v>
      </c>
      <c r="Z64">
        <f t="shared" si="1"/>
        <v>1</v>
      </c>
      <c r="AA64">
        <f t="shared" si="2"/>
        <v>0</v>
      </c>
      <c r="AB64" s="94">
        <f t="shared" si="8"/>
        <v>-114193.60000000001</v>
      </c>
      <c r="AC64">
        <f>AB64*D64*10000*VLOOKUP(A64,[1]kcal!$A$2:$C$49,3,FALSE)/1000000000000</f>
        <v>0</v>
      </c>
    </row>
    <row r="65" spans="1:29" x14ac:dyDescent="0.25">
      <c r="A65" s="171" t="str">
        <f t="shared" si="18"/>
        <v>Græs</v>
      </c>
      <c r="B65" s="171" t="str">
        <f t="shared" si="19"/>
        <v>Græs og urter</v>
      </c>
      <c r="C65" s="171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1</v>
      </c>
      <c r="D65" s="171">
        <f t="shared" si="21"/>
        <v>0</v>
      </c>
      <c r="E65" s="171">
        <f t="shared" si="20"/>
        <v>2030</v>
      </c>
      <c r="F65" t="s">
        <v>23</v>
      </c>
      <c r="G65" s="94">
        <f>IF(F65="Vestdanmark",SUMIFS(IF(E65=År1,'Resultater - Vestdanmark'!H$3:H$504,IF(E65=År2,'Resultater - Vestdanmark'!I$3:I$504,'Resultater - Vestdanmark'!J$3:J$504)),'Resultater - Vestdanmark'!$F$3:$F$504,$A65,IF(E65=År1,'Resultater - Vestdanmark'!H$3:H$504,IF(E65=År2,'Resultater - Vestdanmark'!I$3:I$504,'Resultater - Vestdanmark'!J$3:J$504)),"&gt;0"),SUMIFS(IF(E65=År1,'Resultater - Østdanmark'!H$3:H$504,IF(E65=År2,'Resultater - Østdanmark'!I$3:I$504,'Resultater - Østdanmark'!J$3:J$504)),'Resultater - Østdanmark'!$F$3:$F$504,$A65,IF(E65=År1,'Resultater - Østdanmark'!H$3:H$504,IF(E65=År2,'Resultater - Østdanmark'!I$3:I$504,'Resultater - Østdanmark'!J$3:J$504)),"&gt;0"))</f>
        <v>15403110.332344905</v>
      </c>
      <c r="H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forbrug'!H$3,'Forbrug af biomasse'!$B$2:$B$425,$F65)</f>
        <v>11936022.044118334</v>
      </c>
      <c r="I65">
        <f>IF(F65="Vestdanmark",-IF(A65="Halm",SUMIFS(IF(E65=År1,'Resultater - Vestdanmark'!H$3:H$504,IF(E65=År2,'Resultater - Vestdanmark'!I$3:I$504,'Resultater - Vestdanmark'!J$3:J$504)),'Resultater - Vestdanmark'!$F$3:$F$504,$A65,'Resultater - Vestdanmark'!H$3:H$504,"&lt;0"),0),-IF(A65="Halm",SUMIFS(IF(E65=År1,'Resultater - Østdanmark'!H$3:H$504,IF(E65=År2,'Resultater - Østdanmark'!I$3:I$504,'Resultater - Østdanmark'!J$3:J$504)),'Resultater - Østdanmark'!$F$3:$F$504,$A65,'Resultater - Østdanmark'!H$3:H$504,"&lt;0"),0))</f>
        <v>0</v>
      </c>
      <c r="J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forbrug'!J$3,'Forbrug af biomasse'!$B$2:$B$425,$F65)</f>
        <v>0</v>
      </c>
      <c r="K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forbrug'!K$3,'Forbrug af biomasse'!$B$2:$B$425,$F65)</f>
        <v>0</v>
      </c>
      <c r="L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forbrug'!L$3,'Forbrug af biomasse'!$B$2:$B$425,$F65)</f>
        <v>0</v>
      </c>
      <c r="M65" s="94">
        <f>IF(A65&lt;&gt;"Biogas",SUMIFS('Forbrug af biomasse'!$E$2:$E$425,'Forbrug af biomasse'!$C$2:$C$425,'Resultat-Produktion &amp; forbrug'!$A65,'Forbrug af biomasse'!$D$2:$D$425,'Resultat-Produktion &amp; forbrug'!$E65,'Forbrug af biomasse'!$A$2:$A$425,'Resultat-Produktion &amp; forbrug'!M$3,'Forbrug af biomasse'!$B$2:$B$425,$F65),G65)</f>
        <v>0</v>
      </c>
      <c r="N65" s="94">
        <f>SUMIFS('Forbrug af biomasse'!E:E,'Forbrug af biomasse'!C:C,'Resultat-Produktion &amp; forbrug'!$A65,'Forbrug af biomasse'!D:D,'Resultat-Produktion &amp; forbrug'!$E65,'Forbrug af biomasse'!G:G,1,'Forbrug af biomasse'!B:B,$F65)</f>
        <v>0</v>
      </c>
      <c r="O65" s="179">
        <f t="shared" si="10"/>
        <v>3467088.2882265709</v>
      </c>
      <c r="P65" s="94">
        <f t="shared" ca="1" si="4"/>
        <v>3467088.2882265709</v>
      </c>
      <c r="Q65" s="180">
        <f t="shared" si="11"/>
        <v>0</v>
      </c>
      <c r="R65">
        <f ca="1">IFERROR(VLOOKUP(A65,[1]Energiindhold!$A$2:$C$11,3,FALSE),IFERROR(VLOOKUP(A65,[1]Biogasudbytte!$A$2:$B$18,2,FALSE)*[1]Energiindhold!$C$10,0))*P65</f>
        <v>6.3790090643008623</v>
      </c>
      <c r="S65">
        <f ca="1">IF(A65&lt;&gt;"Biogas",IFERROR(VLOOKUP(A65,[1]Biogasudbytte!$A$2:$B$18,2,FALSE)*[1]Energiindhold!$C$10,0)*K65*IFERROR(VLOOKUP(A65,Biogasanlæg!$F$3:$G$8,2,FALSE),1)+IFERROR(VLOOKUP(A65,[1]Energiindhold!$A$2:$C$11,3,FALSE),0)*M65+IF(E65&lt;&gt;År1,R65,0),0)</f>
        <v>6.3790090643008623</v>
      </c>
      <c r="T65">
        <f>IFERROR(VLOOKUP(A65,[1]Biogasudbytte!$A$2:$B$18,2,FALSE)*[1]Energiindhold!$C$10,0)*K65*IFERROR(VLOOKUP(A65,Biogasanlæg!$F$3:$G$8,2,FALSE),1)</f>
        <v>0</v>
      </c>
      <c r="U65" s="170">
        <f t="shared" ca="1" si="12"/>
        <v>6.3790090643008623</v>
      </c>
      <c r="V65" s="169">
        <f ca="1">P65*IFERROR(VLOOKUP(A65,[1]Tørstofindhold!A$2:B$24,2,FALSE),0)</f>
        <v>970784.7207034399</v>
      </c>
      <c r="W65">
        <f ca="1">IF(E65=År1,Q65,SUM(P65,Q65))*IFERROR(VLOOKUP(A65,[1]Tørstofindhold!A$2:B$24,2,FALSE),0)</f>
        <v>970784.7207034399</v>
      </c>
      <c r="X65">
        <f>K65*IFERROR(VLOOKUP(A65,[1]Tørstofindhold!A$2:B$24,2,FALSE),0)</f>
        <v>0</v>
      </c>
      <c r="Y65" s="170">
        <f t="shared" ca="1" si="13"/>
        <v>970784.7207034399</v>
      </c>
      <c r="Z65">
        <f t="shared" ca="1" si="1"/>
        <v>0</v>
      </c>
      <c r="AA65">
        <f t="shared" ca="1" si="2"/>
        <v>1</v>
      </c>
      <c r="AB65" s="94">
        <f t="shared" si="8"/>
        <v>3467088.2882265709</v>
      </c>
      <c r="AC65">
        <f>AB65*D65*10000*VLOOKUP(A65,[1]kcal!$A$2:$C$49,3,FALSE)/1000000000000</f>
        <v>0</v>
      </c>
    </row>
    <row r="66" spans="1:29" x14ac:dyDescent="0.25">
      <c r="A66" s="171" t="str">
        <f t="shared" si="18"/>
        <v>Græsprotein</v>
      </c>
      <c r="B66" s="171" t="str">
        <f t="shared" si="19"/>
        <v/>
      </c>
      <c r="C66" s="171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71">
        <f t="shared" si="21"/>
        <v>0</v>
      </c>
      <c r="E66" s="171">
        <f t="shared" si="20"/>
        <v>2030</v>
      </c>
      <c r="F66" t="s">
        <v>23</v>
      </c>
      <c r="G66" s="94">
        <f>IF(F66="Vestdanmark",SUMIFS(IF(E66=År1,'Resultater - Vestdanmark'!H$3:H$504,IF(E66=År2,'Resultater - Vestdanmark'!I$3:I$504,'Resultater - Vestdanmark'!J$3:J$504)),'Resultater - Vestdanmark'!$F$3:$F$504,$A66,IF(E66=År1,'Resultater - Vestdanmark'!H$3:H$504,IF(E66=År2,'Resultater - Vestdanmark'!I$3:I$504,'Resultater - Vestdanmark'!J$3:J$504)),"&gt;0"),SUMIFS(IF(E66=År1,'Resultater - Østdanmark'!H$3:H$504,IF(E66=År2,'Resultater - Østdanmark'!I$3:I$504,'Resultater - Østdanmark'!J$3:J$504)),'Resultater - Østdanmark'!$F$3:$F$504,$A66,IF(E66=År1,'Resultater - Østdanmark'!H$3:H$504,IF(E66=År2,'Resultater - Østdanmark'!I$3:I$504,'Resultater - Østdanmark'!J$3:J$504)),"&gt;0"))</f>
        <v>0</v>
      </c>
      <c r="H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forbrug'!H$3,'Forbrug af biomasse'!$B$2:$B$425,$F66)</f>
        <v>0</v>
      </c>
      <c r="I66">
        <f>IF(F66="Vestdanmark",-IF(A66="Halm",SUMIFS(IF(E66=År1,'Resultater - Vestdanmark'!H$3:H$504,IF(E66=År2,'Resultater - Vestdanmark'!I$3:I$504,'Resultater - Vestdanmark'!J$3:J$504)),'Resultater - Vestdanmark'!$F$3:$F$504,$A66,'Resultater - Vestdanmark'!H$3:H$504,"&lt;0"),0),-IF(A66="Halm",SUMIFS(IF(E66=År1,'Resultater - Østdanmark'!H$3:H$504,IF(E66=År2,'Resultater - Østdanmark'!I$3:I$504,'Resultater - Østdanmark'!J$3:J$504)),'Resultater - Østdanmark'!$F$3:$F$504,$A66,'Resultater - Østdanmark'!H$3:H$504,"&lt;0"),0))</f>
        <v>0</v>
      </c>
      <c r="J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forbrug'!J$3,'Forbrug af biomasse'!$B$2:$B$425,$F66)</f>
        <v>0</v>
      </c>
      <c r="K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forbrug'!K$3,'Forbrug af biomasse'!$B$2:$B$425,$F66)</f>
        <v>0</v>
      </c>
      <c r="L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forbrug'!L$3,'Forbrug af biomasse'!$B$2:$B$425,$F66)</f>
        <v>0</v>
      </c>
      <c r="M66" s="94">
        <f>IF(A66&lt;&gt;"Biogas",SUMIFS('Forbrug af biomasse'!$E$2:$E$425,'Forbrug af biomasse'!$C$2:$C$425,'Resultat-Produktion &amp; forbrug'!$A66,'Forbrug af biomasse'!$D$2:$D$425,'Resultat-Produktion &amp; forbrug'!$E66,'Forbrug af biomasse'!$A$2:$A$425,'Resultat-Produktion &amp; forbrug'!M$3,'Forbrug af biomasse'!$B$2:$B$425,$F66),G66)</f>
        <v>0</v>
      </c>
      <c r="N66" s="94">
        <f>SUMIFS('Forbrug af biomasse'!E:E,'Forbrug af biomasse'!C:C,'Resultat-Produktion &amp; forbrug'!$A66,'Forbrug af biomasse'!D:D,'Resultat-Produktion &amp; forbrug'!$E66,'Forbrug af biomasse'!G:G,1,'Forbrug af biomasse'!B:B,$F66)</f>
        <v>0</v>
      </c>
      <c r="O66" s="179">
        <f t="shared" si="10"/>
        <v>0</v>
      </c>
      <c r="P66" s="94">
        <f t="shared" si="4"/>
        <v>0</v>
      </c>
      <c r="Q66" s="180">
        <f t="shared" si="11"/>
        <v>0</v>
      </c>
      <c r="R66">
        <f>IFERROR(VLOOKUP(A66,[1]Energiindhold!$A$2:$C$11,3,FALSE),IFERROR(VLOOKUP(A66,[1]Biogasudbytte!$A$2:$B$18,2,FALSE)*[1]Energiindhold!$C$10,0))*P66</f>
        <v>0</v>
      </c>
      <c r="S66">
        <f>IF(A66&lt;&gt;"Biogas",IFERROR(VLOOKUP(A66,[1]Biogasudbytte!$A$2:$B$18,2,FALSE)*[1]Energiindhold!$C$10,0)*K66*IFERROR(VLOOKUP(A66,Biogasanlæg!$F$3:$G$8,2,FALSE),1)+IFERROR(VLOOKUP(A66,[1]Energiindhold!$A$2:$C$11,3,FALSE),0)*M66+IF(E66&lt;&gt;År1,R66,0),0)</f>
        <v>0</v>
      </c>
      <c r="T66">
        <f>IFERROR(VLOOKUP(A66,[1]Biogasudbytte!$A$2:$B$18,2,FALSE)*[1]Energiindhold!$C$10,0)*K66*IFERROR(VLOOKUP(A66,Biogasanlæg!$F$3:$G$8,2,FALSE),1)</f>
        <v>0</v>
      </c>
      <c r="U66" s="170">
        <f t="shared" si="12"/>
        <v>0</v>
      </c>
      <c r="V66" s="169">
        <f>P66*IFERROR(VLOOKUP(A66,[1]Tørstofindhold!A$2:B$24,2,FALSE),0)</f>
        <v>0</v>
      </c>
      <c r="W66">
        <f>IF(E66=År1,Q66,SUM(P66,Q66))*IFERROR(VLOOKUP(A66,[1]Tørstofindhold!A$2:B$24,2,FALSE),0)</f>
        <v>0</v>
      </c>
      <c r="X66">
        <f>K66*IFERROR(VLOOKUP(A66,[1]Tørstofindhold!A$2:B$24,2,FALSE),0)</f>
        <v>0</v>
      </c>
      <c r="Y66" s="170">
        <f t="shared" si="13"/>
        <v>0</v>
      </c>
      <c r="Z66">
        <f t="shared" ca="1" si="1"/>
        <v>0</v>
      </c>
      <c r="AA66">
        <f t="shared" ca="1" si="2"/>
        <v>0</v>
      </c>
      <c r="AB66" s="94">
        <f t="shared" si="8"/>
        <v>0</v>
      </c>
      <c r="AC66">
        <f>AB66*D66*10000*VLOOKUP(A66,[1]kcal!$A$2:$C$49,3,FALSE)/1000000000000</f>
        <v>0</v>
      </c>
    </row>
    <row r="67" spans="1:29" x14ac:dyDescent="0.25">
      <c r="A67" s="171" t="str">
        <f t="shared" si="18"/>
        <v>Grøntsager</v>
      </c>
      <c r="B67" s="171" t="str">
        <f t="shared" si="19"/>
        <v/>
      </c>
      <c r="C67" s="171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0</v>
      </c>
      <c r="D67" s="171">
        <f t="shared" si="21"/>
        <v>1</v>
      </c>
      <c r="E67" s="171">
        <f t="shared" si="20"/>
        <v>2030</v>
      </c>
      <c r="F67" t="s">
        <v>23</v>
      </c>
      <c r="G67" s="94">
        <f>IF(F67="Vestdanmark",SUMIFS(IF(E67=År1,'Resultater - Vestdanmark'!H$3:H$504,IF(E67=År2,'Resultater - Vestdanmark'!I$3:I$504,'Resultater - Vestdanmark'!J$3:J$504)),'Resultater - Vestdanmark'!$F$3:$F$504,$A67,IF(E67=År1,'Resultater - Vestdanmark'!H$3:H$504,IF(E67=År2,'Resultater - Vestdanmark'!I$3:I$504,'Resultater - Vestdanmark'!J$3:J$504)),"&gt;0"),SUMIFS(IF(E67=År1,'Resultater - Østdanmark'!H$3:H$504,IF(E67=År2,'Resultater - Østdanmark'!I$3:I$504,'Resultater - Østdanmark'!J$3:J$504)),'Resultater - Østdanmark'!$F$3:$F$504,$A67,IF(E67=År1,'Resultater - Østdanmark'!H$3:H$504,IF(E67=År2,'Resultater - Østdanmark'!I$3:I$504,'Resultater - Østdanmark'!J$3:J$504)),"&gt;0"))</f>
        <v>184520.48089490147</v>
      </c>
      <c r="H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forbrug'!H$3,'Forbrug af biomasse'!$B$2:$B$425,$F67)</f>
        <v>0</v>
      </c>
      <c r="I67">
        <f>IF(F67="Vestdanmark",-IF(A67="Halm",SUMIFS(IF(E67=År1,'Resultater - Vestdanmark'!H$3:H$504,IF(E67=År2,'Resultater - Vestdanmark'!I$3:I$504,'Resultater - Vestdanmark'!J$3:J$504)),'Resultater - Vestdanmark'!$F$3:$F$504,$A67,'Resultater - Vestdanmark'!H$3:H$504,"&lt;0"),0),-IF(A67="Halm",SUMIFS(IF(E67=År1,'Resultater - Østdanmark'!H$3:H$504,IF(E67=År2,'Resultater - Østdanmark'!I$3:I$504,'Resultater - Østdanmark'!J$3:J$504)),'Resultater - Østdanmark'!$F$3:$F$504,$A67,'Resultater - Østdanmark'!H$3:H$504,"&lt;0"),0))</f>
        <v>0</v>
      </c>
      <c r="J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forbrug'!J$3,'Forbrug af biomasse'!$B$2:$B$425,$F67)</f>
        <v>270140.71358529059</v>
      </c>
      <c r="K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forbrug'!K$3,'Forbrug af biomasse'!$B$2:$B$425,$F67)</f>
        <v>0</v>
      </c>
      <c r="L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forbrug'!L$3,'Forbrug af biomasse'!$B$2:$B$425,$F67)</f>
        <v>0</v>
      </c>
      <c r="M67" s="94">
        <f>IF(A67&lt;&gt;"Biogas",SUMIFS('Forbrug af biomasse'!$E$2:$E$425,'Forbrug af biomasse'!$C$2:$C$425,'Resultat-Produktion &amp; forbrug'!$A67,'Forbrug af biomasse'!$D$2:$D$425,'Resultat-Produktion &amp; forbrug'!$E67,'Forbrug af biomasse'!$A$2:$A$425,'Resultat-Produktion &amp; forbrug'!M$3,'Forbrug af biomasse'!$B$2:$B$425,$F67),G67)</f>
        <v>0</v>
      </c>
      <c r="N67" s="94">
        <f>SUMIFS('Forbrug af biomasse'!E:E,'Forbrug af biomasse'!C:C,'Resultat-Produktion &amp; forbrug'!$A67,'Forbrug af biomasse'!D:D,'Resultat-Produktion &amp; forbrug'!$E67,'Forbrug af biomasse'!G:G,1,'Forbrug af biomasse'!B:B,$F67)</f>
        <v>0</v>
      </c>
      <c r="O67" s="179">
        <f t="shared" si="10"/>
        <v>-85620.232690389123</v>
      </c>
      <c r="P67" s="94">
        <f t="shared" si="4"/>
        <v>0</v>
      </c>
      <c r="Q67" s="180">
        <f t="shared" si="11"/>
        <v>0</v>
      </c>
      <c r="R67">
        <f>IFERROR(VLOOKUP(A67,[1]Energiindhold!$A$2:$C$11,3,FALSE),IFERROR(VLOOKUP(A67,[1]Biogasudbytte!$A$2:$B$18,2,FALSE)*[1]Energiindhold!$C$10,0))*P67</f>
        <v>0</v>
      </c>
      <c r="S67">
        <f>IF(A67&lt;&gt;"Biogas",IFERROR(VLOOKUP(A67,[1]Biogasudbytte!$A$2:$B$18,2,FALSE)*[1]Energiindhold!$C$10,0)*K67*IFERROR(VLOOKUP(A67,Biogasanlæg!$F$3:$G$8,2,FALSE),1)+IFERROR(VLOOKUP(A67,[1]Energiindhold!$A$2:$C$11,3,FALSE),0)*M67+IF(E67&lt;&gt;År1,R67,0),0)</f>
        <v>0</v>
      </c>
      <c r="T67">
        <f>IFERROR(VLOOKUP(A67,[1]Biogasudbytte!$A$2:$B$18,2,FALSE)*[1]Energiindhold!$C$10,0)*K67*IFERROR(VLOOKUP(A67,Biogasanlæg!$F$3:$G$8,2,FALSE),1)</f>
        <v>0</v>
      </c>
      <c r="U67" s="170">
        <f t="shared" si="12"/>
        <v>0</v>
      </c>
      <c r="V67" s="169">
        <f>P67*IFERROR(VLOOKUP(A67,[1]Tørstofindhold!A$2:B$24,2,FALSE),0)</f>
        <v>0</v>
      </c>
      <c r="W67">
        <f>IF(E67=År1,Q67,SUM(P67,Q67))*IFERROR(VLOOKUP(A67,[1]Tørstofindhold!A$2:B$24,2,FALSE),0)</f>
        <v>0</v>
      </c>
      <c r="X67">
        <f>K67*IFERROR(VLOOKUP(A67,[1]Tørstofindhold!A$2:B$24,2,FALSE),0)</f>
        <v>0</v>
      </c>
      <c r="Y67" s="170">
        <f t="shared" si="13"/>
        <v>0</v>
      </c>
      <c r="Z67">
        <f t="shared" si="1"/>
        <v>1</v>
      </c>
      <c r="AA67">
        <f t="shared" si="2"/>
        <v>0</v>
      </c>
      <c r="AB67" s="94">
        <f t="shared" si="8"/>
        <v>184520.48089490147</v>
      </c>
      <c r="AC67">
        <f>AB67*D67*10000*VLOOKUP(A67,[1]kcal!$A$2:$C$49,3,FALSE)/1000000000000</f>
        <v>7.1962987549011564E-2</v>
      </c>
    </row>
    <row r="68" spans="1:29" x14ac:dyDescent="0.25">
      <c r="A68" s="171" t="str">
        <f t="shared" si="18"/>
        <v>Halm</v>
      </c>
      <c r="B68" s="171" t="str">
        <f t="shared" si="19"/>
        <v>Halm og strå</v>
      </c>
      <c r="C68" s="171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71">
        <f t="shared" si="21"/>
        <v>0</v>
      </c>
      <c r="E68" s="171">
        <f t="shared" si="20"/>
        <v>2030</v>
      </c>
      <c r="F68" t="s">
        <v>23</v>
      </c>
      <c r="G68" s="94">
        <f>IF(F68="Vestdanmark",SUMIFS(IF(E68=År1,'Resultater - Vestdanmark'!H$3:H$504,IF(E68=År2,'Resultater - Vestdanmark'!I$3:I$504,'Resultater - Vestdanmark'!J$3:J$504)),'Resultater - Vestdanmark'!$F$3:$F$504,$A68,IF(E68=År1,'Resultater - Vestdanmark'!H$3:H$504,IF(E68=År2,'Resultater - Vestdanmark'!I$3:I$504,'Resultater - Vestdanmark'!J$3:J$504)),"&gt;0"),SUMIFS(IF(E68=År1,'Resultater - Østdanmark'!H$3:H$504,IF(E68=År2,'Resultater - Østdanmark'!I$3:I$504,'Resultater - Østdanmark'!J$3:J$504)),'Resultater - Østdanmark'!$F$3:$F$504,$A68,IF(E68=År1,'Resultater - Østdanmark'!H$3:H$504,IF(E68=År2,'Resultater - Østdanmark'!I$3:I$504,'Resultater - Østdanmark'!J$3:J$504)),"&gt;0"))</f>
        <v>3645993.1121513979</v>
      </c>
      <c r="H68" s="390">
        <f>SUMIFS('Forbrug af biomasse'!$E$2:$E$425,'Forbrug af biomasse'!$C$2:$C$425,'Resultat-Produktion &amp; forbrug'!$A68,'Forbrug af biomasse'!$D$2:$D$425,'Resultat-Produktion &amp; forbrug'!$E68,'Forbrug af biomasse'!$A$2:$A$425,'Resultat-Produktion &amp; forbrug'!H$3,'Forbrug af biomasse'!$B$2:$B$425,$F68)</f>
        <v>754028.76978801878</v>
      </c>
      <c r="I68" s="390">
        <f>IF(F68="Vestdanmark",-IF(A68="Halm",SUMIFS(IF(E68=År1,'Resultater - Vestdanmark'!H$3:H$504,IF(E68=År2,'Resultater - Vestdanmark'!I$3:I$504,'Resultater - Vestdanmark'!J$3:J$504)),'Resultater - Vestdanmark'!$F$3:$F$504,$A68,'Resultater - Vestdanmark'!H$3:H$504,"&lt;0"),0),-IF(A68="Halm",SUMIFS(IF(E68=År1,'Resultater - Østdanmark'!H$3:H$504,IF(E68=År2,'Resultater - Østdanmark'!I$3:I$504,'Resultater - Østdanmark'!J$3:J$504)),'Resultater - Østdanmark'!$F$3:$F$504,$A68,'Resultater - Østdanmark'!H$3:H$504,"&lt;0"),0))</f>
        <v>702117.72064633376</v>
      </c>
      <c r="J68" s="390">
        <f>SUMIFS('Forbrug af biomasse'!$E$2:$E$425,'Forbrug af biomasse'!$C$2:$C$425,'Resultat-Produktion &amp; forbrug'!$A68,'Forbrug af biomasse'!$D$2:$D$425,'Resultat-Produktion &amp; forbrug'!$E68,'Forbrug af biomasse'!$A$2:$A$425,'Resultat-Produktion &amp; forbrug'!J$3,'Forbrug af biomasse'!$B$2:$B$425,$F68)</f>
        <v>0</v>
      </c>
      <c r="K68" s="390">
        <f ca="1">SUMIFS('Forbrug af biomasse'!$E$2:$E$425,'Forbrug af biomasse'!$C$2:$C$425,'Resultat-Produktion &amp; forbrug'!$A68,'Forbrug af biomasse'!$D$2:$D$425,'Resultat-Produktion &amp; forbrug'!$E68,'Forbrug af biomasse'!$A$2:$A$425,'Resultat-Produktion &amp; forbrug'!K$3,'Forbrug af biomasse'!$B$2:$B$425,$F68)</f>
        <v>0</v>
      </c>
      <c r="L68" s="390">
        <f>SUMIFS('Forbrug af biomasse'!$E$2:$E$425,'Forbrug af biomasse'!$C$2:$C$425,'Resultat-Produktion &amp; forbrug'!$A68,'Forbrug af biomasse'!$D$2:$D$425,'Resultat-Produktion &amp; forbrug'!$E68,'Forbrug af biomasse'!$A$2:$A$425,'Resultat-Produktion &amp; forbrug'!L$3,'Forbrug af biomasse'!$B$2:$B$425,$F68)</f>
        <v>0</v>
      </c>
      <c r="M68" s="390">
        <f ca="1">IF(A68&lt;&gt;"Biogas",SUMIFS('Forbrug af biomasse'!$E$2:$E$425,'Forbrug af biomasse'!$C$2:$C$425,'Resultat-Produktion &amp; forbrug'!$A68,'Forbrug af biomasse'!$D$2:$D$425,'Resultat-Produktion &amp; forbrug'!$E68,'Forbrug af biomasse'!$A$2:$A$425,'Resultat-Produktion &amp; forbrug'!M$3,'Forbrug af biomasse'!$B$2:$B$425,$F68),G68)</f>
        <v>2189846.6217170451</v>
      </c>
      <c r="N68" s="391">
        <f ca="1">SUMIFS('Forbrug af biomasse'!E:E,'Forbrug af biomasse'!C:C,'Resultat-Produktion &amp; forbrug'!$A68,'Forbrug af biomasse'!D:D,'Resultat-Produktion &amp; forbrug'!$E68,'Forbrug af biomasse'!G:G,1,'Forbrug af biomasse'!B:B,$F68)</f>
        <v>0</v>
      </c>
      <c r="O68" s="179">
        <f t="shared" ca="1" si="10"/>
        <v>0</v>
      </c>
      <c r="P68" s="94">
        <f t="shared" ref="P68:P131" ca="1" si="22">IF(C68=1,IF(O68+IF(SUMIFS($O$4:$O$291,$A$4:$A$291,A68,$E$4:$E$291,E68,$F$4:$F$291,"&lt;&gt;"&amp;F68)&lt;0,SUMIFS($O$4:$O$291,$A$4:$A$291,A68,$E$4:$E$291,E68,$F$4:$F$291,"&lt;&gt;"&amp;F68),0)&gt;0,O68+IF(SUMIFS($O$4:$O$291,$A$4:$A$291,A68,$E$4:$E$291,E68,$F$4:$F$291,"&lt;&gt;"&amp;F68)&lt;0,SUMIFS($O$4:$O$291,$A$4:$A$291,A68,$E$4:$E$291,E68,$F$4:$F$291,"&lt;&gt;"&amp;F68),0),0),0)</f>
        <v>0</v>
      </c>
      <c r="Q68" s="180">
        <f t="shared" ca="1" si="11"/>
        <v>2189846.6217170451</v>
      </c>
      <c r="R68">
        <f ca="1">IFERROR(VLOOKUP(A68,[1]Energiindhold!$A$2:$C$11,3,FALSE),IFERROR(VLOOKUP(A68,[1]Biogasudbytte!$A$2:$B$18,2,FALSE)*[1]Energiindhold!$C$10,0))*P68</f>
        <v>0</v>
      </c>
      <c r="S68">
        <f ca="1">IF(A68&lt;&gt;"Biogas",IFERROR(VLOOKUP(A68,[1]Biogasudbytte!$A$2:$B$18,2,FALSE)*[1]Energiindhold!$C$10,0)*K68*IFERROR(VLOOKUP(A68,Biogasanlæg!$F$3:$G$8,2,FALSE),1)+IFERROR(VLOOKUP(A68,[1]Energiindhold!$A$2:$C$11,3,FALSE),0)*M68+IF(E68&lt;&gt;År1,R68,0),0)</f>
        <v>22.633830594475008</v>
      </c>
      <c r="T68">
        <f ca="1">IFERROR(VLOOKUP(A68,[1]Biogasudbytte!$A$2:$B$18,2,FALSE)*[1]Energiindhold!$C$10,0)*K68*IFERROR(VLOOKUP(A68,Biogasanlæg!$F$3:$G$8,2,FALSE),1)</f>
        <v>0</v>
      </c>
      <c r="U68" s="170">
        <f t="shared" ca="1" si="12"/>
        <v>22.633830594475008</v>
      </c>
      <c r="V68" s="169">
        <f ca="1">P68*IFERROR(VLOOKUP(A68,[1]Tørstofindhold!A$2:B$24,2,FALSE),0)</f>
        <v>0</v>
      </c>
      <c r="W68">
        <f ca="1">IF(E68=År1,Q68,SUM(P68,Q68))*IFERROR(VLOOKUP(A68,[1]Tørstofindhold!A$2:B$24,2,FALSE),0)</f>
        <v>1861369.6284594883</v>
      </c>
      <c r="X68">
        <f ca="1">K68*IFERROR(VLOOKUP(A68,[1]Tørstofindhold!A$2:B$24,2,FALSE),0)</f>
        <v>0</v>
      </c>
      <c r="Y68" s="170">
        <f t="shared" ca="1" si="13"/>
        <v>1861369.6284594883</v>
      </c>
      <c r="Z68">
        <f t="shared" ref="Z68:Z131" ca="1" si="23">IF(SUMIFS($O$4:$O$291,$A$4:$A$291,A68,$E$4:$E$291,E68)&lt;0,1,0)</f>
        <v>0</v>
      </c>
      <c r="AA68">
        <f t="shared" ref="AA68:AA131" ca="1" si="24">IF(SUMIFS($O$4:$O$291,$A$4:$A$291,A68,$E$4:$E$291,E68)&gt;0,1,0)</f>
        <v>0</v>
      </c>
      <c r="AB68" s="94">
        <f t="shared" ca="1" si="8"/>
        <v>2189846.6217170451</v>
      </c>
      <c r="AC68">
        <f ca="1">AB68*D68*10000*VLOOKUP(A68,[1]kcal!$A$2:$C$49,3,FALSE)/1000000000000</f>
        <v>0</v>
      </c>
    </row>
    <row r="69" spans="1:29" x14ac:dyDescent="0.25">
      <c r="A69" s="171" t="str">
        <f t="shared" si="18"/>
        <v>Have/parkaffald</v>
      </c>
      <c r="B69" s="171" t="str">
        <f t="shared" si="19"/>
        <v>Bionedbrydeligt affald</v>
      </c>
      <c r="C69" s="171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1</v>
      </c>
      <c r="D69" s="171">
        <f t="shared" si="21"/>
        <v>0</v>
      </c>
      <c r="E69" s="171">
        <f t="shared" si="20"/>
        <v>2030</v>
      </c>
      <c r="F69" t="s">
        <v>23</v>
      </c>
      <c r="G69" s="94">
        <f>IF(F69="Vestdanmark",SUMIFS(IF(E69=År1,'Resultater - Vestdanmark'!H$3:H$504,IF(E69=År2,'Resultater - Vestdanmark'!I$3:I$504,'Resultater - Vestdanmark'!J$3:J$504)),'Resultater - Vestdanmark'!$F$3:$F$504,$A69,IF(E69=År1,'Resultater - Vestdanmark'!H$3:H$504,IF(E69=År2,'Resultater - Vestdanmark'!I$3:I$504,'Resultater - Vestdanmark'!J$3:J$504)),"&gt;0"),SUMIFS(IF(E69=År1,'Resultater - Østdanmark'!H$3:H$504,IF(E69=År2,'Resultater - Østdanmark'!I$3:I$504,'Resultater - Østdanmark'!J$3:J$504)),'Resultater - Østdanmark'!$F$3:$F$504,$A69,IF(E69=År1,'Resultater - Østdanmark'!H$3:H$504,IF(E69=År2,'Resultater - Østdanmark'!I$3:I$504,'Resultater - Østdanmark'!J$3:J$504)),"&gt;0"))</f>
        <v>526734.10986839118</v>
      </c>
      <c r="H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forbrug'!H$3,'Forbrug af biomasse'!$B$2:$B$425,$F69)</f>
        <v>0</v>
      </c>
      <c r="I69">
        <f>IF(F69="Vestdanmark",-IF(A69="Halm",SUMIFS(IF(E69=År1,'Resultater - Vestdanmark'!H$3:H$504,IF(E69=År2,'Resultater - Vestdanmark'!I$3:I$504,'Resultater - Vestdanmark'!J$3:J$504)),'Resultater - Vestdanmark'!$F$3:$F$504,$A69,'Resultater - Vestdanmark'!H$3:H$504,"&lt;0"),0),-IF(A69="Halm",SUMIFS(IF(E69=År1,'Resultater - Østdanmark'!H$3:H$504,IF(E69=År2,'Resultater - Østdanmark'!I$3:I$504,'Resultater - Østdanmark'!J$3:J$504)),'Resultater - Østdanmark'!$F$3:$F$504,$A69,'Resultater - Østdanmark'!H$3:H$504,"&lt;0"),0))</f>
        <v>0</v>
      </c>
      <c r="J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forbrug'!J$3,'Forbrug af biomasse'!$B$2:$B$425,$F69)</f>
        <v>0</v>
      </c>
      <c r="K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forbrug'!K$3,'Forbrug af biomasse'!$B$2:$B$425,$F69)</f>
        <v>401960.68859899876</v>
      </c>
      <c r="L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forbrug'!L$3,'Forbrug af biomasse'!$B$2:$B$425,$F69)</f>
        <v>0</v>
      </c>
      <c r="M69" s="94">
        <f>IF(A69&lt;&gt;"Biogas",SUMIFS('Forbrug af biomasse'!$E$2:$E$425,'Forbrug af biomasse'!$C$2:$C$425,'Resultat-Produktion &amp; forbrug'!$A69,'Forbrug af biomasse'!$D$2:$D$425,'Resultat-Produktion &amp; forbrug'!$E69,'Forbrug af biomasse'!$A$2:$A$425,'Resultat-Produktion &amp; forbrug'!M$3,'Forbrug af biomasse'!$B$2:$B$425,$F69),G69)</f>
        <v>124773.42126939242</v>
      </c>
      <c r="N69" s="94">
        <f>SUMIFS('Forbrug af biomasse'!E:E,'Forbrug af biomasse'!C:C,'Resultat-Produktion &amp; forbrug'!$A69,'Forbrug af biomasse'!D:D,'Resultat-Produktion &amp; forbrug'!$E69,'Forbrug af biomasse'!G:G,1,'Forbrug af biomasse'!B:B,$F69)</f>
        <v>0</v>
      </c>
      <c r="O69" s="179">
        <f t="shared" si="10"/>
        <v>0</v>
      </c>
      <c r="P69" s="94">
        <f t="shared" si="22"/>
        <v>0</v>
      </c>
      <c r="Q69" s="180">
        <f t="shared" si="11"/>
        <v>526734.10986839118</v>
      </c>
      <c r="R69">
        <f>IFERROR(VLOOKUP(A69,[1]Energiindhold!$A$2:$C$11,3,FALSE),IFERROR(VLOOKUP(A69,[1]Biogasudbytte!$A$2:$B$18,2,FALSE)*[1]Energiindhold!$C$10,0))*P69</f>
        <v>0</v>
      </c>
      <c r="S69">
        <f>IF(A69&lt;&gt;"Biogas",IFERROR(VLOOKUP(A69,[1]Biogasudbytte!$A$2:$B$18,2,FALSE)*[1]Energiindhold!$C$10,0)*K69*IFERROR(VLOOKUP(A69,Biogasanlæg!$F$3:$G$8,2,FALSE),1)+IFERROR(VLOOKUP(A69,[1]Energiindhold!$A$2:$C$11,3,FALSE),0)*M69+IF(E69&lt;&gt;År1,R69,0),0)</f>
        <v>2.9100400181094281</v>
      </c>
      <c r="T69">
        <f>IFERROR(VLOOKUP(A69,[1]Biogasudbytte!$A$2:$B$18,2,FALSE)*[1]Energiindhold!$C$10,0)*K69*IFERROR(VLOOKUP(A69,Biogasanlæg!$F$3:$G$8,2,FALSE),1)</f>
        <v>0.68255738648930186</v>
      </c>
      <c r="U69" s="170">
        <f t="shared" si="12"/>
        <v>2.2274826316201262</v>
      </c>
      <c r="V69" s="169">
        <f>P69*IFERROR(VLOOKUP(A69,[1]Tørstofindhold!A$2:B$24,2,FALSE),0)</f>
        <v>0</v>
      </c>
      <c r="W69">
        <f>IF(E69=År1,Q69,SUM(P69,Q69))*IFERROR(VLOOKUP(A69,[1]Tørstofindhold!A$2:B$24,2,FALSE),0)</f>
        <v>158020.23296051734</v>
      </c>
      <c r="X69">
        <f>K69*IFERROR(VLOOKUP(A69,[1]Tørstofindhold!A$2:B$24,2,FALSE),0)</f>
        <v>120588.20657969962</v>
      </c>
      <c r="Y69" s="170">
        <f t="shared" si="13"/>
        <v>37432.026380817726</v>
      </c>
      <c r="Z69">
        <f t="shared" si="23"/>
        <v>0</v>
      </c>
      <c r="AA69">
        <f t="shared" si="24"/>
        <v>0</v>
      </c>
      <c r="AB69" s="94">
        <f t="shared" ref="AB69:AB132" si="25">G69-SUMPRODUCT($H$2:$N$2,H69:N69)</f>
        <v>124773.42126939242</v>
      </c>
      <c r="AC69">
        <f>AB69*D69*10000*VLOOKUP(A69,[1]kcal!$A$2:$C$49,3,FALSE)/1000000000000</f>
        <v>0</v>
      </c>
    </row>
    <row r="70" spans="1:29" x14ac:dyDescent="0.25">
      <c r="A70" s="171" t="str">
        <f t="shared" si="18"/>
        <v>Import af foder</v>
      </c>
      <c r="B70" s="171" t="str">
        <f t="shared" si="19"/>
        <v/>
      </c>
      <c r="C70" s="171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0</v>
      </c>
      <c r="D70" s="171">
        <f t="shared" si="21"/>
        <v>1</v>
      </c>
      <c r="E70" s="171">
        <f t="shared" si="20"/>
        <v>2030</v>
      </c>
      <c r="F70" t="s">
        <v>23</v>
      </c>
      <c r="G70" s="94">
        <f>IF(F70="Vestdanmark",SUMIFS(IF(E70=År1,'Resultater - Vestdanmark'!H$3:H$504,IF(E70=År2,'Resultater - Vestdanmark'!I$3:I$504,'Resultater - Vestdanmark'!J$3:J$504)),'Resultater - Vestdanmark'!$F$3:$F$504,$A70,IF(E70=År1,'Resultater - Vestdanmark'!H$3:H$504,IF(E70=År2,'Resultater - Vestdanmark'!I$3:I$504,'Resultater - Vestdanmark'!J$3:J$504)),"&gt;0"),SUMIFS(IF(E70=År1,'Resultater - Østdanmark'!H$3:H$504,IF(E70=År2,'Resultater - Østdanmark'!I$3:I$504,'Resultater - Østdanmark'!J$3:J$504)),'Resultater - Østdanmark'!$F$3:$F$504,$A70,IF(E70=År1,'Resultater - Østdanmark'!H$3:H$504,IF(E70=År2,'Resultater - Østdanmark'!I$3:I$504,'Resultater - Østdanmark'!J$3:J$504)),"&gt;0"))</f>
        <v>0</v>
      </c>
      <c r="H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forbrug'!H$3,'Forbrug af biomasse'!$B$2:$B$425,$F70)</f>
        <v>4709403.3246320067</v>
      </c>
      <c r="I70">
        <f>IF(F70="Vestdanmark",-IF(A70="Halm",SUMIFS(IF(E70=År1,'Resultater - Vestdanmark'!H$3:H$504,IF(E70=År2,'Resultater - Vestdanmark'!I$3:I$504,'Resultater - Vestdanmark'!J$3:J$504)),'Resultater - Vestdanmark'!$F$3:$F$504,$A70,'Resultater - Vestdanmark'!H$3:H$504,"&lt;0"),0),-IF(A70="Halm",SUMIFS(IF(E70=År1,'Resultater - Østdanmark'!H$3:H$504,IF(E70=År2,'Resultater - Østdanmark'!I$3:I$504,'Resultater - Østdanmark'!J$3:J$504)),'Resultater - Østdanmark'!$F$3:$F$504,$A70,'Resultater - Østdanmark'!H$3:H$504,"&lt;0"),0))</f>
        <v>0</v>
      </c>
      <c r="J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forbrug'!J$3,'Forbrug af biomasse'!$B$2:$B$425,$F70)</f>
        <v>0</v>
      </c>
      <c r="K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forbrug'!K$3,'Forbrug af biomasse'!$B$2:$B$425,$F70)</f>
        <v>0</v>
      </c>
      <c r="L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forbrug'!L$3,'Forbrug af biomasse'!$B$2:$B$425,$F70)</f>
        <v>0</v>
      </c>
      <c r="M70" s="94">
        <f>IF(A70&lt;&gt;"Biogas",SUMIFS('Forbrug af biomasse'!$E$2:$E$425,'Forbrug af biomasse'!$C$2:$C$425,'Resultat-Produktion &amp; forbrug'!$A70,'Forbrug af biomasse'!$D$2:$D$425,'Resultat-Produktion &amp; forbrug'!$E70,'Forbrug af biomasse'!$A$2:$A$425,'Resultat-Produktion &amp; forbrug'!M$3,'Forbrug af biomasse'!$B$2:$B$425,$F70),G70)</f>
        <v>0</v>
      </c>
      <c r="N70" s="94">
        <f>SUMIFS('Forbrug af biomasse'!E:E,'Forbrug af biomasse'!C:C,'Resultat-Produktion &amp; forbrug'!$A70,'Forbrug af biomasse'!D:D,'Resultat-Produktion &amp; forbrug'!$E70,'Forbrug af biomasse'!G:G,1,'Forbrug af biomasse'!B:B,$F70)</f>
        <v>0</v>
      </c>
      <c r="O70" s="179">
        <f t="shared" si="10"/>
        <v>-4709403.3246320067</v>
      </c>
      <c r="P70" s="94">
        <f t="shared" si="22"/>
        <v>0</v>
      </c>
      <c r="Q70" s="180">
        <f t="shared" si="11"/>
        <v>0</v>
      </c>
      <c r="R70">
        <f>IFERROR(VLOOKUP(A70,[1]Energiindhold!$A$2:$C$11,3,FALSE),IFERROR(VLOOKUP(A70,[1]Biogasudbytte!$A$2:$B$18,2,FALSE)*[1]Energiindhold!$C$10,0))*P70</f>
        <v>0</v>
      </c>
      <c r="S70">
        <f>IF(A70&lt;&gt;"Biogas",IFERROR(VLOOKUP(A70,[1]Biogasudbytte!$A$2:$B$18,2,FALSE)*[1]Energiindhold!$C$10,0)*K70*IFERROR(VLOOKUP(A70,Biogasanlæg!$F$3:$G$8,2,FALSE),1)+IFERROR(VLOOKUP(A70,[1]Energiindhold!$A$2:$C$11,3,FALSE),0)*M70+IF(E70&lt;&gt;År1,R70,0),0)</f>
        <v>0</v>
      </c>
      <c r="T70">
        <f>IFERROR(VLOOKUP(A70,[1]Biogasudbytte!$A$2:$B$18,2,FALSE)*[1]Energiindhold!$C$10,0)*K70*IFERROR(VLOOKUP(A70,Biogasanlæg!$F$3:$G$8,2,FALSE),1)</f>
        <v>0</v>
      </c>
      <c r="U70" s="170">
        <f t="shared" si="12"/>
        <v>0</v>
      </c>
      <c r="V70" s="169">
        <f>P70*IFERROR(VLOOKUP(A70,[1]Tørstofindhold!A$2:B$24,2,FALSE),0)</f>
        <v>0</v>
      </c>
      <c r="W70">
        <f>IF(E70=År1,Q70,SUM(P70,Q70))*IFERROR(VLOOKUP(A70,[1]Tørstofindhold!A$2:B$24,2,FALSE),0)</f>
        <v>0</v>
      </c>
      <c r="X70">
        <f>K70*IFERROR(VLOOKUP(A70,[1]Tørstofindhold!A$2:B$24,2,FALSE),0)</f>
        <v>0</v>
      </c>
      <c r="Y70" s="170">
        <f t="shared" si="13"/>
        <v>0</v>
      </c>
      <c r="Z70">
        <f t="shared" ca="1" si="23"/>
        <v>1</v>
      </c>
      <c r="AA70">
        <f t="shared" ca="1" si="24"/>
        <v>0</v>
      </c>
      <c r="AB70" s="94">
        <f t="shared" si="25"/>
        <v>-4709403.3246320067</v>
      </c>
      <c r="AC70">
        <f>AB70*D70*10000*VLOOKUP(A70,[1]kcal!$A$2:$C$49,3,FALSE)/1000000000000</f>
        <v>-2.6843598950402443</v>
      </c>
    </row>
    <row r="71" spans="1:29" x14ac:dyDescent="0.25">
      <c r="A71" s="171" t="str">
        <f t="shared" si="18"/>
        <v>Industriaffald</v>
      </c>
      <c r="B71" s="171" t="str">
        <f t="shared" si="19"/>
        <v>Bionedbrydeligt affald</v>
      </c>
      <c r="C71" s="171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1</v>
      </c>
      <c r="D71" s="171">
        <f t="shared" si="21"/>
        <v>0</v>
      </c>
      <c r="E71" s="171">
        <f t="shared" si="20"/>
        <v>2030</v>
      </c>
      <c r="F71" t="s">
        <v>23</v>
      </c>
      <c r="G71" s="94">
        <f>IF(F71="Vestdanmark",SUMIFS(IF(E71=År1,'Resultater - Vestdanmark'!H$3:H$504,IF(E71=År2,'Resultater - Vestdanmark'!I$3:I$504,'Resultater - Vestdanmark'!J$3:J$504)),'Resultater - Vestdanmark'!$F$3:$F$504,$A71,IF(E71=År1,'Resultater - Vestdanmark'!H$3:H$504,IF(E71=År2,'Resultater - Vestdanmark'!I$3:I$504,'Resultater - Vestdanmark'!J$3:J$504)),"&gt;0"),SUMIFS(IF(E71=År1,'Resultater - Østdanmark'!H$3:H$504,IF(E71=År2,'Resultater - Østdanmark'!I$3:I$504,'Resultater - Østdanmark'!J$3:J$504)),'Resultater - Østdanmark'!$F$3:$F$504,$A71,IF(E71=År1,'Resultater - Østdanmark'!H$3:H$504,IF(E71=År2,'Resultater - Østdanmark'!I$3:I$504,'Resultater - Østdanmark'!J$3:J$504)),"&gt;0"))</f>
        <v>516148.16711972357</v>
      </c>
      <c r="H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forbrug'!H$3,'Forbrug af biomasse'!$B$2:$B$425,$F71)</f>
        <v>0</v>
      </c>
      <c r="I71">
        <f>IF(F71="Vestdanmark",-IF(A71="Halm",SUMIFS(IF(E71=År1,'Resultater - Vestdanmark'!H$3:H$504,IF(E71=År2,'Resultater - Vestdanmark'!I$3:I$504,'Resultater - Vestdanmark'!J$3:J$504)),'Resultater - Vestdanmark'!$F$3:$F$504,$A71,'Resultater - Vestdanmark'!H$3:H$504,"&lt;0"),0),-IF(A71="Halm",SUMIFS(IF(E71=År1,'Resultater - Østdanmark'!H$3:H$504,IF(E71=År2,'Resultater - Østdanmark'!I$3:I$504,'Resultater - Østdanmark'!J$3:J$504)),'Resultater - Østdanmark'!$F$3:$F$504,$A71,'Resultater - Østdanmark'!H$3:H$504,"&lt;0"),0))</f>
        <v>0</v>
      </c>
      <c r="J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forbrug'!J$3,'Forbrug af biomasse'!$B$2:$B$425,$F71)</f>
        <v>0</v>
      </c>
      <c r="K71" s="94">
        <f ca="1">SUMIFS('Forbrug af biomasse'!$E$2:$E$425,'Forbrug af biomasse'!$C$2:$C$425,'Resultat-Produktion &amp; forbrug'!$A71,'Forbrug af biomasse'!$D$2:$D$425,'Resultat-Produktion &amp; forbrug'!$E71,'Forbrug af biomasse'!$A$2:$A$425,'Resultat-Produktion &amp; forbrug'!K$3,'Forbrug af biomasse'!$B$2:$B$425,$F71)</f>
        <v>0</v>
      </c>
      <c r="L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forbrug'!L$3,'Forbrug af biomasse'!$B$2:$B$425,$F71)</f>
        <v>0</v>
      </c>
      <c r="M71" s="94">
        <f>IF(A71&lt;&gt;"Biogas",SUMIFS('Forbrug af biomasse'!$E$2:$E$425,'Forbrug af biomasse'!$C$2:$C$425,'Resultat-Produktion &amp; forbrug'!$A71,'Forbrug af biomasse'!$D$2:$D$425,'Resultat-Produktion &amp; forbrug'!$E71,'Forbrug af biomasse'!$A$2:$A$425,'Resultat-Produktion &amp; forbrug'!M$3,'Forbrug af biomasse'!$B$2:$B$425,$F71),G71)</f>
        <v>0</v>
      </c>
      <c r="N71" s="94">
        <f>SUMIFS('Forbrug af biomasse'!E:E,'Forbrug af biomasse'!C:C,'Resultat-Produktion &amp; forbrug'!$A71,'Forbrug af biomasse'!D:D,'Resultat-Produktion &amp; forbrug'!$E71,'Forbrug af biomasse'!G:G,1,'Forbrug af biomasse'!B:B,$F71)</f>
        <v>0</v>
      </c>
      <c r="O71" s="179">
        <f t="shared" ca="1" si="10"/>
        <v>516148.16711972357</v>
      </c>
      <c r="P71" s="94">
        <f t="shared" ca="1" si="22"/>
        <v>516148.16711972357</v>
      </c>
      <c r="Q71" s="180">
        <f t="shared" ca="1" si="11"/>
        <v>0</v>
      </c>
      <c r="R71">
        <f ca="1">IFERROR(VLOOKUP(A71,[1]Energiindhold!$A$2:$C$11,3,FALSE),IFERROR(VLOOKUP(A71,[1]Biogasudbytte!$A$2:$B$18,2,FALSE)*[1]Energiindhold!$C$10,0))*P71</f>
        <v>2.2365371073914879</v>
      </c>
      <c r="S71">
        <f ca="1">IF(A71&lt;&gt;"Biogas",IFERROR(VLOOKUP(A71,[1]Biogasudbytte!$A$2:$B$18,2,FALSE)*[1]Energiindhold!$C$10,0)*K71*IFERROR(VLOOKUP(A71,Biogasanlæg!$F$3:$G$8,2,FALSE),1)+IFERROR(VLOOKUP(A71,[1]Energiindhold!$A$2:$C$11,3,FALSE),0)*M71+IF(E71&lt;&gt;År1,R71,0),0)</f>
        <v>2.2365371073914879</v>
      </c>
      <c r="T71">
        <f ca="1">IFERROR(VLOOKUP(A71,[1]Biogasudbytte!$A$2:$B$18,2,FALSE)*[1]Energiindhold!$C$10,0)*K71*IFERROR(VLOOKUP(A71,Biogasanlæg!$F$3:$G$8,2,FALSE),1)</f>
        <v>0</v>
      </c>
      <c r="U71" s="170">
        <f t="shared" ca="1" si="12"/>
        <v>2.2365371073914879</v>
      </c>
      <c r="V71" s="169">
        <f ca="1">P71*IFERROR(VLOOKUP(A71,[1]Tørstofindhold!A$2:B$24,2,FALSE),0)</f>
        <v>216782.23019028388</v>
      </c>
      <c r="W71">
        <f ca="1">IF(E71=År1,Q71,SUM(P71,Q71))*IFERROR(VLOOKUP(A71,[1]Tørstofindhold!A$2:B$24,2,FALSE),0)</f>
        <v>216782.23019028388</v>
      </c>
      <c r="X71">
        <f ca="1">K71*IFERROR(VLOOKUP(A71,[1]Tørstofindhold!A$2:B$24,2,FALSE),0)</f>
        <v>0</v>
      </c>
      <c r="Y71" s="170">
        <f t="shared" ca="1" si="13"/>
        <v>216782.23019028388</v>
      </c>
      <c r="Z71">
        <f t="shared" ca="1" si="23"/>
        <v>0</v>
      </c>
      <c r="AA71">
        <f t="shared" ca="1" si="24"/>
        <v>1</v>
      </c>
      <c r="AB71" s="94">
        <f t="shared" ca="1" si="25"/>
        <v>516148.16711972357</v>
      </c>
      <c r="AC71">
        <f ca="1">AB71*D71*10000*VLOOKUP(A71,[1]kcal!$A$2:$C$49,3,FALSE)/1000000000000</f>
        <v>0</v>
      </c>
    </row>
    <row r="72" spans="1:29" x14ac:dyDescent="0.25">
      <c r="A72" s="171" t="str">
        <f t="shared" si="18"/>
        <v>Juletræer</v>
      </c>
      <c r="B72" s="171" t="str">
        <f t="shared" si="19"/>
        <v/>
      </c>
      <c r="C72" s="171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71">
        <f t="shared" si="21"/>
        <v>0</v>
      </c>
      <c r="E72" s="171">
        <f t="shared" si="20"/>
        <v>2030</v>
      </c>
      <c r="F72" t="s">
        <v>23</v>
      </c>
      <c r="G72" s="94">
        <f>IF(F72="Vestdanmark",SUMIFS(IF(E72=År1,'Resultater - Vestdanmark'!H$3:H$504,IF(E72=År2,'Resultater - Vestdanmark'!I$3:I$504,'Resultater - Vestdanmark'!J$3:J$504)),'Resultater - Vestdanmark'!$F$3:$F$504,$A72,IF(E72=År1,'Resultater - Vestdanmark'!H$3:H$504,IF(E72=År2,'Resultater - Vestdanmark'!I$3:I$504,'Resultater - Vestdanmark'!J$3:J$504)),"&gt;0"),SUMIFS(IF(E72=År1,'Resultater - Østdanmark'!H$3:H$504,IF(E72=År2,'Resultater - Østdanmark'!I$3:I$504,'Resultater - Østdanmark'!J$3:J$504)),'Resultater - Østdanmark'!$F$3:$F$504,$A72,IF(E72=År1,'Resultater - Østdanmark'!H$3:H$504,IF(E72=År2,'Resultater - Østdanmark'!I$3:I$504,'Resultater - Østdanmark'!J$3:J$504)),"&gt;0"))</f>
        <v>760896.82850784401</v>
      </c>
      <c r="H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forbrug'!H$3,'Forbrug af biomasse'!$B$2:$B$425,$F72)</f>
        <v>0</v>
      </c>
      <c r="I72">
        <f>IF(F72="Vestdanmark",-IF(A72="Halm",SUMIFS(IF(E72=År1,'Resultater - Vestdanmark'!H$3:H$504,IF(E72=År2,'Resultater - Vestdanmark'!I$3:I$504,'Resultater - Vestdanmark'!J$3:J$504)),'Resultater - Vestdanmark'!$F$3:$F$504,$A72,'Resultater - Vestdanmark'!H$3:H$504,"&lt;0"),0),-IF(A72="Halm",SUMIFS(IF(E72=År1,'Resultater - Østdanmark'!H$3:H$504,IF(E72=År2,'Resultater - Østdanmark'!I$3:I$504,'Resultater - Østdanmark'!J$3:J$504)),'Resultater - Østdanmark'!$F$3:$F$504,$A72,'Resultater - Østdanmark'!H$3:H$504,"&lt;0"),0))</f>
        <v>0</v>
      </c>
      <c r="J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forbrug'!J$3,'Forbrug af biomasse'!$B$2:$B$425,$F72)</f>
        <v>0</v>
      </c>
      <c r="K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forbrug'!K$3,'Forbrug af biomasse'!$B$2:$B$425,$F72)</f>
        <v>0</v>
      </c>
      <c r="L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forbrug'!L$3,'Forbrug af biomasse'!$B$2:$B$425,$F72)</f>
        <v>0</v>
      </c>
      <c r="M72" s="94">
        <f>IF(A72&lt;&gt;"Biogas",SUMIFS('Forbrug af biomasse'!$E$2:$E$425,'Forbrug af biomasse'!$C$2:$C$425,'Resultat-Produktion &amp; forbrug'!$A72,'Forbrug af biomasse'!$D$2:$D$425,'Resultat-Produktion &amp; forbrug'!$E72,'Forbrug af biomasse'!$A$2:$A$425,'Resultat-Produktion &amp; forbrug'!M$3,'Forbrug af biomasse'!$B$2:$B$425,$F72),G72)</f>
        <v>0</v>
      </c>
      <c r="N72" s="94">
        <f>SUMIFS('Forbrug af biomasse'!E:E,'Forbrug af biomasse'!C:C,'Resultat-Produktion &amp; forbrug'!$A72,'Forbrug af biomasse'!D:D,'Resultat-Produktion &amp; forbrug'!$E72,'Forbrug af biomasse'!G:G,1,'Forbrug af biomasse'!B:B,$F72)</f>
        <v>0</v>
      </c>
      <c r="O72" s="179">
        <f t="shared" si="10"/>
        <v>760896.82850784401</v>
      </c>
      <c r="P72" s="94">
        <f t="shared" si="22"/>
        <v>0</v>
      </c>
      <c r="Q72" s="180">
        <f t="shared" si="11"/>
        <v>0</v>
      </c>
      <c r="R72">
        <f>IFERROR(VLOOKUP(A72,[1]Energiindhold!$A$2:$C$11,3,FALSE),IFERROR(VLOOKUP(A72,[1]Biogasudbytte!$A$2:$B$18,2,FALSE)*[1]Energiindhold!$C$10,0))*P72</f>
        <v>0</v>
      </c>
      <c r="S72">
        <f>IF(A72&lt;&gt;"Biogas",IFERROR(VLOOKUP(A72,[1]Biogasudbytte!$A$2:$B$18,2,FALSE)*[1]Energiindhold!$C$10,0)*K72*IFERROR(VLOOKUP(A72,Biogasanlæg!$F$3:$G$8,2,FALSE),1)+IFERROR(VLOOKUP(A72,[1]Energiindhold!$A$2:$C$11,3,FALSE),0)*M72+IF(E72&lt;&gt;År1,R72,0),0)</f>
        <v>0</v>
      </c>
      <c r="T72">
        <f>IFERROR(VLOOKUP(A72,[1]Biogasudbytte!$A$2:$B$18,2,FALSE)*[1]Energiindhold!$C$10,0)*K72*IFERROR(VLOOKUP(A72,Biogasanlæg!$F$3:$G$8,2,FALSE),1)</f>
        <v>0</v>
      </c>
      <c r="U72" s="170">
        <f t="shared" si="12"/>
        <v>0</v>
      </c>
      <c r="V72" s="169">
        <f>P72*IFERROR(VLOOKUP(A72,[1]Tørstofindhold!A$2:B$24,2,FALSE),0)</f>
        <v>0</v>
      </c>
      <c r="W72">
        <f>IF(E72=År1,Q72,SUM(P72,Q72))*IFERROR(VLOOKUP(A72,[1]Tørstofindhold!A$2:B$24,2,FALSE),0)</f>
        <v>0</v>
      </c>
      <c r="X72">
        <f>K72*IFERROR(VLOOKUP(A72,[1]Tørstofindhold!A$2:B$24,2,FALSE),0)</f>
        <v>0</v>
      </c>
      <c r="Y72" s="170">
        <f t="shared" si="13"/>
        <v>0</v>
      </c>
      <c r="Z72">
        <f t="shared" si="23"/>
        <v>0</v>
      </c>
      <c r="AA72">
        <f t="shared" si="24"/>
        <v>1</v>
      </c>
      <c r="AB72" s="94">
        <f t="shared" si="25"/>
        <v>760896.82850784401</v>
      </c>
      <c r="AC72">
        <f>AB72*D72*10000*VLOOKUP(A72,[1]kcal!$A$2:$C$49,3,FALSE)/1000000000000</f>
        <v>0</v>
      </c>
    </row>
    <row r="73" spans="1:29" x14ac:dyDescent="0.25">
      <c r="A73" s="171" t="str">
        <f t="shared" si="18"/>
        <v>Kartofler</v>
      </c>
      <c r="B73" s="171" t="str">
        <f t="shared" si="19"/>
        <v/>
      </c>
      <c r="C73" s="171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0</v>
      </c>
      <c r="D73" s="171">
        <f t="shared" si="21"/>
        <v>1</v>
      </c>
      <c r="E73" s="171">
        <f t="shared" si="20"/>
        <v>2030</v>
      </c>
      <c r="F73" t="s">
        <v>23</v>
      </c>
      <c r="G73" s="94">
        <f>IF(F73="Vestdanmark",SUMIFS(IF(E73=År1,'Resultater - Vestdanmark'!H$3:H$504,IF(E73=År2,'Resultater - Vestdanmark'!I$3:I$504,'Resultater - Vestdanmark'!J$3:J$504)),'Resultater - Vestdanmark'!$F$3:$F$504,$A73,IF(E73=År1,'Resultater - Vestdanmark'!H$3:H$504,IF(E73=År2,'Resultater - Vestdanmark'!I$3:I$504,'Resultater - Vestdanmark'!J$3:J$504)),"&gt;0"),SUMIFS(IF(E73=År1,'Resultater - Østdanmark'!H$3:H$504,IF(E73=År2,'Resultater - Østdanmark'!I$3:I$504,'Resultater - Østdanmark'!J$3:J$504)),'Resultater - Østdanmark'!$F$3:$F$504,$A73,IF(E73=År1,'Resultater - Østdanmark'!H$3:H$504,IF(E73=År2,'Resultater - Østdanmark'!I$3:I$504,'Resultater - Østdanmark'!J$3:J$504)),"&gt;0"))</f>
        <v>2125074.3565515019</v>
      </c>
      <c r="H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forbrug'!H$3,'Forbrug af biomasse'!$B$2:$B$425,$F73)</f>
        <v>0</v>
      </c>
      <c r="I73">
        <f>IF(F73="Vestdanmark",-IF(A73="Halm",SUMIFS(IF(E73=År1,'Resultater - Vestdanmark'!H$3:H$504,IF(E73=År2,'Resultater - Vestdanmark'!I$3:I$504,'Resultater - Vestdanmark'!J$3:J$504)),'Resultater - Vestdanmark'!$F$3:$F$504,$A73,'Resultater - Vestdanmark'!H$3:H$504,"&lt;0"),0),-IF(A73="Halm",SUMIFS(IF(E73=År1,'Resultater - Østdanmark'!H$3:H$504,IF(E73=År2,'Resultater - Østdanmark'!I$3:I$504,'Resultater - Østdanmark'!J$3:J$504)),'Resultater - Østdanmark'!$F$3:$F$504,$A73,'Resultater - Østdanmark'!H$3:H$504,"&lt;0"),0))</f>
        <v>0</v>
      </c>
      <c r="J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forbrug'!J$3,'Forbrug af biomasse'!$B$2:$B$425,$F73)</f>
        <v>123531.68309679118</v>
      </c>
      <c r="K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forbrug'!K$3,'Forbrug af biomasse'!$B$2:$B$425,$F73)</f>
        <v>0</v>
      </c>
      <c r="L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forbrug'!L$3,'Forbrug af biomasse'!$B$2:$B$425,$F73)</f>
        <v>0</v>
      </c>
      <c r="M73" s="94">
        <f>IF(A73&lt;&gt;"Biogas",SUMIFS('Forbrug af biomasse'!$E$2:$E$425,'Forbrug af biomasse'!$C$2:$C$425,'Resultat-Produktion &amp; forbrug'!$A73,'Forbrug af biomasse'!$D$2:$D$425,'Resultat-Produktion &amp; forbrug'!$E73,'Forbrug af biomasse'!$A$2:$A$425,'Resultat-Produktion &amp; forbrug'!M$3,'Forbrug af biomasse'!$B$2:$B$425,$F73),G73)</f>
        <v>0</v>
      </c>
      <c r="N73" s="94">
        <f>SUMIFS('Forbrug af biomasse'!E:E,'Forbrug af biomasse'!C:C,'Resultat-Produktion &amp; forbrug'!$A73,'Forbrug af biomasse'!D:D,'Resultat-Produktion &amp; forbrug'!$E73,'Forbrug af biomasse'!G:G,1,'Forbrug af biomasse'!B:B,$F73)</f>
        <v>0</v>
      </c>
      <c r="O73" s="179">
        <f t="shared" si="10"/>
        <v>2001542.6734547107</v>
      </c>
      <c r="P73" s="94">
        <f t="shared" si="22"/>
        <v>0</v>
      </c>
      <c r="Q73" s="180">
        <f t="shared" si="11"/>
        <v>0</v>
      </c>
      <c r="R73">
        <f>IFERROR(VLOOKUP(A73,[1]Energiindhold!$A$2:$C$11,3,FALSE),IFERROR(VLOOKUP(A73,[1]Biogasudbytte!$A$2:$B$18,2,FALSE)*[1]Energiindhold!$C$10,0))*P73</f>
        <v>0</v>
      </c>
      <c r="S73">
        <f>IF(A73&lt;&gt;"Biogas",IFERROR(VLOOKUP(A73,[1]Biogasudbytte!$A$2:$B$18,2,FALSE)*[1]Energiindhold!$C$10,0)*K73*IFERROR(VLOOKUP(A73,Biogasanlæg!$F$3:$G$8,2,FALSE),1)+IFERROR(VLOOKUP(A73,[1]Energiindhold!$A$2:$C$11,3,FALSE),0)*M73+IF(E73&lt;&gt;År1,R73,0),0)</f>
        <v>0</v>
      </c>
      <c r="T73">
        <f>IFERROR(VLOOKUP(A73,[1]Biogasudbytte!$A$2:$B$18,2,FALSE)*[1]Energiindhold!$C$10,0)*K73*IFERROR(VLOOKUP(A73,Biogasanlæg!$F$3:$G$8,2,FALSE),1)</f>
        <v>0</v>
      </c>
      <c r="U73" s="170">
        <f t="shared" si="12"/>
        <v>0</v>
      </c>
      <c r="V73" s="169">
        <f>P73*IFERROR(VLOOKUP(A73,[1]Tørstofindhold!A$2:B$24,2,FALSE),0)</f>
        <v>0</v>
      </c>
      <c r="W73">
        <f>IF(E73=År1,Q73,SUM(P73,Q73))*IFERROR(VLOOKUP(A73,[1]Tørstofindhold!A$2:B$24,2,FALSE),0)</f>
        <v>0</v>
      </c>
      <c r="X73">
        <f>K73*IFERROR(VLOOKUP(A73,[1]Tørstofindhold!A$2:B$24,2,FALSE),0)</f>
        <v>0</v>
      </c>
      <c r="Y73" s="170">
        <f t="shared" si="13"/>
        <v>0</v>
      </c>
      <c r="Z73">
        <f t="shared" ca="1" si="23"/>
        <v>0</v>
      </c>
      <c r="AA73">
        <f t="shared" ca="1" si="24"/>
        <v>1</v>
      </c>
      <c r="AB73" s="94">
        <f t="shared" si="25"/>
        <v>2125074.3565515019</v>
      </c>
      <c r="AC73">
        <f>AB73*D73*10000*VLOOKUP(A73,[1]kcal!$A$2:$C$49,3,FALSE)/1000000000000</f>
        <v>1.6575579981101713</v>
      </c>
    </row>
    <row r="74" spans="1:29" x14ac:dyDescent="0.25">
      <c r="A74" s="171" t="str">
        <f t="shared" si="18"/>
        <v>Korn</v>
      </c>
      <c r="B74" s="171" t="str">
        <f t="shared" si="19"/>
        <v>Halm og strå</v>
      </c>
      <c r="C74" s="171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1</v>
      </c>
      <c r="D74" s="171">
        <f t="shared" si="21"/>
        <v>1</v>
      </c>
      <c r="E74" s="171">
        <f t="shared" si="20"/>
        <v>2030</v>
      </c>
      <c r="F74" t="s">
        <v>23</v>
      </c>
      <c r="G74" s="94">
        <f>IF(F74="Vestdanmark",SUMIFS(IF(E74=År1,'Resultater - Vestdanmark'!H$3:H$504,IF(E74=År2,'Resultater - Vestdanmark'!I$3:I$504,'Resultater - Vestdanmark'!J$3:J$504)),'Resultater - Vestdanmark'!$F$3:$F$504,$A74,IF(E74=År1,'Resultater - Vestdanmark'!H$3:H$504,IF(E74=År2,'Resultater - Vestdanmark'!I$3:I$504,'Resultater - Vestdanmark'!J$3:J$504)),"&gt;0"),SUMIFS(IF(E74=År1,'Resultater - Østdanmark'!H$3:H$504,IF(E74=År2,'Resultater - Østdanmark'!I$3:I$504,'Resultater - Østdanmark'!J$3:J$504)),'Resultater - Østdanmark'!$F$3:$F$504,$A74,IF(E74=År1,'Resultater - Østdanmark'!H$3:H$504,IF(E74=År2,'Resultater - Østdanmark'!I$3:I$504,'Resultater - Østdanmark'!J$3:J$504)),"&gt;0"))</f>
        <v>6817251.4877199903</v>
      </c>
      <c r="H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forbrug'!H$3,'Forbrug af biomasse'!$B$2:$B$425,$F74)</f>
        <v>5734288.3153172266</v>
      </c>
      <c r="I74">
        <f>IF(F74="Vestdanmark",-IF(A74="Halm",SUMIFS(IF(E74=År1,'Resultater - Vestdanmark'!H$3:H$504,IF(E74=År2,'Resultater - Vestdanmark'!I$3:I$504,'Resultater - Vestdanmark'!J$3:J$504)),'Resultater - Vestdanmark'!$F$3:$F$504,$A74,'Resultater - Vestdanmark'!H$3:H$504,"&lt;0"),0),-IF(A74="Halm",SUMIFS(IF(E74=År1,'Resultater - Østdanmark'!H$3:H$504,IF(E74=År2,'Resultater - Østdanmark'!I$3:I$504,'Resultater - Østdanmark'!J$3:J$504)),'Resultater - Østdanmark'!$F$3:$F$504,$A74,'Resultater - Østdanmark'!H$3:H$504,"&lt;0"),0))</f>
        <v>0</v>
      </c>
      <c r="J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forbrug'!J$3,'Forbrug af biomasse'!$B$2:$B$425,$F74)</f>
        <v>295933.04302308214</v>
      </c>
      <c r="K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forbrug'!K$3,'Forbrug af biomasse'!$B$2:$B$425,$F74)</f>
        <v>0</v>
      </c>
      <c r="L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forbrug'!L$3,'Forbrug af biomasse'!$B$2:$B$425,$F74)</f>
        <v>0</v>
      </c>
      <c r="M74" s="94">
        <f>IF(A74&lt;&gt;"Biogas",SUMIFS('Forbrug af biomasse'!$E$2:$E$425,'Forbrug af biomasse'!$C$2:$C$425,'Resultat-Produktion &amp; forbrug'!$A74,'Forbrug af biomasse'!$D$2:$D$425,'Resultat-Produktion &amp; forbrug'!$E74,'Forbrug af biomasse'!$A$2:$A$425,'Resultat-Produktion &amp; forbrug'!M$3,'Forbrug af biomasse'!$B$2:$B$425,$F74),G74)</f>
        <v>0</v>
      </c>
      <c r="N74" s="94">
        <f>SUMIFS('Forbrug af biomasse'!E:E,'Forbrug af biomasse'!C:C,'Resultat-Produktion &amp; forbrug'!$A74,'Forbrug af biomasse'!D:D,'Resultat-Produktion &amp; forbrug'!$E74,'Forbrug af biomasse'!G:G,1,'Forbrug af biomasse'!B:B,$F74)</f>
        <v>0</v>
      </c>
      <c r="O74" s="179">
        <f t="shared" si="10"/>
        <v>787030.12937968131</v>
      </c>
      <c r="P74" s="94">
        <f t="shared" ca="1" si="22"/>
        <v>787030.12937968131</v>
      </c>
      <c r="Q74" s="180">
        <f t="shared" si="11"/>
        <v>0</v>
      </c>
      <c r="R74">
        <f ca="1">IFERROR(VLOOKUP(A74,[1]Energiindhold!$A$2:$C$11,3,FALSE),IFERROR(VLOOKUP(A74,[1]Biogasudbytte!$A$2:$B$18,2,FALSE)*[1]Energiindhold!$C$10,0))*P74</f>
        <v>2.6954680089072958</v>
      </c>
      <c r="S74">
        <f ca="1">IF(A74&lt;&gt;"Biogas",IFERROR(VLOOKUP(A74,[1]Biogasudbytte!$A$2:$B$18,2,FALSE)*[1]Energiindhold!$C$10,0)*K74*IFERROR(VLOOKUP(A74,Biogasanlæg!$F$3:$G$8,2,FALSE),1)+IFERROR(VLOOKUP(A74,[1]Energiindhold!$A$2:$C$11,3,FALSE),0)*M74+IF(E74&lt;&gt;År1,R74,0),0)</f>
        <v>2.6954680089072958</v>
      </c>
      <c r="T74">
        <f>IFERROR(VLOOKUP(A74,[1]Biogasudbytte!$A$2:$B$18,2,FALSE)*[1]Energiindhold!$C$10,0)*K74*IFERROR(VLOOKUP(A74,Biogasanlæg!$F$3:$G$8,2,FALSE),1)</f>
        <v>0</v>
      </c>
      <c r="U74" s="170">
        <f t="shared" ca="1" si="12"/>
        <v>2.6954680089072958</v>
      </c>
      <c r="V74" s="169">
        <f ca="1">P74*IFERROR(VLOOKUP(A74,[1]Tørstofindhold!A$2:B$24,2,FALSE),0)</f>
        <v>243979.34010770119</v>
      </c>
      <c r="W74">
        <f ca="1">IF(E74=År1,Q74,SUM(P74,Q74))*IFERROR(VLOOKUP(A74,[1]Tørstofindhold!A$2:B$24,2,FALSE),0)</f>
        <v>243979.34010770119</v>
      </c>
      <c r="X74">
        <f>K74*IFERROR(VLOOKUP(A74,[1]Tørstofindhold!A$2:B$24,2,FALSE),0)</f>
        <v>0</v>
      </c>
      <c r="Y74" s="170">
        <f t="shared" ca="1" si="13"/>
        <v>243979.34010770119</v>
      </c>
      <c r="Z74">
        <f t="shared" ca="1" si="23"/>
        <v>0</v>
      </c>
      <c r="AA74">
        <f t="shared" ca="1" si="24"/>
        <v>1</v>
      </c>
      <c r="AB74" s="94">
        <f t="shared" si="25"/>
        <v>1082963.1724027637</v>
      </c>
      <c r="AC74">
        <f>AB74*D74*10000*VLOOKUP(A74,[1]kcal!$A$2:$C$49,3,FALSE)/1000000000000</f>
        <v>3.9636452109941152</v>
      </c>
    </row>
    <row r="75" spans="1:29" x14ac:dyDescent="0.25">
      <c r="A75" s="171" t="str">
        <f t="shared" si="18"/>
        <v>Kunstgødning</v>
      </c>
      <c r="B75" s="171" t="str">
        <f t="shared" si="19"/>
        <v/>
      </c>
      <c r="C75" s="171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0</v>
      </c>
      <c r="D75" s="171">
        <f t="shared" si="21"/>
        <v>0</v>
      </c>
      <c r="E75" s="171">
        <f t="shared" si="20"/>
        <v>2030</v>
      </c>
      <c r="F75" t="s">
        <v>23</v>
      </c>
      <c r="G75" s="94">
        <f>IF(F75="Vestdanmark",SUMIFS(IF(E75=År1,'Resultater - Vestdanmark'!H$3:H$504,IF(E75=År2,'Resultater - Vestdanmark'!I$3:I$504,'Resultater - Vestdanmark'!J$3:J$504)),'Resultater - Vestdanmark'!$F$3:$F$504,$A75,IF(E75=År1,'Resultater - Vestdanmark'!H$3:H$504,IF(E75=År2,'Resultater - Vestdanmark'!I$3:I$504,'Resultater - Vestdanmark'!J$3:J$504)),"&gt;0"),SUMIFS(IF(E75=År1,'Resultater - Østdanmark'!H$3:H$504,IF(E75=År2,'Resultater - Østdanmark'!I$3:I$504,'Resultater - Østdanmark'!J$3:J$504)),'Resultater - Østdanmark'!$F$3:$F$504,$A75,IF(E75=År1,'Resultater - Østdanmark'!H$3:H$504,IF(E75=År2,'Resultater - Østdanmark'!I$3:I$504,'Resultater - Østdanmark'!J$3:J$504)),"&gt;0"))</f>
        <v>0</v>
      </c>
      <c r="H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forbrug'!H$3,'Forbrug af biomasse'!$B$2:$B$425,$F75)</f>
        <v>0</v>
      </c>
      <c r="I75">
        <f>IF(F75="Vestdanmark",-IF(A75="Halm",SUMIFS(IF(E75=År1,'Resultater - Vestdanmark'!H$3:H$504,IF(E75=År2,'Resultater - Vestdanmark'!I$3:I$504,'Resultater - Vestdanmark'!J$3:J$504)),'Resultater - Vestdanmark'!$F$3:$F$504,$A75,'Resultater - Vestdanmark'!H$3:H$504,"&lt;0"),0),-IF(A75="Halm",SUMIFS(IF(E75=År1,'Resultater - Østdanmark'!H$3:H$504,IF(E75=År2,'Resultater - Østdanmark'!I$3:I$504,'Resultater - Østdanmark'!J$3:J$504)),'Resultater - Østdanmark'!$F$3:$F$504,$A75,'Resultater - Østdanmark'!H$3:H$504,"&lt;0"),0))</f>
        <v>0</v>
      </c>
      <c r="J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forbrug'!J$3,'Forbrug af biomasse'!$B$2:$B$425,$F75)</f>
        <v>0</v>
      </c>
      <c r="K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forbrug'!K$3,'Forbrug af biomasse'!$B$2:$B$425,$F75)</f>
        <v>0</v>
      </c>
      <c r="L75" s="94">
        <f ca="1">SUMIFS('Forbrug af biomasse'!$E$2:$E$425,'Forbrug af biomasse'!$C$2:$C$425,'Resultat-Produktion &amp; forbrug'!$A75,'Forbrug af biomasse'!$D$2:$D$425,'Resultat-Produktion &amp; forbrug'!$E75,'Forbrug af biomasse'!$A$2:$A$425,'Resultat-Produktion &amp; forbrug'!L$3,'Forbrug af biomasse'!$B$2:$B$425,$F75)</f>
        <v>542235.86553828907</v>
      </c>
      <c r="M75" s="94">
        <f>IF(A75&lt;&gt;"Biogas",SUMIFS('Forbrug af biomasse'!$E$2:$E$425,'Forbrug af biomasse'!$C$2:$C$425,'Resultat-Produktion &amp; forbrug'!$A75,'Forbrug af biomasse'!$D$2:$D$425,'Resultat-Produktion &amp; forbrug'!$E75,'Forbrug af biomasse'!$A$2:$A$425,'Resultat-Produktion &amp; forbrug'!M$3,'Forbrug af biomasse'!$B$2:$B$425,$F75),G75)</f>
        <v>0</v>
      </c>
      <c r="N75" s="94">
        <f>SUMIFS('Forbrug af biomasse'!E:E,'Forbrug af biomasse'!C:C,'Resultat-Produktion &amp; forbrug'!$A75,'Forbrug af biomasse'!D:D,'Resultat-Produktion &amp; forbrug'!$E75,'Forbrug af biomasse'!G:G,1,'Forbrug af biomasse'!B:B,$F75)</f>
        <v>0</v>
      </c>
      <c r="O75" s="179">
        <f t="shared" ca="1" si="10"/>
        <v>-542235.86553828907</v>
      </c>
      <c r="P75" s="94">
        <f t="shared" si="22"/>
        <v>0</v>
      </c>
      <c r="Q75" s="180">
        <f t="shared" si="11"/>
        <v>0</v>
      </c>
      <c r="R75">
        <f>IFERROR(VLOOKUP(A75,[1]Energiindhold!$A$2:$C$11,3,FALSE),IFERROR(VLOOKUP(A75,[1]Biogasudbytte!$A$2:$B$18,2,FALSE)*[1]Energiindhold!$C$10,0))*P75</f>
        <v>0</v>
      </c>
      <c r="S75">
        <f>IF(A75&lt;&gt;"Biogas",IFERROR(VLOOKUP(A75,[1]Biogasudbytte!$A$2:$B$18,2,FALSE)*[1]Energiindhold!$C$10,0)*K75*IFERROR(VLOOKUP(A75,Biogasanlæg!$F$3:$G$8,2,FALSE),1)+IFERROR(VLOOKUP(A75,[1]Energiindhold!$A$2:$C$11,3,FALSE),0)*M75+IF(E75&lt;&gt;År1,R75,0),0)</f>
        <v>0</v>
      </c>
      <c r="T75">
        <f>IFERROR(VLOOKUP(A75,[1]Biogasudbytte!$A$2:$B$18,2,FALSE)*[1]Energiindhold!$C$10,0)*K75*IFERROR(VLOOKUP(A75,Biogasanlæg!$F$3:$G$8,2,FALSE),1)</f>
        <v>0</v>
      </c>
      <c r="U75" s="170">
        <f t="shared" si="12"/>
        <v>0</v>
      </c>
      <c r="V75" s="169">
        <f>P75*IFERROR(VLOOKUP(A75,[1]Tørstofindhold!A$2:B$24,2,FALSE),0)</f>
        <v>0</v>
      </c>
      <c r="W75">
        <f>IF(E75=År1,Q75,SUM(P75,Q75))*IFERROR(VLOOKUP(A75,[1]Tørstofindhold!A$2:B$24,2,FALSE),0)</f>
        <v>0</v>
      </c>
      <c r="X75">
        <f>K75*IFERROR(VLOOKUP(A75,[1]Tørstofindhold!A$2:B$24,2,FALSE),0)</f>
        <v>0</v>
      </c>
      <c r="Y75" s="170">
        <f t="shared" si="13"/>
        <v>0</v>
      </c>
      <c r="Z75">
        <f t="shared" ca="1" si="23"/>
        <v>1</v>
      </c>
      <c r="AA75">
        <f t="shared" ca="1" si="24"/>
        <v>0</v>
      </c>
      <c r="AB75" s="94">
        <f t="shared" ca="1" si="25"/>
        <v>-542235.86553828907</v>
      </c>
      <c r="AC75">
        <f ca="1">AB75*D75*10000*VLOOKUP(A75,[1]kcal!$A$2:$C$49,3,FALSE)/1000000000000</f>
        <v>0</v>
      </c>
    </row>
    <row r="76" spans="1:29" x14ac:dyDescent="0.25">
      <c r="A76" s="171" t="str">
        <f t="shared" si="18"/>
        <v>Kvæggylle</v>
      </c>
      <c r="B76" s="171" t="str">
        <f t="shared" si="19"/>
        <v>Husdyrgødning</v>
      </c>
      <c r="C76" s="171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1</v>
      </c>
      <c r="D76" s="171">
        <f t="shared" si="21"/>
        <v>0</v>
      </c>
      <c r="E76" s="171">
        <f t="shared" si="20"/>
        <v>2030</v>
      </c>
      <c r="F76" t="s">
        <v>23</v>
      </c>
      <c r="G76" s="94">
        <f>IF(F76="Vestdanmark",SUMIFS(IF(E76=År1,'Resultater - Vestdanmark'!H$3:H$504,IF(E76=År2,'Resultater - Vestdanmark'!I$3:I$504,'Resultater - Vestdanmark'!J$3:J$504)),'Resultater - Vestdanmark'!$F$3:$F$504,$A76,IF(E76=År1,'Resultater - Vestdanmark'!H$3:H$504,IF(E76=År2,'Resultater - Vestdanmark'!I$3:I$504,'Resultater - Vestdanmark'!J$3:J$504)),"&gt;0"),SUMIFS(IF(E76=År1,'Resultater - Østdanmark'!H$3:H$504,IF(E76=År2,'Resultater - Østdanmark'!I$3:I$504,'Resultater - Østdanmark'!J$3:J$504)),'Resultater - Østdanmark'!$F$3:$F$504,$A76,IF(E76=År1,'Resultater - Østdanmark'!H$3:H$504,IF(E76=År2,'Resultater - Østdanmark'!I$3:I$504,'Resultater - Østdanmark'!J$3:J$504)),"&gt;0"))</f>
        <v>12983496.711335782</v>
      </c>
      <c r="H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forbrug'!H$3,'Forbrug af biomasse'!$B$2:$B$425,$F76)</f>
        <v>0</v>
      </c>
      <c r="I76">
        <f>IF(F76="Vestdanmark",-IF(A76="Halm",SUMIFS(IF(E76=År1,'Resultater - Vestdanmark'!H$3:H$504,IF(E76=År2,'Resultater - Vestdanmark'!I$3:I$504,'Resultater - Vestdanmark'!J$3:J$504)),'Resultater - Vestdanmark'!$F$3:$F$504,$A76,'Resultater - Vestdanmark'!H$3:H$504,"&lt;0"),0),-IF(A76="Halm",SUMIFS(IF(E76=År1,'Resultater - Østdanmark'!H$3:H$504,IF(E76=År2,'Resultater - Østdanmark'!I$3:I$504,'Resultater - Østdanmark'!J$3:J$504)),'Resultater - Østdanmark'!$F$3:$F$504,$A76,'Resultater - Østdanmark'!H$3:H$504,"&lt;0"),0))</f>
        <v>0</v>
      </c>
      <c r="J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forbrug'!J$3,'Forbrug af biomasse'!$B$2:$B$425,$F76)</f>
        <v>0</v>
      </c>
      <c r="K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forbrug'!K$3,'Forbrug af biomasse'!$B$2:$B$425,$F76)</f>
        <v>9737622.5335018374</v>
      </c>
      <c r="L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forbrug'!L$3,'Forbrug af biomasse'!$B$2:$B$425,$F76)</f>
        <v>3245874.1778339455</v>
      </c>
      <c r="M76" s="94">
        <f>IF(A76&lt;&gt;"Biogas",SUMIFS('Forbrug af biomasse'!$E$2:$E$425,'Forbrug af biomasse'!$C$2:$C$425,'Resultat-Produktion &amp; forbrug'!$A76,'Forbrug af biomasse'!$D$2:$D$425,'Resultat-Produktion &amp; forbrug'!$E76,'Forbrug af biomasse'!$A$2:$A$425,'Resultat-Produktion &amp; forbrug'!M$3,'Forbrug af biomasse'!$B$2:$B$425,$F76),G76)</f>
        <v>0</v>
      </c>
      <c r="N76" s="94">
        <f>SUMIFS('Forbrug af biomasse'!E:E,'Forbrug af biomasse'!C:C,'Resultat-Produktion &amp; forbrug'!$A76,'Forbrug af biomasse'!D:D,'Resultat-Produktion &amp; forbrug'!$E76,'Forbrug af biomasse'!G:G,1,'Forbrug af biomasse'!B:B,$F76)</f>
        <v>0</v>
      </c>
      <c r="O76" s="179">
        <f t="shared" si="10"/>
        <v>0</v>
      </c>
      <c r="P76" s="94">
        <f t="shared" ca="1" si="22"/>
        <v>0</v>
      </c>
      <c r="Q76" s="180">
        <f t="shared" si="11"/>
        <v>9737622.5335018374</v>
      </c>
      <c r="R76">
        <f ca="1">IFERROR(VLOOKUP(A76,[1]Energiindhold!$A$2:$C$11,3,FALSE),IFERROR(VLOOKUP(A76,[1]Biogasudbytte!$A$2:$B$18,2,FALSE)*[1]Energiindhold!$C$10,0))*P76</f>
        <v>0</v>
      </c>
      <c r="S76">
        <f ca="1">IF(A76&lt;&gt;"Biogas",IFERROR(VLOOKUP(A76,[1]Biogasudbytte!$A$2:$B$18,2,FALSE)*[1]Energiindhold!$C$10,0)*K76*IFERROR(VLOOKUP(A76,Biogasanlæg!$F$3:$G$8,2,FALSE),1)+IFERROR(VLOOKUP(A76,[1]Energiindhold!$A$2:$C$11,3,FALSE),0)*M76+IF(E76&lt;&gt;År1,R76,0),0)</f>
        <v>4.929087150233296</v>
      </c>
      <c r="T76">
        <f>IFERROR(VLOOKUP(A76,[1]Biogasudbytte!$A$2:$B$18,2,FALSE)*[1]Energiindhold!$C$10,0)*K76*IFERROR(VLOOKUP(A76,Biogasanlæg!$F$3:$G$8,2,FALSE),1)</f>
        <v>4.929087150233296</v>
      </c>
      <c r="U76" s="170">
        <f t="shared" ca="1" si="12"/>
        <v>0</v>
      </c>
      <c r="V76" s="169">
        <f ca="1">P76*IFERROR(VLOOKUP(A76,[1]Tørstofindhold!A$2:B$24,2,FALSE),0)</f>
        <v>0</v>
      </c>
      <c r="W76">
        <f ca="1">IF(E76=År1,Q76,SUM(P76,Q76))*IFERROR(VLOOKUP(A76,[1]Tørstofindhold!A$2:B$24,2,FALSE),0)</f>
        <v>740059.31254613958</v>
      </c>
      <c r="X76">
        <f>K76*IFERROR(VLOOKUP(A76,[1]Tørstofindhold!A$2:B$24,2,FALSE),0)</f>
        <v>740059.31254613958</v>
      </c>
      <c r="Y76" s="170">
        <f t="shared" ca="1" si="13"/>
        <v>0</v>
      </c>
      <c r="Z76">
        <f t="shared" ca="1" si="23"/>
        <v>0</v>
      </c>
      <c r="AA76">
        <f t="shared" ca="1" si="24"/>
        <v>0</v>
      </c>
      <c r="AB76" s="94">
        <f t="shared" si="25"/>
        <v>0</v>
      </c>
      <c r="AC76">
        <f>AB76*D76*10000*VLOOKUP(A76,[1]kcal!$A$2:$C$49,3,FALSE)/1000000000000</f>
        <v>0</v>
      </c>
    </row>
    <row r="77" spans="1:29" x14ac:dyDescent="0.25">
      <c r="A77" s="171" t="str">
        <f t="shared" si="18"/>
        <v>Mælk til foder</v>
      </c>
      <c r="B77" s="171" t="str">
        <f t="shared" si="19"/>
        <v/>
      </c>
      <c r="C77" s="171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0</v>
      </c>
      <c r="D77" s="171">
        <f t="shared" si="21"/>
        <v>0</v>
      </c>
      <c r="E77" s="171">
        <f t="shared" si="20"/>
        <v>2030</v>
      </c>
      <c r="F77" t="s">
        <v>23</v>
      </c>
      <c r="G77" s="94">
        <f>IF(F77="Vestdanmark",SUMIFS(IF(E77=År1,'Resultater - Vestdanmark'!H$3:H$504,IF(E77=År2,'Resultater - Vestdanmark'!I$3:I$504,'Resultater - Vestdanmark'!J$3:J$504)),'Resultater - Vestdanmark'!$F$3:$F$504,$A77,IF(E77=År1,'Resultater - Vestdanmark'!H$3:H$504,IF(E77=År2,'Resultater - Vestdanmark'!I$3:I$504,'Resultater - Vestdanmark'!J$3:J$504)),"&gt;0"),SUMIFS(IF(E77=År1,'Resultater - Østdanmark'!H$3:H$504,IF(E77=År2,'Resultater - Østdanmark'!I$3:I$504,'Resultater - Østdanmark'!J$3:J$504)),'Resultater - Østdanmark'!$F$3:$F$504,$A77,IF(E77=År1,'Resultater - Østdanmark'!H$3:H$504,IF(E77=År2,'Resultater - Østdanmark'!I$3:I$504,'Resultater - Østdanmark'!J$3:J$504)),"&gt;0"))</f>
        <v>1620993.8653666629</v>
      </c>
      <c r="H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forbrug'!H$3,'Forbrug af biomasse'!$B$2:$B$425,$F77)</f>
        <v>1478350.7282518283</v>
      </c>
      <c r="I77">
        <f>IF(F77="Vestdanmark",-IF(A77="Halm",SUMIFS(IF(E77=År1,'Resultater - Vestdanmark'!H$3:H$504,IF(E77=År2,'Resultater - Vestdanmark'!I$3:I$504,'Resultater - Vestdanmark'!J$3:J$504)),'Resultater - Vestdanmark'!$F$3:$F$504,$A77,'Resultater - Vestdanmark'!H$3:H$504,"&lt;0"),0),-IF(A77="Halm",SUMIFS(IF(E77=År1,'Resultater - Østdanmark'!H$3:H$504,IF(E77=År2,'Resultater - Østdanmark'!I$3:I$504,'Resultater - Østdanmark'!J$3:J$504)),'Resultater - Østdanmark'!$F$3:$F$504,$A77,'Resultater - Østdanmark'!H$3:H$504,"&lt;0"),0))</f>
        <v>0</v>
      </c>
      <c r="J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forbrug'!J$3,'Forbrug af biomasse'!$B$2:$B$425,$F77)</f>
        <v>0</v>
      </c>
      <c r="K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forbrug'!K$3,'Forbrug af biomasse'!$B$2:$B$425,$F77)</f>
        <v>0</v>
      </c>
      <c r="L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forbrug'!L$3,'Forbrug af biomasse'!$B$2:$B$425,$F77)</f>
        <v>0</v>
      </c>
      <c r="M77" s="94">
        <f>IF(A77&lt;&gt;"Biogas",SUMIFS('Forbrug af biomasse'!$E$2:$E$425,'Forbrug af biomasse'!$C$2:$C$425,'Resultat-Produktion &amp; forbrug'!$A77,'Forbrug af biomasse'!$D$2:$D$425,'Resultat-Produktion &amp; forbrug'!$E77,'Forbrug af biomasse'!$A$2:$A$425,'Resultat-Produktion &amp; forbrug'!M$3,'Forbrug af biomasse'!$B$2:$B$425,$F77),G77)</f>
        <v>0</v>
      </c>
      <c r="N77" s="94">
        <f>SUMIFS('Forbrug af biomasse'!E:E,'Forbrug af biomasse'!C:C,'Resultat-Produktion &amp; forbrug'!$A77,'Forbrug af biomasse'!D:D,'Resultat-Produktion &amp; forbrug'!$E77,'Forbrug af biomasse'!G:G,1,'Forbrug af biomasse'!B:B,$F77)</f>
        <v>0</v>
      </c>
      <c r="O77" s="179">
        <f t="shared" si="10"/>
        <v>142643.13711483451</v>
      </c>
      <c r="P77" s="94">
        <f t="shared" si="22"/>
        <v>0</v>
      </c>
      <c r="Q77" s="180">
        <f t="shared" si="11"/>
        <v>0</v>
      </c>
      <c r="R77">
        <f>IFERROR(VLOOKUP(A77,[1]Energiindhold!$A$2:$C$11,3,FALSE),IFERROR(VLOOKUP(A77,[1]Biogasudbytte!$A$2:$B$18,2,FALSE)*[1]Energiindhold!$C$10,0))*P77</f>
        <v>0</v>
      </c>
      <c r="S77">
        <f>IF(A77&lt;&gt;"Biogas",IFERROR(VLOOKUP(A77,[1]Biogasudbytte!$A$2:$B$18,2,FALSE)*[1]Energiindhold!$C$10,0)*K77*IFERROR(VLOOKUP(A77,Biogasanlæg!$F$3:$G$8,2,FALSE),1)+IFERROR(VLOOKUP(A77,[1]Energiindhold!$A$2:$C$11,3,FALSE),0)*M77+IF(E77&lt;&gt;År1,R77,0),0)</f>
        <v>0</v>
      </c>
      <c r="T77">
        <f>IFERROR(VLOOKUP(A77,[1]Biogasudbytte!$A$2:$B$18,2,FALSE)*[1]Energiindhold!$C$10,0)*K77*IFERROR(VLOOKUP(A77,Biogasanlæg!$F$3:$G$8,2,FALSE),1)</f>
        <v>0</v>
      </c>
      <c r="U77" s="170">
        <f t="shared" si="12"/>
        <v>0</v>
      </c>
      <c r="V77" s="169">
        <f>P77*IFERROR(VLOOKUP(A77,[1]Tørstofindhold!A$2:B$24,2,FALSE),0)</f>
        <v>0</v>
      </c>
      <c r="W77">
        <f>IF(E77=År1,Q77,SUM(P77,Q77))*IFERROR(VLOOKUP(A77,[1]Tørstofindhold!A$2:B$24,2,FALSE),0)</f>
        <v>0</v>
      </c>
      <c r="X77">
        <f>K77*IFERROR(VLOOKUP(A77,[1]Tørstofindhold!A$2:B$24,2,FALSE),0)</f>
        <v>0</v>
      </c>
      <c r="Y77" s="170">
        <f t="shared" si="13"/>
        <v>0</v>
      </c>
      <c r="Z77">
        <f t="shared" ca="1" si="23"/>
        <v>0</v>
      </c>
      <c r="AA77">
        <f t="shared" ca="1" si="24"/>
        <v>1</v>
      </c>
      <c r="AB77" s="94">
        <f t="shared" si="25"/>
        <v>142643.13711483451</v>
      </c>
      <c r="AC77">
        <f>AB77*D77*10000*VLOOKUP(A77,[1]kcal!$A$2:$C$49,3,FALSE)/1000000000000</f>
        <v>0</v>
      </c>
    </row>
    <row r="78" spans="1:29" x14ac:dyDescent="0.25">
      <c r="A78" s="171" t="str">
        <f t="shared" si="18"/>
        <v>Majs</v>
      </c>
      <c r="B78" s="171" t="str">
        <f t="shared" si="19"/>
        <v>Græs og urter</v>
      </c>
      <c r="C78" s="171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1</v>
      </c>
      <c r="D78" s="171">
        <f t="shared" si="21"/>
        <v>1</v>
      </c>
      <c r="E78" s="171">
        <f t="shared" si="20"/>
        <v>2030</v>
      </c>
      <c r="F78" t="s">
        <v>23</v>
      </c>
      <c r="G78" s="94">
        <f>IF(F78="Vestdanmark",SUMIFS(IF(E78=År1,'Resultater - Vestdanmark'!H$3:H$504,IF(E78=År2,'Resultater - Vestdanmark'!I$3:I$504,'Resultater - Vestdanmark'!J$3:J$504)),'Resultater - Vestdanmark'!$F$3:$F$504,$A78,IF(E78=År1,'Resultater - Vestdanmark'!H$3:H$504,IF(E78=År2,'Resultater - Vestdanmark'!I$3:I$504,'Resultater - Vestdanmark'!J$3:J$504)),"&gt;0"),SUMIFS(IF(E78=År1,'Resultater - Østdanmark'!H$3:H$504,IF(E78=År2,'Resultater - Østdanmark'!I$3:I$504,'Resultater - Østdanmark'!J$3:J$504)),'Resultater - Østdanmark'!$F$3:$F$504,$A78,IF(E78=År1,'Resultater - Østdanmark'!H$3:H$504,IF(E78=År2,'Resultater - Østdanmark'!I$3:I$504,'Resultater - Østdanmark'!J$3:J$504)),"&gt;0"))</f>
        <v>7594626.6483157035</v>
      </c>
      <c r="H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forbrug'!H$3,'Forbrug af biomasse'!$B$2:$B$425,$F78)</f>
        <v>5517603.3385994658</v>
      </c>
      <c r="I78">
        <f>IF(F78="Vestdanmark",-IF(A78="Halm",SUMIFS(IF(E78=År1,'Resultater - Vestdanmark'!H$3:H$504,IF(E78=År2,'Resultater - Vestdanmark'!I$3:I$504,'Resultater - Vestdanmark'!J$3:J$504)),'Resultater - Vestdanmark'!$F$3:$F$504,$A78,'Resultater - Vestdanmark'!H$3:H$504,"&lt;0"),0),-IF(A78="Halm",SUMIFS(IF(E78=År1,'Resultater - Østdanmark'!H$3:H$504,IF(E78=År2,'Resultater - Østdanmark'!I$3:I$504,'Resultater - Østdanmark'!J$3:J$504)),'Resultater - Østdanmark'!$F$3:$F$504,$A78,'Resultater - Østdanmark'!H$3:H$504,"&lt;0"),0))</f>
        <v>0</v>
      </c>
      <c r="J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forbrug'!J$3,'Forbrug af biomasse'!$B$2:$B$425,$F78)</f>
        <v>0</v>
      </c>
      <c r="K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forbrug'!K$3,'Forbrug af biomasse'!$B$2:$B$425,$F78)</f>
        <v>0</v>
      </c>
      <c r="L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forbrug'!L$3,'Forbrug af biomasse'!$B$2:$B$425,$F78)</f>
        <v>0</v>
      </c>
      <c r="M78" s="94">
        <f>IF(A78&lt;&gt;"Biogas",SUMIFS('Forbrug af biomasse'!$E$2:$E$425,'Forbrug af biomasse'!$C$2:$C$425,'Resultat-Produktion &amp; forbrug'!$A78,'Forbrug af biomasse'!$D$2:$D$425,'Resultat-Produktion &amp; forbrug'!$E78,'Forbrug af biomasse'!$A$2:$A$425,'Resultat-Produktion &amp; forbrug'!M$3,'Forbrug af biomasse'!$B$2:$B$425,$F78),G78)</f>
        <v>0</v>
      </c>
      <c r="N78" s="94">
        <f>SUMIFS('Forbrug af biomasse'!E:E,'Forbrug af biomasse'!C:C,'Resultat-Produktion &amp; forbrug'!$A78,'Forbrug af biomasse'!D:D,'Resultat-Produktion &amp; forbrug'!$E78,'Forbrug af biomasse'!G:G,1,'Forbrug af biomasse'!B:B,$F78)</f>
        <v>0</v>
      </c>
      <c r="O78" s="179">
        <f t="shared" si="10"/>
        <v>2077023.3097162377</v>
      </c>
      <c r="P78" s="94">
        <f t="shared" ca="1" si="22"/>
        <v>1779514.2608325717</v>
      </c>
      <c r="Q78" s="180">
        <f t="shared" si="11"/>
        <v>0</v>
      </c>
      <c r="R78">
        <f ca="1">IFERROR(VLOOKUP(A78,[1]Energiindhold!$A$2:$C$11,3,FALSE),IFERROR(VLOOKUP(A78,[1]Biogasudbytte!$A$2:$B$18,2,FALSE)*[1]Energiindhold!$C$10,0))*P78</f>
        <v>6.3884561963889333</v>
      </c>
      <c r="S78">
        <f ca="1">IF(A78&lt;&gt;"Biogas",IFERROR(VLOOKUP(A78,[1]Biogasudbytte!$A$2:$B$18,2,FALSE)*[1]Energiindhold!$C$10,0)*K78*IFERROR(VLOOKUP(A78,Biogasanlæg!$F$3:$G$8,2,FALSE),1)+IFERROR(VLOOKUP(A78,[1]Energiindhold!$A$2:$C$11,3,FALSE),0)*M78+IF(E78&lt;&gt;År1,R78,0),0)</f>
        <v>6.3884561963889333</v>
      </c>
      <c r="T78">
        <f>IFERROR(VLOOKUP(A78,[1]Biogasudbytte!$A$2:$B$18,2,FALSE)*[1]Energiindhold!$C$10,0)*K78*IFERROR(VLOOKUP(A78,Biogasanlæg!$F$3:$G$8,2,FALSE),1)</f>
        <v>0</v>
      </c>
      <c r="U78" s="170">
        <f t="shared" ca="1" si="12"/>
        <v>6.3884561963889333</v>
      </c>
      <c r="V78" s="169">
        <f ca="1">P78*IFERROR(VLOOKUP(A78,[1]Tørstofindhold!A$2:B$24,2,FALSE),0)</f>
        <v>533854.27824977145</v>
      </c>
      <c r="W78">
        <f ca="1">IF(E78=År1,Q78,SUM(P78,Q78))*IFERROR(VLOOKUP(A78,[1]Tørstofindhold!A$2:B$24,2,FALSE),0)</f>
        <v>533854.27824977145</v>
      </c>
      <c r="X78">
        <f>K78*IFERROR(VLOOKUP(A78,[1]Tørstofindhold!A$2:B$24,2,FALSE),0)</f>
        <v>0</v>
      </c>
      <c r="Y78" s="170">
        <f t="shared" ca="1" si="13"/>
        <v>533854.27824977145</v>
      </c>
      <c r="Z78">
        <f t="shared" ca="1" si="23"/>
        <v>0</v>
      </c>
      <c r="AA78">
        <f t="shared" ca="1" si="24"/>
        <v>1</v>
      </c>
      <c r="AB78" s="94">
        <f t="shared" si="25"/>
        <v>2077023.3097162377</v>
      </c>
      <c r="AC78">
        <f>AB78*D78*10000*VLOOKUP(A78,[1]kcal!$A$2:$C$49,3,FALSE)/1000000000000</f>
        <v>1.8900912118417763</v>
      </c>
    </row>
    <row r="79" spans="1:29" x14ac:dyDescent="0.25">
      <c r="A79" s="171" t="str">
        <f t="shared" si="18"/>
        <v>Mejeriprodukter</v>
      </c>
      <c r="B79" s="171" t="str">
        <f t="shared" si="19"/>
        <v/>
      </c>
      <c r="C79" s="171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0</v>
      </c>
      <c r="D79" s="171">
        <f t="shared" si="21"/>
        <v>1</v>
      </c>
      <c r="E79" s="171">
        <f t="shared" si="20"/>
        <v>2030</v>
      </c>
      <c r="F79" t="s">
        <v>23</v>
      </c>
      <c r="G79" s="94">
        <f>IF(F79="Vestdanmark",SUMIFS(IF(E79=År1,'Resultater - Vestdanmark'!H$3:H$504,IF(E79=År2,'Resultater - Vestdanmark'!I$3:I$504,'Resultater - Vestdanmark'!J$3:J$504)),'Resultater - Vestdanmark'!$F$3:$F$504,$A79,IF(E79=År1,'Resultater - Vestdanmark'!H$3:H$504,IF(E79=År2,'Resultater - Vestdanmark'!I$3:I$504,'Resultater - Vestdanmark'!J$3:J$504)),"&gt;0"),SUMIFS(IF(E79=År1,'Resultater - Østdanmark'!H$3:H$504,IF(E79=År2,'Resultater - Østdanmark'!I$3:I$504,'Resultater - Østdanmark'!J$3:J$504)),'Resultater - Østdanmark'!$F$3:$F$504,$A79,IF(E79=År1,'Resultater - Østdanmark'!H$3:H$504,IF(E79=År2,'Resultater - Østdanmark'!I$3:I$504,'Resultater - Østdanmark'!J$3:J$504)),"&gt;0"))</f>
        <v>3127676.8816170068</v>
      </c>
      <c r="H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forbrug'!H$3,'Forbrug af biomasse'!$B$2:$B$425,$F79)</f>
        <v>0</v>
      </c>
      <c r="I79">
        <f>IF(F79="Vestdanmark",-IF(A79="Halm",SUMIFS(IF(E79=År1,'Resultater - Vestdanmark'!H$3:H$504,IF(E79=År2,'Resultater - Vestdanmark'!I$3:I$504,'Resultater - Vestdanmark'!J$3:J$504)),'Resultater - Vestdanmark'!$F$3:$F$504,$A79,'Resultater - Vestdanmark'!H$3:H$504,"&lt;0"),0),-IF(A79="Halm",SUMIFS(IF(E79=År1,'Resultater - Østdanmark'!H$3:H$504,IF(E79=År2,'Resultater - Østdanmark'!I$3:I$504,'Resultater - Østdanmark'!J$3:J$504)),'Resultater - Østdanmark'!$F$3:$F$504,$A79,'Resultater - Østdanmark'!H$3:H$504,"&lt;0"),0))</f>
        <v>0</v>
      </c>
      <c r="J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forbrug'!J$3,'Forbrug af biomasse'!$B$2:$B$425,$F79)</f>
        <v>472406.87601849809</v>
      </c>
      <c r="K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forbrug'!K$3,'Forbrug af biomasse'!$B$2:$B$425,$F79)</f>
        <v>0</v>
      </c>
      <c r="L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forbrug'!L$3,'Forbrug af biomasse'!$B$2:$B$425,$F79)</f>
        <v>0</v>
      </c>
      <c r="M79" s="94">
        <f>IF(A79&lt;&gt;"Biogas",SUMIFS('Forbrug af biomasse'!$E$2:$E$425,'Forbrug af biomasse'!$C$2:$C$425,'Resultat-Produktion &amp; forbrug'!$A79,'Forbrug af biomasse'!$D$2:$D$425,'Resultat-Produktion &amp; forbrug'!$E79,'Forbrug af biomasse'!$A$2:$A$425,'Resultat-Produktion &amp; forbrug'!M$3,'Forbrug af biomasse'!$B$2:$B$425,$F79),G79)</f>
        <v>0</v>
      </c>
      <c r="N79" s="94">
        <f>SUMIFS('Forbrug af biomasse'!E:E,'Forbrug af biomasse'!C:C,'Resultat-Produktion &amp; forbrug'!$A79,'Forbrug af biomasse'!D:D,'Resultat-Produktion &amp; forbrug'!$E79,'Forbrug af biomasse'!G:G,1,'Forbrug af biomasse'!B:B,$F79)</f>
        <v>0</v>
      </c>
      <c r="O79" s="179">
        <f t="shared" si="10"/>
        <v>2655270.0055985088</v>
      </c>
      <c r="P79" s="94">
        <f t="shared" si="22"/>
        <v>0</v>
      </c>
      <c r="Q79" s="180">
        <f t="shared" si="11"/>
        <v>0</v>
      </c>
      <c r="R79">
        <f>IFERROR(VLOOKUP(A79,[1]Energiindhold!$A$2:$C$11,3,FALSE),IFERROR(VLOOKUP(A79,[1]Biogasudbytte!$A$2:$B$18,2,FALSE)*[1]Energiindhold!$C$10,0))*P79</f>
        <v>0</v>
      </c>
      <c r="S79">
        <f>IF(A79&lt;&gt;"Biogas",IFERROR(VLOOKUP(A79,[1]Biogasudbytte!$A$2:$B$18,2,FALSE)*[1]Energiindhold!$C$10,0)*K79*IFERROR(VLOOKUP(A79,Biogasanlæg!$F$3:$G$8,2,FALSE),1)+IFERROR(VLOOKUP(A79,[1]Energiindhold!$A$2:$C$11,3,FALSE),0)*M79+IF(E79&lt;&gt;År1,R79,0),0)</f>
        <v>0</v>
      </c>
      <c r="T79">
        <f>IFERROR(VLOOKUP(A79,[1]Biogasudbytte!$A$2:$B$18,2,FALSE)*[1]Energiindhold!$C$10,0)*K79*IFERROR(VLOOKUP(A79,Biogasanlæg!$F$3:$G$8,2,FALSE),1)</f>
        <v>0</v>
      </c>
      <c r="U79" s="170">
        <f t="shared" si="12"/>
        <v>0</v>
      </c>
      <c r="V79" s="169">
        <f>P79*IFERROR(VLOOKUP(A79,[1]Tørstofindhold!A$2:B$24,2,FALSE),0)</f>
        <v>0</v>
      </c>
      <c r="W79">
        <f>IF(E79=År1,Q79,SUM(P79,Q79))*IFERROR(VLOOKUP(A79,[1]Tørstofindhold!A$2:B$24,2,FALSE),0)</f>
        <v>0</v>
      </c>
      <c r="X79">
        <f>K79*IFERROR(VLOOKUP(A79,[1]Tørstofindhold!A$2:B$24,2,FALSE),0)</f>
        <v>0</v>
      </c>
      <c r="Y79" s="170">
        <f t="shared" si="13"/>
        <v>0</v>
      </c>
      <c r="Z79">
        <f t="shared" ca="1" si="23"/>
        <v>0</v>
      </c>
      <c r="AA79">
        <f t="shared" ca="1" si="24"/>
        <v>1</v>
      </c>
      <c r="AB79" s="94">
        <f t="shared" si="25"/>
        <v>3127676.8816170068</v>
      </c>
      <c r="AC79">
        <f>AB79*D79*10000*VLOOKUP(A79,[1]kcal!$A$2:$C$49,3,FALSE)/1000000000000</f>
        <v>1.970436435418714</v>
      </c>
    </row>
    <row r="80" spans="1:29" x14ac:dyDescent="0.25">
      <c r="A80" s="171" t="str">
        <f t="shared" si="18"/>
        <v>Muslinger</v>
      </c>
      <c r="B80" s="171" t="str">
        <f t="shared" si="19"/>
        <v>Havbiomasse</v>
      </c>
      <c r="C80" s="171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1</v>
      </c>
      <c r="D80" s="171">
        <f t="shared" si="21"/>
        <v>1</v>
      </c>
      <c r="E80" s="171">
        <f t="shared" si="20"/>
        <v>2030</v>
      </c>
      <c r="F80" t="s">
        <v>23</v>
      </c>
      <c r="G80" s="94">
        <f>IF(F80="Vestdanmark",SUMIFS(IF(E80=År1,'Resultater - Vestdanmark'!H$3:H$504,IF(E80=År2,'Resultater - Vestdanmark'!I$3:I$504,'Resultater - Vestdanmark'!J$3:J$504)),'Resultater - Vestdanmark'!$F$3:$F$504,$A80,IF(E80=År1,'Resultater - Vestdanmark'!H$3:H$504,IF(E80=År2,'Resultater - Vestdanmark'!I$3:I$504,'Resultater - Vestdanmark'!J$3:J$504)),"&gt;0"),SUMIFS(IF(E80=År1,'Resultater - Østdanmark'!H$3:H$504,IF(E80=År2,'Resultater - Østdanmark'!I$3:I$504,'Resultater - Østdanmark'!J$3:J$504)),'Resultater - Østdanmark'!$F$3:$F$504,$A80,IF(E80=År1,'Resultater - Østdanmark'!H$3:H$504,IF(E80=År2,'Resultater - Østdanmark'!I$3:I$504,'Resultater - Østdanmark'!J$3:J$504)),"&gt;0"))</f>
        <v>878.90231344976178</v>
      </c>
      <c r="H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forbrug'!H$3,'Forbrug af biomasse'!$B$2:$B$425,$F80)</f>
        <v>0</v>
      </c>
      <c r="I80">
        <f>IF(F80="Vestdanmark",-IF(A80="Halm",SUMIFS(IF(E80=År1,'Resultater - Vestdanmark'!H$3:H$504,IF(E80=År2,'Resultater - Vestdanmark'!I$3:I$504,'Resultater - Vestdanmark'!J$3:J$504)),'Resultater - Vestdanmark'!$F$3:$F$504,$A80,'Resultater - Vestdanmark'!H$3:H$504,"&lt;0"),0),-IF(A80="Halm",SUMIFS(IF(E80=År1,'Resultater - Østdanmark'!H$3:H$504,IF(E80=År2,'Resultater - Østdanmark'!I$3:I$504,'Resultater - Østdanmark'!J$3:J$504)),'Resultater - Østdanmark'!$F$3:$F$504,$A80,'Resultater - Østdanmark'!H$3:H$504,"&lt;0"),0))</f>
        <v>0</v>
      </c>
      <c r="J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forbrug'!J$3,'Forbrug af biomasse'!$B$2:$B$425,$F80)</f>
        <v>0</v>
      </c>
      <c r="K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forbrug'!K$3,'Forbrug af biomasse'!$B$2:$B$425,$F80)</f>
        <v>0</v>
      </c>
      <c r="L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forbrug'!L$3,'Forbrug af biomasse'!$B$2:$B$425,$F80)</f>
        <v>0</v>
      </c>
      <c r="M80" s="94">
        <f>IF(A80&lt;&gt;"Biogas",SUMIFS('Forbrug af biomasse'!$E$2:$E$425,'Forbrug af biomasse'!$C$2:$C$425,'Resultat-Produktion &amp; forbrug'!$A80,'Forbrug af biomasse'!$D$2:$D$425,'Resultat-Produktion &amp; forbrug'!$E80,'Forbrug af biomasse'!$A$2:$A$425,'Resultat-Produktion &amp; forbrug'!M$3,'Forbrug af biomasse'!$B$2:$B$425,$F80),G80)</f>
        <v>0</v>
      </c>
      <c r="N80" s="94">
        <f>SUMIFS('Forbrug af biomasse'!E:E,'Forbrug af biomasse'!C:C,'Resultat-Produktion &amp; forbrug'!$A80,'Forbrug af biomasse'!D:D,'Resultat-Produktion &amp; forbrug'!$E80,'Forbrug af biomasse'!G:G,1,'Forbrug af biomasse'!B:B,$F80)</f>
        <v>0</v>
      </c>
      <c r="O80" s="179">
        <f t="shared" si="10"/>
        <v>878.90231344976178</v>
      </c>
      <c r="P80" s="94">
        <f t="shared" ca="1" si="22"/>
        <v>878.90231344976178</v>
      </c>
      <c r="Q80" s="180">
        <f t="shared" si="11"/>
        <v>0</v>
      </c>
      <c r="R80">
        <f ca="1">IFERROR(VLOOKUP(A80,[1]Energiindhold!$A$2:$C$11,3,FALSE),IFERROR(VLOOKUP(A80,[1]Biogasudbytte!$A$2:$B$18,2,FALSE)*[1]Energiindhold!$C$10,0))*P80</f>
        <v>7.8881482632116122E-4</v>
      </c>
      <c r="S80">
        <f ca="1">IF(A80&lt;&gt;"Biogas",IFERROR(VLOOKUP(A80,[1]Biogasudbytte!$A$2:$B$18,2,FALSE)*[1]Energiindhold!$C$10,0)*K80*IFERROR(VLOOKUP(A80,Biogasanlæg!$F$3:$G$8,2,FALSE),1)+IFERROR(VLOOKUP(A80,[1]Energiindhold!$A$2:$C$11,3,FALSE),0)*M80+IF(E80&lt;&gt;År1,R80,0),0)</f>
        <v>7.8881482632116122E-4</v>
      </c>
      <c r="T80">
        <f>IFERROR(VLOOKUP(A80,[1]Biogasudbytte!$A$2:$B$18,2,FALSE)*[1]Energiindhold!$C$10,0)*K80*IFERROR(VLOOKUP(A80,Biogasanlæg!$F$3:$G$8,2,FALSE),1)</f>
        <v>0</v>
      </c>
      <c r="U80" s="170">
        <f t="shared" ca="1" si="12"/>
        <v>7.8881482632116122E-4</v>
      </c>
      <c r="V80" s="169">
        <f ca="1">P80*IFERROR(VLOOKUP(A80,[1]Tørstofindhold!A$2:B$24,2,FALSE),0)</f>
        <v>131.83534701746427</v>
      </c>
      <c r="W80">
        <f ca="1">IF(E80=År1,Q80,SUM(P80,Q80))*IFERROR(VLOOKUP(A80,[1]Tørstofindhold!A$2:B$24,2,FALSE),0)</f>
        <v>131.83534701746427</v>
      </c>
      <c r="X80">
        <f>K80*IFERROR(VLOOKUP(A80,[1]Tørstofindhold!A$2:B$24,2,FALSE),0)</f>
        <v>0</v>
      </c>
      <c r="Y80" s="170">
        <f t="shared" ca="1" si="13"/>
        <v>131.83534701746427</v>
      </c>
      <c r="Z80">
        <f t="shared" ca="1" si="23"/>
        <v>0</v>
      </c>
      <c r="AA80">
        <f t="shared" ca="1" si="24"/>
        <v>1</v>
      </c>
      <c r="AB80" s="94">
        <f t="shared" si="25"/>
        <v>878.90231344976178</v>
      </c>
      <c r="AC80">
        <f>AB80*D80*10000*VLOOKUP(A80,[1]kcal!$A$2:$C$49,3,FALSE)/1000000000000</f>
        <v>7.2948892016330225E-4</v>
      </c>
    </row>
    <row r="81" spans="1:29" x14ac:dyDescent="0.25">
      <c r="A81" s="171" t="str">
        <f t="shared" si="18"/>
        <v>Oksekød</v>
      </c>
      <c r="B81" s="171" t="str">
        <f t="shared" si="19"/>
        <v/>
      </c>
      <c r="C81" s="171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71">
        <f t="shared" si="21"/>
        <v>1</v>
      </c>
      <c r="E81" s="171">
        <f t="shared" si="20"/>
        <v>2030</v>
      </c>
      <c r="F81" t="s">
        <v>23</v>
      </c>
      <c r="G81" s="94">
        <f>IF(F81="Vestdanmark",SUMIFS(IF(E81=År1,'Resultater - Vestdanmark'!H$3:H$504,IF(E81=År2,'Resultater - Vestdanmark'!I$3:I$504,'Resultater - Vestdanmark'!J$3:J$504)),'Resultater - Vestdanmark'!$F$3:$F$504,$A81,IF(E81=År1,'Resultater - Vestdanmark'!H$3:H$504,IF(E81=År2,'Resultater - Vestdanmark'!I$3:I$504,'Resultater - Vestdanmark'!J$3:J$504)),"&gt;0"),SUMIFS(IF(E81=År1,'Resultater - Østdanmark'!H$3:H$504,IF(E81=År2,'Resultater - Østdanmark'!I$3:I$504,'Resultater - Østdanmark'!J$3:J$504)),'Resultater - Østdanmark'!$F$3:$F$504,$A81,IF(E81=År1,'Resultater - Østdanmark'!H$3:H$504,IF(E81=År2,'Resultater - Østdanmark'!I$3:I$504,'Resultater - Østdanmark'!J$3:J$504)),"&gt;0"))</f>
        <v>106168.13854148486</v>
      </c>
      <c r="H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forbrug'!H$3,'Forbrug af biomasse'!$B$2:$B$425,$F81)</f>
        <v>0</v>
      </c>
      <c r="I81">
        <f>IF(F81="Vestdanmark",-IF(A81="Halm",SUMIFS(IF(E81=År1,'Resultater - Vestdanmark'!H$3:H$504,IF(E81=År2,'Resultater - Vestdanmark'!I$3:I$504,'Resultater - Vestdanmark'!J$3:J$504)),'Resultater - Vestdanmark'!$F$3:$F$504,$A81,'Resultater - Vestdanmark'!H$3:H$504,"&lt;0"),0),-IF(A81="Halm",SUMIFS(IF(E81=År1,'Resultater - Østdanmark'!H$3:H$504,IF(E81=År2,'Resultater - Østdanmark'!I$3:I$504,'Resultater - Østdanmark'!J$3:J$504)),'Resultater - Østdanmark'!$F$3:$F$504,$A81,'Resultater - Østdanmark'!H$3:H$504,"&lt;0"),0))</f>
        <v>0</v>
      </c>
      <c r="J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forbrug'!J$3,'Forbrug af biomasse'!$B$2:$B$425,$F81)</f>
        <v>60028.253038902265</v>
      </c>
      <c r="K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forbrug'!K$3,'Forbrug af biomasse'!$B$2:$B$425,$F81)</f>
        <v>0</v>
      </c>
      <c r="L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forbrug'!L$3,'Forbrug af biomasse'!$B$2:$B$425,$F81)</f>
        <v>0</v>
      </c>
      <c r="M81" s="94">
        <f>IF(A81&lt;&gt;"Biogas",SUMIFS('Forbrug af biomasse'!$E$2:$E$425,'Forbrug af biomasse'!$C$2:$C$425,'Resultat-Produktion &amp; forbrug'!$A81,'Forbrug af biomasse'!$D$2:$D$425,'Resultat-Produktion &amp; forbrug'!$E81,'Forbrug af biomasse'!$A$2:$A$425,'Resultat-Produktion &amp; forbrug'!M$3,'Forbrug af biomasse'!$B$2:$B$425,$F81),G81)</f>
        <v>0</v>
      </c>
      <c r="N81" s="94">
        <f>SUMIFS('Forbrug af biomasse'!E:E,'Forbrug af biomasse'!C:C,'Resultat-Produktion &amp; forbrug'!$A81,'Forbrug af biomasse'!D:D,'Resultat-Produktion &amp; forbrug'!$E81,'Forbrug af biomasse'!G:G,1,'Forbrug af biomasse'!B:B,$F81)</f>
        <v>0</v>
      </c>
      <c r="O81" s="179">
        <f t="shared" si="10"/>
        <v>46139.885502582598</v>
      </c>
      <c r="P81" s="94">
        <f t="shared" si="22"/>
        <v>0</v>
      </c>
      <c r="Q81" s="180">
        <f t="shared" si="11"/>
        <v>0</v>
      </c>
      <c r="R81">
        <f>IFERROR(VLOOKUP(A81,[1]Energiindhold!$A$2:$C$11,3,FALSE),IFERROR(VLOOKUP(A81,[1]Biogasudbytte!$A$2:$B$18,2,FALSE)*[1]Energiindhold!$C$10,0))*P81</f>
        <v>0</v>
      </c>
      <c r="S81">
        <f>IF(A81&lt;&gt;"Biogas",IFERROR(VLOOKUP(A81,[1]Biogasudbytte!$A$2:$B$18,2,FALSE)*[1]Energiindhold!$C$10,0)*K81*IFERROR(VLOOKUP(A81,Biogasanlæg!$F$3:$G$8,2,FALSE),1)+IFERROR(VLOOKUP(A81,[1]Energiindhold!$A$2:$C$11,3,FALSE),0)*M81+IF(E81&lt;&gt;År1,R81,0),0)</f>
        <v>0</v>
      </c>
      <c r="T81">
        <f>IFERROR(VLOOKUP(A81,[1]Biogasudbytte!$A$2:$B$18,2,FALSE)*[1]Energiindhold!$C$10,0)*K81*IFERROR(VLOOKUP(A81,Biogasanlæg!$F$3:$G$8,2,FALSE),1)</f>
        <v>0</v>
      </c>
      <c r="U81" s="170">
        <f t="shared" si="12"/>
        <v>0</v>
      </c>
      <c r="V81" s="169">
        <f>P81*IFERROR(VLOOKUP(A81,[1]Tørstofindhold!A$2:B$24,2,FALSE),0)</f>
        <v>0</v>
      </c>
      <c r="W81">
        <f>IF(E81=År1,Q81,SUM(P81,Q81))*IFERROR(VLOOKUP(A81,[1]Tørstofindhold!A$2:B$24,2,FALSE),0)</f>
        <v>0</v>
      </c>
      <c r="X81">
        <f>K81*IFERROR(VLOOKUP(A81,[1]Tørstofindhold!A$2:B$24,2,FALSE),0)</f>
        <v>0</v>
      </c>
      <c r="Y81" s="170">
        <f t="shared" si="13"/>
        <v>0</v>
      </c>
      <c r="Z81">
        <f t="shared" ca="1" si="23"/>
        <v>0</v>
      </c>
      <c r="AA81">
        <f t="shared" ca="1" si="24"/>
        <v>1</v>
      </c>
      <c r="AB81" s="94">
        <f t="shared" si="25"/>
        <v>106168.13854148486</v>
      </c>
      <c r="AC81">
        <f>AB81*D81*10000*VLOOKUP(A81,[1]kcal!$A$2:$C$49,3,FALSE)/1000000000000</f>
        <v>0.20702787015589552</v>
      </c>
    </row>
    <row r="82" spans="1:29" x14ac:dyDescent="0.25">
      <c r="A82" s="171" t="str">
        <f t="shared" si="18"/>
        <v>Øvrige</v>
      </c>
      <c r="B82" s="171" t="str">
        <f t="shared" si="19"/>
        <v/>
      </c>
      <c r="C82" s="171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0</v>
      </c>
      <c r="D82" s="171">
        <f t="shared" si="21"/>
        <v>1</v>
      </c>
      <c r="E82" s="171">
        <f t="shared" si="20"/>
        <v>2030</v>
      </c>
      <c r="F82" t="s">
        <v>23</v>
      </c>
      <c r="G82" s="94">
        <f>IF(F82="Vestdanmark",SUMIFS(IF(E82=År1,'Resultater - Vestdanmark'!H$3:H$504,IF(E82=År2,'Resultater - Vestdanmark'!I$3:I$504,'Resultater - Vestdanmark'!J$3:J$504)),'Resultater - Vestdanmark'!$F$3:$F$504,$A82,IF(E82=År1,'Resultater - Vestdanmark'!H$3:H$504,IF(E82=År2,'Resultater - Vestdanmark'!I$3:I$504,'Resultater - Vestdanmark'!J$3:J$504)),"&gt;0"),SUMIFS(IF(E82=År1,'Resultater - Østdanmark'!H$3:H$504,IF(E82=År2,'Resultater - Østdanmark'!I$3:I$504,'Resultater - Østdanmark'!J$3:J$504)),'Resultater - Østdanmark'!$F$3:$F$504,$A82,IF(E82=År1,'Resultater - Østdanmark'!H$3:H$504,IF(E82=År2,'Resultater - Østdanmark'!I$3:I$504,'Resultater - Østdanmark'!J$3:J$504)),"&gt;0"))</f>
        <v>1598902.7990471825</v>
      </c>
      <c r="H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forbrug'!H$3,'Forbrug af biomasse'!$B$2:$B$425,$F82)</f>
        <v>0</v>
      </c>
      <c r="I82">
        <f>IF(F82="Vestdanmark",-IF(A82="Halm",SUMIFS(IF(E82=År1,'Resultater - Vestdanmark'!H$3:H$504,IF(E82=År2,'Resultater - Vestdanmark'!I$3:I$504,'Resultater - Vestdanmark'!J$3:J$504)),'Resultater - Vestdanmark'!$F$3:$F$504,$A82,'Resultater - Vestdanmark'!H$3:H$504,"&lt;0"),0),-IF(A82="Halm",SUMIFS(IF(E82=År1,'Resultater - Østdanmark'!H$3:H$504,IF(E82=År2,'Resultater - Østdanmark'!I$3:I$504,'Resultater - Østdanmark'!J$3:J$504)),'Resultater - Østdanmark'!$F$3:$F$504,$A82,'Resultater - Østdanmark'!H$3:H$504,"&lt;0"),0))</f>
        <v>0</v>
      </c>
      <c r="J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forbrug'!J$3,'Forbrug af biomasse'!$B$2:$B$425,$F82)</f>
        <v>0</v>
      </c>
      <c r="K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forbrug'!K$3,'Forbrug af biomasse'!$B$2:$B$425,$F82)</f>
        <v>0</v>
      </c>
      <c r="L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forbrug'!L$3,'Forbrug af biomasse'!$B$2:$B$425,$F82)</f>
        <v>0</v>
      </c>
      <c r="M82" s="94">
        <f>IF(A82&lt;&gt;"Biogas",SUMIFS('Forbrug af biomasse'!$E$2:$E$425,'Forbrug af biomasse'!$C$2:$C$425,'Resultat-Produktion &amp; forbrug'!$A82,'Forbrug af biomasse'!$D$2:$D$425,'Resultat-Produktion &amp; forbrug'!$E82,'Forbrug af biomasse'!$A$2:$A$425,'Resultat-Produktion &amp; forbrug'!M$3,'Forbrug af biomasse'!$B$2:$B$425,$F82),G82)</f>
        <v>0</v>
      </c>
      <c r="N82" s="94">
        <f>SUMIFS('Forbrug af biomasse'!E:E,'Forbrug af biomasse'!C:C,'Resultat-Produktion &amp; forbrug'!$A82,'Forbrug af biomasse'!D:D,'Resultat-Produktion &amp; forbrug'!$E82,'Forbrug af biomasse'!G:G,1,'Forbrug af biomasse'!B:B,$F82)</f>
        <v>0</v>
      </c>
      <c r="O82" s="179">
        <f t="shared" si="10"/>
        <v>1598902.7990471825</v>
      </c>
      <c r="P82" s="94">
        <f t="shared" si="22"/>
        <v>0</v>
      </c>
      <c r="Q82" s="180">
        <f t="shared" si="11"/>
        <v>0</v>
      </c>
      <c r="R82">
        <f>IFERROR(VLOOKUP(A82,[1]Energiindhold!$A$2:$C$11,3,FALSE),IFERROR(VLOOKUP(A82,[1]Biogasudbytte!$A$2:$B$18,2,FALSE)*[1]Energiindhold!$C$10,0))*P82</f>
        <v>0</v>
      </c>
      <c r="S82">
        <f>IF(A82&lt;&gt;"Biogas",IFERROR(VLOOKUP(A82,[1]Biogasudbytte!$A$2:$B$18,2,FALSE)*[1]Energiindhold!$C$10,0)*K82*IFERROR(VLOOKUP(A82,Biogasanlæg!$F$3:$G$8,2,FALSE),1)+IFERROR(VLOOKUP(A82,[1]Energiindhold!$A$2:$C$11,3,FALSE),0)*M82+IF(E82&lt;&gt;År1,R82,0),0)</f>
        <v>0</v>
      </c>
      <c r="T82">
        <f>IFERROR(VLOOKUP(A82,[1]Biogasudbytte!$A$2:$B$18,2,FALSE)*[1]Energiindhold!$C$10,0)*K82*IFERROR(VLOOKUP(A82,Biogasanlæg!$F$3:$G$8,2,FALSE),1)</f>
        <v>0</v>
      </c>
      <c r="U82" s="170">
        <f t="shared" si="12"/>
        <v>0</v>
      </c>
      <c r="V82" s="169">
        <f>P82*IFERROR(VLOOKUP(A82,[1]Tørstofindhold!A$2:B$24,2,FALSE),0)</f>
        <v>0</v>
      </c>
      <c r="W82">
        <f>IF(E82=År1,Q82,SUM(P82,Q82))*IFERROR(VLOOKUP(A82,[1]Tørstofindhold!A$2:B$24,2,FALSE),0)</f>
        <v>0</v>
      </c>
      <c r="X82">
        <f>K82*IFERROR(VLOOKUP(A82,[1]Tørstofindhold!A$2:B$24,2,FALSE),0)</f>
        <v>0</v>
      </c>
      <c r="Y82" s="170">
        <f t="shared" si="13"/>
        <v>0</v>
      </c>
      <c r="Z82">
        <f t="shared" si="23"/>
        <v>0</v>
      </c>
      <c r="AA82">
        <f t="shared" si="24"/>
        <v>1</v>
      </c>
      <c r="AB82" s="94">
        <f t="shared" si="25"/>
        <v>1598902.7990471825</v>
      </c>
      <c r="AC82">
        <f>AB82*D82*10000*VLOOKUP(A82,[1]kcal!$A$2:$C$49,3,FALSE)/1000000000000</f>
        <v>0.6235720916284011</v>
      </c>
    </row>
    <row r="83" spans="1:29" x14ac:dyDescent="0.25">
      <c r="A83" s="171" t="str">
        <f t="shared" si="18"/>
        <v>Pil &amp; poppel</v>
      </c>
      <c r="B83" s="171" t="str">
        <f t="shared" si="19"/>
        <v>Vedmasse</v>
      </c>
      <c r="C83" s="171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71">
        <f t="shared" si="21"/>
        <v>0</v>
      </c>
      <c r="E83" s="171">
        <f t="shared" si="20"/>
        <v>2030</v>
      </c>
      <c r="F83" t="s">
        <v>23</v>
      </c>
      <c r="G83" s="94">
        <f>IF(F83="Vestdanmark",SUMIFS(IF(E83=År1,'Resultater - Vestdanmark'!H$3:H$504,IF(E83=År2,'Resultater - Vestdanmark'!I$3:I$504,'Resultater - Vestdanmark'!J$3:J$504)),'Resultater - Vestdanmark'!$F$3:$F$504,$A83,IF(E83=År1,'Resultater - Vestdanmark'!H$3:H$504,IF(E83=År2,'Resultater - Vestdanmark'!I$3:I$504,'Resultater - Vestdanmark'!J$3:J$504)),"&gt;0"),SUMIFS(IF(E83=År1,'Resultater - Østdanmark'!H$3:H$504,IF(E83=År2,'Resultater - Østdanmark'!I$3:I$504,'Resultater - Østdanmark'!J$3:J$504)),'Resultater - Østdanmark'!$F$3:$F$504,$A83,IF(E83=År1,'Resultater - Østdanmark'!H$3:H$504,IF(E83=År2,'Resultater - Østdanmark'!I$3:I$504,'Resultater - Østdanmark'!J$3:J$504)),"&gt;0"))</f>
        <v>166331.75376550294</v>
      </c>
      <c r="H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forbrug'!H$3,'Forbrug af biomasse'!$B$2:$B$425,$F83)</f>
        <v>0</v>
      </c>
      <c r="I83">
        <f>IF(F83="Vestdanmark",-IF(A83="Halm",SUMIFS(IF(E83=År1,'Resultater - Vestdanmark'!H$3:H$504,IF(E83=År2,'Resultater - Vestdanmark'!I$3:I$504,'Resultater - Vestdanmark'!J$3:J$504)),'Resultater - Vestdanmark'!$F$3:$F$504,$A83,'Resultater - Vestdanmark'!H$3:H$504,"&lt;0"),0),-IF(A83="Halm",SUMIFS(IF(E83=År1,'Resultater - Østdanmark'!H$3:H$504,IF(E83=År2,'Resultater - Østdanmark'!I$3:I$504,'Resultater - Østdanmark'!J$3:J$504)),'Resultater - Østdanmark'!$F$3:$F$504,$A83,'Resultater - Østdanmark'!H$3:H$504,"&lt;0"),0))</f>
        <v>0</v>
      </c>
      <c r="J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forbrug'!J$3,'Forbrug af biomasse'!$B$2:$B$425,$F83)</f>
        <v>0</v>
      </c>
      <c r="K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forbrug'!K$3,'Forbrug af biomasse'!$B$2:$B$425,$F83)</f>
        <v>0</v>
      </c>
      <c r="L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forbrug'!L$3,'Forbrug af biomasse'!$B$2:$B$425,$F83)</f>
        <v>0</v>
      </c>
      <c r="M83" s="94">
        <f>IF(A83&lt;&gt;"Biogas",SUMIFS('Forbrug af biomasse'!$E$2:$E$425,'Forbrug af biomasse'!$C$2:$C$425,'Resultat-Produktion &amp; forbrug'!$A83,'Forbrug af biomasse'!$D$2:$D$425,'Resultat-Produktion &amp; forbrug'!$E83,'Forbrug af biomasse'!$A$2:$A$425,'Resultat-Produktion &amp; forbrug'!M$3,'Forbrug af biomasse'!$B$2:$B$425,$F83),G83)</f>
        <v>166331.75376550294</v>
      </c>
      <c r="N83" s="94">
        <f>SUMIFS('Forbrug af biomasse'!E:E,'Forbrug af biomasse'!C:C,'Resultat-Produktion &amp; forbrug'!$A83,'Forbrug af biomasse'!D:D,'Resultat-Produktion &amp; forbrug'!$E83,'Forbrug af biomasse'!G:G,1,'Forbrug af biomasse'!B:B,$F83)</f>
        <v>0</v>
      </c>
      <c r="O83" s="179">
        <f t="shared" ref="O83:O150" si="26">G83-SUM(H83:N83)</f>
        <v>0</v>
      </c>
      <c r="P83" s="94">
        <f t="shared" si="22"/>
        <v>0</v>
      </c>
      <c r="Q83" s="180">
        <f t="shared" ref="Q83:Q150" si="27">SUM(K83,M83)</f>
        <v>166331.75376550294</v>
      </c>
      <c r="R83">
        <f>IFERROR(VLOOKUP(A83,[1]Energiindhold!$A$2:$C$11,3,FALSE),IFERROR(VLOOKUP(A83,[1]Biogasudbytte!$A$2:$B$18,2,FALSE)*[1]Energiindhold!$C$10,0))*P83</f>
        <v>0</v>
      </c>
      <c r="S83">
        <f>IF(A83&lt;&gt;"Biogas",IFERROR(VLOOKUP(A83,[1]Biogasudbytte!$A$2:$B$18,2,FALSE)*[1]Energiindhold!$C$10,0)*K83*IFERROR(VLOOKUP(A83,Biogasanlæg!$F$3:$G$8,2,FALSE),1)+IFERROR(VLOOKUP(A83,[1]Energiindhold!$A$2:$C$11,3,FALSE),0)*M83+IF(E83&lt;&gt;År1,R83,0),0)</f>
        <v>3.0605042692852535</v>
      </c>
      <c r="T83">
        <f>IFERROR(VLOOKUP(A83,[1]Biogasudbytte!$A$2:$B$18,2,FALSE)*[1]Energiindhold!$C$10,0)*K83*IFERROR(VLOOKUP(A83,Biogasanlæg!$F$3:$G$8,2,FALSE),1)</f>
        <v>0</v>
      </c>
      <c r="U83" s="170">
        <f t="shared" ref="U83:U150" si="28">S83-T83</f>
        <v>3.0605042692852535</v>
      </c>
      <c r="V83" s="169">
        <f>P83*IFERROR(VLOOKUP(A83,[1]Tørstofindhold!A$2:B$24,2,FALSE),0)</f>
        <v>0</v>
      </c>
      <c r="W83">
        <f>IF(E83=År1,Q83,SUM(P83,Q83))*IFERROR(VLOOKUP(A83,[1]Tørstofindhold!A$2:B$24,2,FALSE),0)</f>
        <v>69027.677812683731</v>
      </c>
      <c r="X83">
        <f>K83*IFERROR(VLOOKUP(A83,[1]Tørstofindhold!A$2:B$24,2,FALSE),0)</f>
        <v>0</v>
      </c>
      <c r="Y83" s="170">
        <f t="shared" ref="Y83:Y150" si="29">W83-X83</f>
        <v>69027.677812683731</v>
      </c>
      <c r="Z83">
        <f t="shared" si="23"/>
        <v>0</v>
      </c>
      <c r="AA83">
        <f t="shared" si="24"/>
        <v>0</v>
      </c>
      <c r="AB83" s="94">
        <f t="shared" si="25"/>
        <v>166331.75376550294</v>
      </c>
      <c r="AC83">
        <f>AB83*D83*10000*VLOOKUP(A83,[1]kcal!$A$2:$C$49,3,FALSE)/1000000000000</f>
        <v>0</v>
      </c>
    </row>
    <row r="84" spans="1:29" x14ac:dyDescent="0.25">
      <c r="A84" s="171" t="str">
        <f t="shared" ref="A84:A85" si="30">A36</f>
        <v>Pyrolysegas</v>
      </c>
      <c r="B84" s="171" t="str">
        <f t="shared" ref="B84:B85" si="31">IF(B36&lt;&gt;"",B36,"")</f>
        <v>Pyrolyseprodukter</v>
      </c>
      <c r="C84" s="171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71">
        <f t="shared" si="21"/>
        <v>0</v>
      </c>
      <c r="E84" s="171">
        <f t="shared" si="20"/>
        <v>2030</v>
      </c>
      <c r="F84" t="s">
        <v>23</v>
      </c>
      <c r="G84" s="94">
        <f ca="1">IF(F84="Vestdanmark",SUMIFS(IF(E84=År1,'Resultater - Vestdanmark'!H$3:H$504,IF(E84=År2,'Resultater - Vestdanmark'!I$3:I$504,'Resultater - Vestdanmark'!J$3:J$504)),'Resultater - Vestdanmark'!$F$3:$F$504,$A84,IF(E84=År1,'Resultater - Vestdanmark'!H$3:H$504,IF(E84=År2,'Resultater - Vestdanmark'!I$3:I$504,'Resultater - Vestdanmark'!J$3:J$504)),"&gt;0"),SUMIFS(IF(E84=År1,'Resultater - Østdanmark'!H$3:H$504,IF(E84=År2,'Resultater - Østdanmark'!I$3:I$504,'Resultater - Østdanmark'!J$3:J$504)),'Resultater - Østdanmark'!$F$3:$F$504,$A84,IF(E84=År1,'Resultater - Østdanmark'!H$3:H$504,IF(E84=År2,'Resultater - Østdanmark'!I$3:I$504,'Resultater - Østdanmark'!J$3:J$504)),"&gt;0"))</f>
        <v>0</v>
      </c>
      <c r="H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forbrug'!H$3,'Forbrug af biomasse'!$B$2:$B$425,$F84)</f>
        <v>0</v>
      </c>
      <c r="I84">
        <f>IF(F84="Vestdanmark",-IF(A84="Halm",SUMIFS(IF(E84=År1,'Resultater - Vestdanmark'!H$3:H$504,IF(E84=År2,'Resultater - Vestdanmark'!I$3:I$504,'Resultater - Vestdanmark'!J$3:J$504)),'Resultater - Vestdanmark'!$F$3:$F$504,$A84,'Resultater - Vestdanmark'!H$3:H$504,"&lt;0"),0),-IF(A84="Halm",SUMIFS(IF(E84=År1,'Resultater - Østdanmark'!H$3:H$504,IF(E84=År2,'Resultater - Østdanmark'!I$3:I$504,'Resultater - Østdanmark'!J$3:J$504)),'Resultater - Østdanmark'!$F$3:$F$504,$A84,'Resultater - Østdanmark'!H$3:H$504,"&lt;0"),0))</f>
        <v>0</v>
      </c>
      <c r="J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forbrug'!J$3,'Forbrug af biomasse'!$B$2:$B$425,$F84)</f>
        <v>0</v>
      </c>
      <c r="K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forbrug'!K$3,'Forbrug af biomasse'!$B$2:$B$425,$F84)</f>
        <v>0</v>
      </c>
      <c r="L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forbrug'!L$3,'Forbrug af biomasse'!$B$2:$B$425,$F84)</f>
        <v>0</v>
      </c>
      <c r="M84" s="94">
        <f ca="1">IF(A84&lt;&gt;"Biogas",SUMIFS('Forbrug af biomasse'!$E$2:$E$425,'Forbrug af biomasse'!$C$2:$C$425,'Resultat-Produktion &amp; forbrug'!$A84,'Forbrug af biomasse'!$D$2:$D$425,'Resultat-Produktion &amp; forbrug'!$E84,'Forbrug af biomasse'!$A$2:$A$425,'Resultat-Produktion &amp; forbrug'!M$3,'Forbrug af biomasse'!$B$2:$B$425,$F84),G84)</f>
        <v>0</v>
      </c>
      <c r="N84" s="94">
        <f>SUMIFS('Forbrug af biomasse'!E:E,'Forbrug af biomasse'!C:C,'Resultat-Produktion &amp; forbrug'!$A84,'Forbrug af biomasse'!D:D,'Resultat-Produktion &amp; forbrug'!$E84,'Forbrug af biomasse'!G:G,1,'Forbrug af biomasse'!B:B,$F84)</f>
        <v>0</v>
      </c>
      <c r="O84" s="179">
        <f t="shared" ref="O84:O85" ca="1" si="32">G84-SUM(H84:N84)</f>
        <v>0</v>
      </c>
      <c r="P84" s="94">
        <f t="shared" ca="1" si="22"/>
        <v>0</v>
      </c>
      <c r="Q84" s="180">
        <f t="shared" ref="Q84:Q85" ca="1" si="33">SUM(K84,M84)</f>
        <v>0</v>
      </c>
      <c r="R84">
        <f ca="1">IFERROR(VLOOKUP(A84,[1]Energiindhold!$A$2:$C$11,3,FALSE),IFERROR(VLOOKUP(A84,[1]Biogasudbytte!$A$2:$B$18,2,FALSE)*[1]Energiindhold!$C$10,0))*P84</f>
        <v>0</v>
      </c>
      <c r="S84">
        <f ca="1">IF(A84&lt;&gt;"Biogas",IFERROR(VLOOKUP(A84,[1]Biogasudbytte!$A$2:$B$18,2,FALSE)*[1]Energiindhold!$C$10,0)*K84*IFERROR(VLOOKUP(A84,Biogasanlæg!$F$3:$G$8,2,FALSE),1)+IFERROR(VLOOKUP(A84,[1]Energiindhold!$A$2:$C$11,3,FALSE),0)*M84+IF(E84&lt;&gt;År1,R84,0),0)</f>
        <v>0</v>
      </c>
      <c r="T84">
        <f>IFERROR(VLOOKUP(A84,[1]Biogasudbytte!$A$2:$B$18,2,FALSE)*[1]Energiindhold!$C$10,0)*K84*IFERROR(VLOOKUP(A84,Biogasanlæg!$F$3:$G$8,2,FALSE),1)</f>
        <v>0</v>
      </c>
      <c r="U84" s="170">
        <f t="shared" ref="U84:U85" ca="1" si="34">S84-T84</f>
        <v>0</v>
      </c>
      <c r="V84" s="169">
        <f ca="1">P84*IFERROR(VLOOKUP(A84,[1]Tørstofindhold!A$2:B$24,2,FALSE),0)</f>
        <v>0</v>
      </c>
      <c r="W84">
        <f ca="1">IF(E84=År1,Q84,SUM(P84,Q84))*IFERROR(VLOOKUP(A84,[1]Tørstofindhold!A$2:B$24,2,FALSE),0)</f>
        <v>0</v>
      </c>
      <c r="X84">
        <f>K84*IFERROR(VLOOKUP(A84,[1]Tørstofindhold!A$2:B$24,2,FALSE),0)</f>
        <v>0</v>
      </c>
      <c r="Y84" s="170">
        <f t="shared" ref="Y84:Y85" ca="1" si="35">W84-X84</f>
        <v>0</v>
      </c>
      <c r="Z84">
        <f t="shared" ca="1" si="23"/>
        <v>0</v>
      </c>
      <c r="AA84">
        <f t="shared" ca="1" si="24"/>
        <v>0</v>
      </c>
      <c r="AB84" s="94">
        <f t="shared" ca="1" si="25"/>
        <v>0</v>
      </c>
      <c r="AC84">
        <f ca="1">AB84*D84*10000*VLOOKUP(A84,[1]kcal!$A$2:$C$49,3,FALSE)/1000000000000</f>
        <v>0</v>
      </c>
    </row>
    <row r="85" spans="1:29" x14ac:dyDescent="0.25">
      <c r="A85" s="171" t="str">
        <f t="shared" si="30"/>
        <v>Pyrolyseolie</v>
      </c>
      <c r="B85" s="171" t="str">
        <f t="shared" si="31"/>
        <v>Pyrolyseprodukter</v>
      </c>
      <c r="C85" s="171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1</v>
      </c>
      <c r="D85" s="171">
        <f t="shared" si="21"/>
        <v>0</v>
      </c>
      <c r="E85" s="171">
        <f t="shared" si="20"/>
        <v>2030</v>
      </c>
      <c r="F85" t="s">
        <v>23</v>
      </c>
      <c r="G85" s="94">
        <f ca="1">IF(F85="Vestdanmark",SUMIFS(IF(E85=År1,'Resultater - Vestdanmark'!H$3:H$504,IF(E85=År2,'Resultater - Vestdanmark'!I$3:I$504,'Resultater - Vestdanmark'!J$3:J$504)),'Resultater - Vestdanmark'!$F$3:$F$504,$A85,IF(E85=År1,'Resultater - Vestdanmark'!H$3:H$504,IF(E85=År2,'Resultater - Vestdanmark'!I$3:I$504,'Resultater - Vestdanmark'!J$3:J$504)),"&gt;0"),SUMIFS(IF(E85=År1,'Resultater - Østdanmark'!H$3:H$504,IF(E85=År2,'Resultater - Østdanmark'!I$3:I$504,'Resultater - Østdanmark'!J$3:J$504)),'Resultater - Østdanmark'!$F$3:$F$504,$A85,IF(E85=År1,'Resultater - Østdanmark'!H$3:H$504,IF(E85=År2,'Resultater - Østdanmark'!I$3:I$504,'Resultater - Østdanmark'!J$3:J$504)),"&gt;0"))</f>
        <v>0</v>
      </c>
      <c r="H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forbrug'!H$3,'Forbrug af biomasse'!$B$2:$B$425,$F85)</f>
        <v>0</v>
      </c>
      <c r="I85">
        <f>IF(F85="Vestdanmark",-IF(A85="Halm",SUMIFS(IF(E85=År1,'Resultater - Vestdanmark'!H$3:H$504,IF(E85=År2,'Resultater - Vestdanmark'!I$3:I$504,'Resultater - Vestdanmark'!J$3:J$504)),'Resultater - Vestdanmark'!$F$3:$F$504,$A85,'Resultater - Vestdanmark'!H$3:H$504,"&lt;0"),0),-IF(A85="Halm",SUMIFS(IF(E85=År1,'Resultater - Østdanmark'!H$3:H$504,IF(E85=År2,'Resultater - Østdanmark'!I$3:I$504,'Resultater - Østdanmark'!J$3:J$504)),'Resultater - Østdanmark'!$F$3:$F$504,$A85,'Resultater - Østdanmark'!H$3:H$504,"&lt;0"),0))</f>
        <v>0</v>
      </c>
      <c r="J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forbrug'!J$3,'Forbrug af biomasse'!$B$2:$B$425,$F85)</f>
        <v>0</v>
      </c>
      <c r="K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forbrug'!K$3,'Forbrug af biomasse'!$B$2:$B$425,$F85)</f>
        <v>0</v>
      </c>
      <c r="L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forbrug'!L$3,'Forbrug af biomasse'!$B$2:$B$425,$F85)</f>
        <v>0</v>
      </c>
      <c r="M85" s="94">
        <f ca="1">IF(A85&lt;&gt;"Biogas",SUMIFS('Forbrug af biomasse'!$E$2:$E$425,'Forbrug af biomasse'!$C$2:$C$425,'Resultat-Produktion &amp; forbrug'!$A85,'Forbrug af biomasse'!$D$2:$D$425,'Resultat-Produktion &amp; forbrug'!$E85,'Forbrug af biomasse'!$A$2:$A$425,'Resultat-Produktion &amp; forbrug'!M$3,'Forbrug af biomasse'!$B$2:$B$425,$F85),G85)</f>
        <v>0</v>
      </c>
      <c r="N85" s="94">
        <f>SUMIFS('Forbrug af biomasse'!E:E,'Forbrug af biomasse'!C:C,'Resultat-Produktion &amp; forbrug'!$A85,'Forbrug af biomasse'!D:D,'Resultat-Produktion &amp; forbrug'!$E85,'Forbrug af biomasse'!G:G,1,'Forbrug af biomasse'!B:B,$F85)</f>
        <v>0</v>
      </c>
      <c r="O85" s="179">
        <f t="shared" ca="1" si="32"/>
        <v>0</v>
      </c>
      <c r="P85" s="94">
        <f t="shared" ca="1" si="22"/>
        <v>0</v>
      </c>
      <c r="Q85" s="180">
        <f t="shared" ca="1" si="33"/>
        <v>0</v>
      </c>
      <c r="R85">
        <f ca="1">IFERROR(VLOOKUP(A85,[1]Energiindhold!$A$2:$C$11,3,FALSE),IFERROR(VLOOKUP(A85,[1]Biogasudbytte!$A$2:$B$18,2,FALSE)*[1]Energiindhold!$C$10,0))*P85</f>
        <v>0</v>
      </c>
      <c r="S85">
        <f ca="1">IF(A85&lt;&gt;"Biogas",IFERROR(VLOOKUP(A85,[1]Biogasudbytte!$A$2:$B$18,2,FALSE)*[1]Energiindhold!$C$10,0)*K85*IFERROR(VLOOKUP(A85,Biogasanlæg!$F$3:$G$8,2,FALSE),1)+IFERROR(VLOOKUP(A85,[1]Energiindhold!$A$2:$C$11,3,FALSE),0)*M85+IF(E85&lt;&gt;År1,R85,0),0)</f>
        <v>0</v>
      </c>
      <c r="T85">
        <f>IFERROR(VLOOKUP(A85,[1]Biogasudbytte!$A$2:$B$18,2,FALSE)*[1]Energiindhold!$C$10,0)*K85*IFERROR(VLOOKUP(A85,Biogasanlæg!$F$3:$G$8,2,FALSE),1)</f>
        <v>0</v>
      </c>
      <c r="U85" s="170">
        <f t="shared" ca="1" si="34"/>
        <v>0</v>
      </c>
      <c r="V85" s="169">
        <f ca="1">P85*IFERROR(VLOOKUP(A85,[1]Tørstofindhold!A$2:B$24,2,FALSE),0)</f>
        <v>0</v>
      </c>
      <c r="W85">
        <f ca="1">IF(E85=År1,Q85,SUM(P85,Q85))*IFERROR(VLOOKUP(A85,[1]Tørstofindhold!A$2:B$24,2,FALSE),0)</f>
        <v>0</v>
      </c>
      <c r="X85">
        <f>K85*IFERROR(VLOOKUP(A85,[1]Tørstofindhold!A$2:B$24,2,FALSE),0)</f>
        <v>0</v>
      </c>
      <c r="Y85" s="170">
        <f t="shared" ca="1" si="35"/>
        <v>0</v>
      </c>
      <c r="Z85">
        <f t="shared" ca="1" si="23"/>
        <v>0</v>
      </c>
      <c r="AA85">
        <f t="shared" ca="1" si="24"/>
        <v>0</v>
      </c>
      <c r="AB85" s="94">
        <f t="shared" ca="1" si="25"/>
        <v>0</v>
      </c>
      <c r="AC85">
        <f ca="1">AB85*D85*10000*VLOOKUP(A85,[1]kcal!$A$2:$C$49,3,FALSE)/1000000000000</f>
        <v>0</v>
      </c>
    </row>
    <row r="86" spans="1:29" x14ac:dyDescent="0.25">
      <c r="A86" s="171" t="str">
        <f t="shared" ref="A86:A131" si="36">A38</f>
        <v>Råmælk</v>
      </c>
      <c r="B86" s="171" t="str">
        <f t="shared" ref="B86:B131" si="37">IF(B38&lt;&gt;"",B38,"")</f>
        <v/>
      </c>
      <c r="C86" s="171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71">
        <f t="shared" si="21"/>
        <v>0</v>
      </c>
      <c r="E86" s="171">
        <f t="shared" si="20"/>
        <v>2030</v>
      </c>
      <c r="F86" t="s">
        <v>23</v>
      </c>
      <c r="G86" s="94">
        <f>IF(F86="Vestdanmark",SUMIFS(IF(E86=År1,'Resultater - Vestdanmark'!H$3:H$504,IF(E86=År2,'Resultater - Vestdanmark'!I$3:I$504,'Resultater - Vestdanmark'!J$3:J$504)),'Resultater - Vestdanmark'!$F$3:$F$504,$A86,IF(E86=År1,'Resultater - Vestdanmark'!H$3:H$504,IF(E86=År2,'Resultater - Vestdanmark'!I$3:I$504,'Resultater - Vestdanmark'!J$3:J$504)),"&gt;0"),SUMIFS(IF(E86=År1,'Resultater - Østdanmark'!H$3:H$504,IF(E86=År2,'Resultater - Østdanmark'!I$3:I$504,'Resultater - Østdanmark'!J$3:J$504)),'Resultater - Østdanmark'!$F$3:$F$504,$A86,IF(E86=År1,'Resultater - Østdanmark'!H$3:H$504,IF(E86=År2,'Resultater - Østdanmark'!I$3:I$504,'Resultater - Østdanmark'!J$3:J$504)),"&gt;0"))</f>
        <v>4870431.535367866</v>
      </c>
      <c r="H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forbrug'!H$3,'Forbrug af biomasse'!$B$2:$B$425,$F86)</f>
        <v>0</v>
      </c>
      <c r="I86">
        <f>IF(F86="Vestdanmark",-IF(A86="Halm",SUMIFS(IF(E86=År1,'Resultater - Vestdanmark'!H$3:H$504,IF(E86=År2,'Resultater - Vestdanmark'!I$3:I$504,'Resultater - Vestdanmark'!J$3:J$504)),'Resultater - Vestdanmark'!$F$3:$F$504,$A86,'Resultater - Vestdanmark'!H$3:H$504,"&lt;0"),0),-IF(A86="Halm",SUMIFS(IF(E86=År1,'Resultater - Østdanmark'!H$3:H$504,IF(E86=År2,'Resultater - Østdanmark'!I$3:I$504,'Resultater - Østdanmark'!J$3:J$504)),'Resultater - Østdanmark'!$F$3:$F$504,$A86,'Resultater - Østdanmark'!H$3:H$504,"&lt;0"),0))</f>
        <v>0</v>
      </c>
      <c r="J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forbrug'!J$3,'Forbrug af biomasse'!$B$2:$B$425,$F86)</f>
        <v>0</v>
      </c>
      <c r="K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forbrug'!K$3,'Forbrug af biomasse'!$B$2:$B$425,$F86)</f>
        <v>0</v>
      </c>
      <c r="L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forbrug'!L$3,'Forbrug af biomasse'!$B$2:$B$425,$F86)</f>
        <v>0</v>
      </c>
      <c r="M86" s="94">
        <f>IF(A86&lt;&gt;"Biogas",SUMIFS('Forbrug af biomasse'!$E$2:$E$425,'Forbrug af biomasse'!$C$2:$C$425,'Resultat-Produktion &amp; forbrug'!$A86,'Forbrug af biomasse'!$D$2:$D$425,'Resultat-Produktion &amp; forbrug'!$E86,'Forbrug af biomasse'!$A$2:$A$425,'Resultat-Produktion &amp; forbrug'!M$3,'Forbrug af biomasse'!$B$2:$B$425,$F86),G86)</f>
        <v>0</v>
      </c>
      <c r="N86" s="94">
        <f>SUMIFS('Forbrug af biomasse'!E:E,'Forbrug af biomasse'!C:C,'Resultat-Produktion &amp; forbrug'!$A86,'Forbrug af biomasse'!D:D,'Resultat-Produktion &amp; forbrug'!$E86,'Forbrug af biomasse'!G:G,1,'Forbrug af biomasse'!B:B,$F86)</f>
        <v>0</v>
      </c>
      <c r="O86" s="179">
        <f t="shared" si="26"/>
        <v>4870431.535367866</v>
      </c>
      <c r="P86" s="94">
        <f t="shared" si="22"/>
        <v>0</v>
      </c>
      <c r="Q86" s="180">
        <f t="shared" si="27"/>
        <v>0</v>
      </c>
      <c r="R86">
        <f>IFERROR(VLOOKUP(A86,[1]Energiindhold!$A$2:$C$11,3,FALSE),IFERROR(VLOOKUP(A86,[1]Biogasudbytte!$A$2:$B$18,2,FALSE)*[1]Energiindhold!$C$10,0))*P86</f>
        <v>0</v>
      </c>
      <c r="S86">
        <f>IF(A86&lt;&gt;"Biogas",IFERROR(VLOOKUP(A86,[1]Biogasudbytte!$A$2:$B$18,2,FALSE)*[1]Energiindhold!$C$10,0)*K86*IFERROR(VLOOKUP(A86,Biogasanlæg!$F$3:$G$8,2,FALSE),1)+IFERROR(VLOOKUP(A86,[1]Energiindhold!$A$2:$C$11,3,FALSE),0)*M86+IF(E86&lt;&gt;År1,R86,0),0)</f>
        <v>0</v>
      </c>
      <c r="T86">
        <f>IFERROR(VLOOKUP(A86,[1]Biogasudbytte!$A$2:$B$18,2,FALSE)*[1]Energiindhold!$C$10,0)*K86*IFERROR(VLOOKUP(A86,Biogasanlæg!$F$3:$G$8,2,FALSE),1)</f>
        <v>0</v>
      </c>
      <c r="U86" s="170">
        <f t="shared" si="28"/>
        <v>0</v>
      </c>
      <c r="V86" s="169">
        <f>P86*IFERROR(VLOOKUP(A86,[1]Tørstofindhold!A$2:B$24,2,FALSE),0)</f>
        <v>0</v>
      </c>
      <c r="W86">
        <f>IF(E86=År1,Q86,SUM(P86,Q86))*IFERROR(VLOOKUP(A86,[1]Tørstofindhold!A$2:B$24,2,FALSE),0)</f>
        <v>0</v>
      </c>
      <c r="X86">
        <f>K86*IFERROR(VLOOKUP(A86,[1]Tørstofindhold!A$2:B$24,2,FALSE),0)</f>
        <v>0</v>
      </c>
      <c r="Y86" s="170">
        <f t="shared" si="29"/>
        <v>0</v>
      </c>
      <c r="Z86">
        <f t="shared" ca="1" si="23"/>
        <v>0</v>
      </c>
      <c r="AA86">
        <f t="shared" ca="1" si="24"/>
        <v>1</v>
      </c>
      <c r="AB86" s="94">
        <f t="shared" si="25"/>
        <v>4870431.535367866</v>
      </c>
      <c r="AC86">
        <f>AB86*D86*10000*VLOOKUP(A86,[1]kcal!$A$2:$C$49,3,FALSE)/1000000000000</f>
        <v>0</v>
      </c>
    </row>
    <row r="87" spans="1:29" x14ac:dyDescent="0.25">
      <c r="A87" s="171" t="str">
        <f t="shared" si="36"/>
        <v>Raps</v>
      </c>
      <c r="B87" s="171" t="str">
        <f t="shared" si="37"/>
        <v/>
      </c>
      <c r="C87" s="171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71">
        <f t="shared" si="21"/>
        <v>0</v>
      </c>
      <c r="E87" s="171">
        <f t="shared" si="20"/>
        <v>2030</v>
      </c>
      <c r="F87" t="s">
        <v>23</v>
      </c>
      <c r="G87" s="94">
        <f>IF(F87="Vestdanmark",SUMIFS(IF(E87=År1,'Resultater - Vestdanmark'!H$3:H$504,IF(E87=År2,'Resultater - Vestdanmark'!I$3:I$504,'Resultater - Vestdanmark'!J$3:J$504)),'Resultater - Vestdanmark'!$F$3:$F$504,$A87,IF(E87=År1,'Resultater - Vestdanmark'!H$3:H$504,IF(E87=År2,'Resultater - Vestdanmark'!I$3:I$504,'Resultater - Vestdanmark'!J$3:J$504)),"&gt;0"),SUMIFS(IF(E87=År1,'Resultater - Østdanmark'!H$3:H$504,IF(E87=År2,'Resultater - Østdanmark'!I$3:I$504,'Resultater - Østdanmark'!J$3:J$504)),'Resultater - Østdanmark'!$F$3:$F$504,$A87,IF(E87=År1,'Resultater - Østdanmark'!H$3:H$504,IF(E87=År2,'Resultater - Østdanmark'!I$3:I$504,'Resultater - Østdanmark'!J$3:J$504)),"&gt;0"))</f>
        <v>483154.34823584778</v>
      </c>
      <c r="H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forbrug'!H$3,'Forbrug af biomasse'!$B$2:$B$425,$F87)</f>
        <v>0</v>
      </c>
      <c r="I87">
        <f>IF(F87="Vestdanmark",-IF(A87="Halm",SUMIFS(IF(E87=År1,'Resultater - Vestdanmark'!H$3:H$504,IF(E87=År2,'Resultater - Vestdanmark'!I$3:I$504,'Resultater - Vestdanmark'!J$3:J$504)),'Resultater - Vestdanmark'!$F$3:$F$504,$A87,'Resultater - Vestdanmark'!H$3:H$504,"&lt;0"),0),-IF(A87="Halm",SUMIFS(IF(E87=År1,'Resultater - Østdanmark'!H$3:H$504,IF(E87=År2,'Resultater - Østdanmark'!I$3:I$504,'Resultater - Østdanmark'!J$3:J$504)),'Resultater - Østdanmark'!$F$3:$F$504,$A87,'Resultater - Østdanmark'!H$3:H$504,"&lt;0"),0))</f>
        <v>0</v>
      </c>
      <c r="J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forbrug'!J$3,'Forbrug af biomasse'!$B$2:$B$425,$F87)</f>
        <v>0</v>
      </c>
      <c r="K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forbrug'!K$3,'Forbrug af biomasse'!$B$2:$B$425,$F87)</f>
        <v>0</v>
      </c>
      <c r="L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forbrug'!L$3,'Forbrug af biomasse'!$B$2:$B$425,$F87)</f>
        <v>0</v>
      </c>
      <c r="M87" s="94">
        <f>IF(A87&lt;&gt;"Biogas",SUMIFS('Forbrug af biomasse'!$E$2:$E$425,'Forbrug af biomasse'!$C$2:$C$425,'Resultat-Produktion &amp; forbrug'!$A87,'Forbrug af biomasse'!$D$2:$D$425,'Resultat-Produktion &amp; forbrug'!$E87,'Forbrug af biomasse'!$A$2:$A$425,'Resultat-Produktion &amp; forbrug'!M$3,'Forbrug af biomasse'!$B$2:$B$425,$F87),G87)</f>
        <v>0</v>
      </c>
      <c r="N87" s="94">
        <f>SUMIFS('Forbrug af biomasse'!E:E,'Forbrug af biomasse'!C:C,'Resultat-Produktion &amp; forbrug'!$A87,'Forbrug af biomasse'!D:D,'Resultat-Produktion &amp; forbrug'!$E87,'Forbrug af biomasse'!G:G,1,'Forbrug af biomasse'!B:B,$F87)</f>
        <v>483154.34823584778</v>
      </c>
      <c r="O87" s="179">
        <f t="shared" si="26"/>
        <v>0</v>
      </c>
      <c r="P87" s="94">
        <f t="shared" si="22"/>
        <v>0</v>
      </c>
      <c r="Q87" s="180">
        <f t="shared" si="27"/>
        <v>0</v>
      </c>
      <c r="R87">
        <f>IFERROR(VLOOKUP(A87,[1]Energiindhold!$A$2:$C$11,3,FALSE),IFERROR(VLOOKUP(A87,[1]Biogasudbytte!$A$2:$B$18,2,FALSE)*[1]Energiindhold!$C$10,0))*P87</f>
        <v>0</v>
      </c>
      <c r="S87">
        <f>IF(A87&lt;&gt;"Biogas",IFERROR(VLOOKUP(A87,[1]Biogasudbytte!$A$2:$B$18,2,FALSE)*[1]Energiindhold!$C$10,0)*K87*IFERROR(VLOOKUP(A87,Biogasanlæg!$F$3:$G$8,2,FALSE),1)+IFERROR(VLOOKUP(A87,[1]Energiindhold!$A$2:$C$11,3,FALSE),0)*M87+IF(E87&lt;&gt;År1,R87,0),0)</f>
        <v>0</v>
      </c>
      <c r="T87">
        <f>IFERROR(VLOOKUP(A87,[1]Biogasudbytte!$A$2:$B$18,2,FALSE)*[1]Energiindhold!$C$10,0)*K87*IFERROR(VLOOKUP(A87,Biogasanlæg!$F$3:$G$8,2,FALSE),1)</f>
        <v>0</v>
      </c>
      <c r="U87" s="170">
        <f t="shared" si="28"/>
        <v>0</v>
      </c>
      <c r="V87" s="169">
        <f>P87*IFERROR(VLOOKUP(A87,[1]Tørstofindhold!A$2:B$24,2,FALSE),0)</f>
        <v>0</v>
      </c>
      <c r="W87">
        <f>IF(E87=År1,Q87,SUM(P87,Q87))*IFERROR(VLOOKUP(A87,[1]Tørstofindhold!A$2:B$24,2,FALSE),0)</f>
        <v>0</v>
      </c>
      <c r="X87">
        <f>K87*IFERROR(VLOOKUP(A87,[1]Tørstofindhold!A$2:B$24,2,FALSE),0)</f>
        <v>0</v>
      </c>
      <c r="Y87" s="170">
        <f t="shared" si="29"/>
        <v>0</v>
      </c>
      <c r="Z87">
        <f t="shared" si="23"/>
        <v>0</v>
      </c>
      <c r="AA87">
        <f t="shared" si="24"/>
        <v>0</v>
      </c>
      <c r="AB87" s="94">
        <f t="shared" si="25"/>
        <v>483154.34823584778</v>
      </c>
      <c r="AC87">
        <f>AB87*D87*10000*VLOOKUP(A87,[1]kcal!$A$2:$C$49,3,FALSE)/1000000000000</f>
        <v>0</v>
      </c>
    </row>
    <row r="88" spans="1:29" x14ac:dyDescent="0.25">
      <c r="A88" s="171" t="str">
        <f t="shared" si="36"/>
        <v>Rapskage</v>
      </c>
      <c r="B88" s="171" t="str">
        <f t="shared" si="37"/>
        <v/>
      </c>
      <c r="C88" s="171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0</v>
      </c>
      <c r="D88" s="171">
        <f t="shared" si="21"/>
        <v>0</v>
      </c>
      <c r="E88" s="171">
        <f t="shared" si="20"/>
        <v>2030</v>
      </c>
      <c r="F88" t="s">
        <v>23</v>
      </c>
      <c r="G88" s="94">
        <f>IF(F88="Vestdanmark",SUMIFS(IF(E88=År1,'Resultater - Vestdanmark'!H$3:H$504,IF(E88=År2,'Resultater - Vestdanmark'!I$3:I$504,'Resultater - Vestdanmark'!J$3:J$504)),'Resultater - Vestdanmark'!$F$3:$F$504,$A88,IF(E88=År1,'Resultater - Vestdanmark'!H$3:H$504,IF(E88=År2,'Resultater - Vestdanmark'!I$3:I$504,'Resultater - Vestdanmark'!J$3:J$504)),"&gt;0"),SUMIFS(IF(E88=År1,'Resultater - Østdanmark'!H$3:H$504,IF(E88=År2,'Resultater - Østdanmark'!I$3:I$504,'Resultater - Østdanmark'!J$3:J$504)),'Resultater - Østdanmark'!$F$3:$F$504,$A88,IF(E88=År1,'Resultater - Østdanmark'!H$3:H$504,IF(E88=År2,'Resultater - Østdanmark'!I$3:I$504,'Resultater - Østdanmark'!J$3:J$504)),"&gt;0"))</f>
        <v>241577.17411792389</v>
      </c>
      <c r="H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forbrug'!H$3,'Forbrug af biomasse'!$B$2:$B$425,$F88)</f>
        <v>208821.40901429488</v>
      </c>
      <c r="I88">
        <f>IF(F88="Vestdanmark",-IF(A88="Halm",SUMIFS(IF(E88=År1,'Resultater - Vestdanmark'!H$3:H$504,IF(E88=År2,'Resultater - Vestdanmark'!I$3:I$504,'Resultater - Vestdanmark'!J$3:J$504)),'Resultater - Vestdanmark'!$F$3:$F$504,$A88,'Resultater - Vestdanmark'!H$3:H$504,"&lt;0"),0),-IF(A88="Halm",SUMIFS(IF(E88=År1,'Resultater - Østdanmark'!H$3:H$504,IF(E88=År2,'Resultater - Østdanmark'!I$3:I$504,'Resultater - Østdanmark'!J$3:J$504)),'Resultater - Østdanmark'!$F$3:$F$504,$A88,'Resultater - Østdanmark'!H$3:H$504,"&lt;0"),0))</f>
        <v>0</v>
      </c>
      <c r="J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forbrug'!J$3,'Forbrug af biomasse'!$B$2:$B$425,$F88)</f>
        <v>0</v>
      </c>
      <c r="K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forbrug'!K$3,'Forbrug af biomasse'!$B$2:$B$425,$F88)</f>
        <v>0</v>
      </c>
      <c r="L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forbrug'!L$3,'Forbrug af biomasse'!$B$2:$B$425,$F88)</f>
        <v>0</v>
      </c>
      <c r="M88" s="94">
        <f>IF(A88&lt;&gt;"Biogas",SUMIFS('Forbrug af biomasse'!$E$2:$E$425,'Forbrug af biomasse'!$C$2:$C$425,'Resultat-Produktion &amp; forbrug'!$A88,'Forbrug af biomasse'!$D$2:$D$425,'Resultat-Produktion &amp; forbrug'!$E88,'Forbrug af biomasse'!$A$2:$A$425,'Resultat-Produktion &amp; forbrug'!M$3,'Forbrug af biomasse'!$B$2:$B$425,$F88),G88)</f>
        <v>0</v>
      </c>
      <c r="N88" s="94">
        <f>SUMIFS('Forbrug af biomasse'!E:E,'Forbrug af biomasse'!C:C,'Resultat-Produktion &amp; forbrug'!$A88,'Forbrug af biomasse'!D:D,'Resultat-Produktion &amp; forbrug'!$E88,'Forbrug af biomasse'!G:G,1,'Forbrug af biomasse'!B:B,$F88)</f>
        <v>0</v>
      </c>
      <c r="O88" s="179">
        <f t="shared" si="26"/>
        <v>32755.765103629004</v>
      </c>
      <c r="P88" s="94">
        <f t="shared" si="22"/>
        <v>0</v>
      </c>
      <c r="Q88" s="180">
        <f t="shared" si="27"/>
        <v>0</v>
      </c>
      <c r="R88">
        <f>IFERROR(VLOOKUP(A88,[1]Energiindhold!$A$2:$C$11,3,FALSE),IFERROR(VLOOKUP(A88,[1]Biogasudbytte!$A$2:$B$18,2,FALSE)*[1]Energiindhold!$C$10,0))*P88</f>
        <v>0</v>
      </c>
      <c r="S88">
        <f>IF(A88&lt;&gt;"Biogas",IFERROR(VLOOKUP(A88,[1]Biogasudbytte!$A$2:$B$18,2,FALSE)*[1]Energiindhold!$C$10,0)*K88*IFERROR(VLOOKUP(A88,Biogasanlæg!$F$3:$G$8,2,FALSE),1)+IFERROR(VLOOKUP(A88,[1]Energiindhold!$A$2:$C$11,3,FALSE),0)*M88+IF(E88&lt;&gt;År1,R88,0),0)</f>
        <v>0</v>
      </c>
      <c r="T88">
        <f>IFERROR(VLOOKUP(A88,[1]Biogasudbytte!$A$2:$B$18,2,FALSE)*[1]Energiindhold!$C$10,0)*K88*IFERROR(VLOOKUP(A88,Biogasanlæg!$F$3:$G$8,2,FALSE),1)</f>
        <v>0</v>
      </c>
      <c r="U88" s="170">
        <f t="shared" si="28"/>
        <v>0</v>
      </c>
      <c r="V88" s="169">
        <f>P88*IFERROR(VLOOKUP(A88,[1]Tørstofindhold!A$2:B$24,2,FALSE),0)</f>
        <v>0</v>
      </c>
      <c r="W88">
        <f>IF(E88=År1,Q88,SUM(P88,Q88))*IFERROR(VLOOKUP(A88,[1]Tørstofindhold!A$2:B$24,2,FALSE),0)</f>
        <v>0</v>
      </c>
      <c r="X88">
        <f>K88*IFERROR(VLOOKUP(A88,[1]Tørstofindhold!A$2:B$24,2,FALSE),0)</f>
        <v>0</v>
      </c>
      <c r="Y88" s="170">
        <f t="shared" si="29"/>
        <v>0</v>
      </c>
      <c r="Z88">
        <f t="shared" ca="1" si="23"/>
        <v>0</v>
      </c>
      <c r="AA88">
        <f t="shared" ca="1" si="24"/>
        <v>1</v>
      </c>
      <c r="AB88" s="94">
        <f t="shared" si="25"/>
        <v>32755.765103629004</v>
      </c>
      <c r="AC88">
        <f>AB88*D88*10000*VLOOKUP(A88,[1]kcal!$A$2:$C$49,3,FALSE)/1000000000000</f>
        <v>0</v>
      </c>
    </row>
    <row r="89" spans="1:29" x14ac:dyDescent="0.25">
      <c r="A89" s="171" t="str">
        <f t="shared" si="36"/>
        <v>Rapsolie</v>
      </c>
      <c r="B89" s="171" t="str">
        <f t="shared" si="37"/>
        <v>Rapsolie</v>
      </c>
      <c r="C89" s="171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71">
        <f t="shared" si="21"/>
        <v>1</v>
      </c>
      <c r="E89" s="171">
        <f t="shared" si="20"/>
        <v>2030</v>
      </c>
      <c r="F89" t="s">
        <v>23</v>
      </c>
      <c r="G89" s="94">
        <f>IF(F89="Vestdanmark",SUMIFS(IF(E89=År1,'Resultater - Vestdanmark'!H$3:H$504,IF(E89=År2,'Resultater - Vestdanmark'!I$3:I$504,'Resultater - Vestdanmark'!J$3:J$504)),'Resultater - Vestdanmark'!$F$3:$F$504,$A89,IF(E89=År1,'Resultater - Vestdanmark'!H$3:H$504,IF(E89=År2,'Resultater - Vestdanmark'!I$3:I$504,'Resultater - Vestdanmark'!J$3:J$504)),"&gt;0"),SUMIFS(IF(E89=År1,'Resultater - Østdanmark'!H$3:H$504,IF(E89=År2,'Resultater - Østdanmark'!I$3:I$504,'Resultater - Østdanmark'!J$3:J$504)),'Resultater - Østdanmark'!$F$3:$F$504,$A89,IF(E89=År1,'Resultater - Østdanmark'!H$3:H$504,IF(E89=År2,'Resultater - Østdanmark'!I$3:I$504,'Resultater - Østdanmark'!J$3:J$504)),"&gt;0"))</f>
        <v>154609.39143547131</v>
      </c>
      <c r="H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forbrug'!H$3,'Forbrug af biomasse'!$B$2:$B$425,$F89)</f>
        <v>0</v>
      </c>
      <c r="I89">
        <f>IF(F89="Vestdanmark",-IF(A89="Halm",SUMIFS(IF(E89=År1,'Resultater - Vestdanmark'!H$3:H$504,IF(E89=År2,'Resultater - Vestdanmark'!I$3:I$504,'Resultater - Vestdanmark'!J$3:J$504)),'Resultater - Vestdanmark'!$F$3:$F$504,$A89,'Resultater - Vestdanmark'!H$3:H$504,"&lt;0"),0),-IF(A89="Halm",SUMIFS(IF(E89=År1,'Resultater - Østdanmark'!H$3:H$504,IF(E89=År2,'Resultater - Østdanmark'!I$3:I$504,'Resultater - Østdanmark'!J$3:J$504)),'Resultater - Østdanmark'!$F$3:$F$504,$A89,'Resultater - Østdanmark'!H$3:H$504,"&lt;0"),0))</f>
        <v>0</v>
      </c>
      <c r="J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forbrug'!J$3,'Forbrug af biomasse'!$B$2:$B$425,$F89)</f>
        <v>0</v>
      </c>
      <c r="K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forbrug'!K$3,'Forbrug af biomasse'!$B$2:$B$425,$F89)</f>
        <v>0</v>
      </c>
      <c r="L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forbrug'!L$3,'Forbrug af biomasse'!$B$2:$B$425,$F89)</f>
        <v>0</v>
      </c>
      <c r="M89" s="94">
        <f>IF(A89&lt;&gt;"Biogas",SUMIFS('Forbrug af biomasse'!$E$2:$E$425,'Forbrug af biomasse'!$C$2:$C$425,'Resultat-Produktion &amp; forbrug'!$A89,'Forbrug af biomasse'!$D$2:$D$425,'Resultat-Produktion &amp; forbrug'!$E89,'Forbrug af biomasse'!$A$2:$A$425,'Resultat-Produktion &amp; forbrug'!M$3,'Forbrug af biomasse'!$B$2:$B$425,$F89),G89)</f>
        <v>154609.39143547131</v>
      </c>
      <c r="N89" s="94">
        <f>SUMIFS('Forbrug af biomasse'!E:E,'Forbrug af biomasse'!C:C,'Resultat-Produktion &amp; forbrug'!$A89,'Forbrug af biomasse'!D:D,'Resultat-Produktion &amp; forbrug'!$E89,'Forbrug af biomasse'!G:G,1,'Forbrug af biomasse'!B:B,$F89)</f>
        <v>0</v>
      </c>
      <c r="O89" s="179">
        <f t="shared" si="26"/>
        <v>0</v>
      </c>
      <c r="P89" s="94">
        <f t="shared" si="22"/>
        <v>0</v>
      </c>
      <c r="Q89" s="180">
        <f t="shared" si="27"/>
        <v>154609.39143547131</v>
      </c>
      <c r="R89">
        <f>IFERROR(VLOOKUP(A89,[1]Energiindhold!$A$2:$C$11,3,FALSE),IFERROR(VLOOKUP(A89,[1]Biogasudbytte!$A$2:$B$18,2,FALSE)*[1]Energiindhold!$C$10,0))*P89</f>
        <v>0</v>
      </c>
      <c r="S89">
        <f>IF(A89&lt;&gt;"Biogas",IFERROR(VLOOKUP(A89,[1]Biogasudbytte!$A$2:$B$18,2,FALSE)*[1]Energiindhold!$C$10,0)*K89*IFERROR(VLOOKUP(A89,Biogasanlæg!$F$3:$G$8,2,FALSE),1)+IFERROR(VLOOKUP(A89,[1]Energiindhold!$A$2:$C$11,3,FALSE),0)*M89+IF(E89&lt;&gt;År1,R89,0),0)</f>
        <v>5.4113287002414951</v>
      </c>
      <c r="T89">
        <f>IFERROR(VLOOKUP(A89,[1]Biogasudbytte!$A$2:$B$18,2,FALSE)*[1]Energiindhold!$C$10,0)*K89*IFERROR(VLOOKUP(A89,Biogasanlæg!$F$3:$G$8,2,FALSE),1)</f>
        <v>0</v>
      </c>
      <c r="U89" s="170">
        <f t="shared" si="28"/>
        <v>5.4113287002414951</v>
      </c>
      <c r="V89" s="169">
        <f>P89*IFERROR(VLOOKUP(A89,[1]Tørstofindhold!A$2:B$24,2,FALSE),0)</f>
        <v>0</v>
      </c>
      <c r="W89">
        <f>IF(E89=År1,Q89,SUM(P89,Q89))*IFERROR(VLOOKUP(A89,[1]Tørstofindhold!A$2:B$24,2,FALSE),0)</f>
        <v>0</v>
      </c>
      <c r="X89">
        <f>K89*IFERROR(VLOOKUP(A89,[1]Tørstofindhold!A$2:B$24,2,FALSE),0)</f>
        <v>0</v>
      </c>
      <c r="Y89" s="170">
        <f t="shared" si="29"/>
        <v>0</v>
      </c>
      <c r="Z89">
        <f t="shared" si="23"/>
        <v>0</v>
      </c>
      <c r="AA89">
        <f t="shared" si="24"/>
        <v>0</v>
      </c>
      <c r="AB89" s="94">
        <f t="shared" si="25"/>
        <v>154609.39143547131</v>
      </c>
      <c r="AC89">
        <f>AB89*D89*10000*VLOOKUP(A89,[1]kcal!$A$2:$C$49,3,FALSE)/1000000000000</f>
        <v>1.3914845229192416</v>
      </c>
    </row>
    <row r="90" spans="1:29" x14ac:dyDescent="0.25">
      <c r="A90" s="171" t="str">
        <f t="shared" si="36"/>
        <v>Roer</v>
      </c>
      <c r="B90" s="171" t="str">
        <f t="shared" si="37"/>
        <v>Græs og urter</v>
      </c>
      <c r="C90" s="171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1</v>
      </c>
      <c r="D90" s="171">
        <f t="shared" si="21"/>
        <v>1</v>
      </c>
      <c r="E90" s="171">
        <f t="shared" si="20"/>
        <v>2030</v>
      </c>
      <c r="F90" t="s">
        <v>23</v>
      </c>
      <c r="G90" s="94">
        <f>IF(F90="Vestdanmark",SUMIFS(IF(E90=År1,'Resultater - Vestdanmark'!H$3:H$504,IF(E90=År2,'Resultater - Vestdanmark'!I$3:I$504,'Resultater - Vestdanmark'!J$3:J$504)),'Resultater - Vestdanmark'!$F$3:$F$504,$A90,IF(E90=År1,'Resultater - Vestdanmark'!H$3:H$504,IF(E90=År2,'Resultater - Vestdanmark'!I$3:I$504,'Resultater - Vestdanmark'!J$3:J$504)),"&gt;0"),SUMIFS(IF(E90=År1,'Resultater - Østdanmark'!H$3:H$504,IF(E90=År2,'Resultater - Østdanmark'!I$3:I$504,'Resultater - Østdanmark'!J$3:J$504)),'Resultater - Østdanmark'!$F$3:$F$504,$A90,IF(E90=År1,'Resultater - Østdanmark'!H$3:H$504,IF(E90=År2,'Resultater - Østdanmark'!I$3:I$504,'Resultater - Østdanmark'!J$3:J$504)),"&gt;0"))</f>
        <v>376249.55505520181</v>
      </c>
      <c r="H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forbrug'!H$3,'Forbrug af biomasse'!$B$2:$B$425,$F90)</f>
        <v>820432.23039507493</v>
      </c>
      <c r="I90">
        <f>IF(F90="Vestdanmark",-IF(A90="Halm",SUMIFS(IF(E90=År1,'Resultater - Vestdanmark'!H$3:H$504,IF(E90=År2,'Resultater - Vestdanmark'!I$3:I$504,'Resultater - Vestdanmark'!J$3:J$504)),'Resultater - Vestdanmark'!$F$3:$F$504,$A90,'Resultater - Vestdanmark'!H$3:H$504,"&lt;0"),0),-IF(A90="Halm",SUMIFS(IF(E90=År1,'Resultater - Østdanmark'!H$3:H$504,IF(E90=År2,'Resultater - Østdanmark'!I$3:I$504,'Resultater - Østdanmark'!J$3:J$504)),'Resultater - Østdanmark'!$F$3:$F$504,$A90,'Resultater - Østdanmark'!H$3:H$504,"&lt;0"),0))</f>
        <v>0</v>
      </c>
      <c r="J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forbrug'!J$3,'Forbrug af biomasse'!$B$2:$B$425,$F90)</f>
        <v>0</v>
      </c>
      <c r="K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forbrug'!K$3,'Forbrug af biomasse'!$B$2:$B$425,$F90)</f>
        <v>0</v>
      </c>
      <c r="L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forbrug'!L$3,'Forbrug af biomasse'!$B$2:$B$425,$F90)</f>
        <v>0</v>
      </c>
      <c r="M90" s="94">
        <f>IF(A90&lt;&gt;"Biogas",SUMIFS('Forbrug af biomasse'!$E$2:$E$425,'Forbrug af biomasse'!$C$2:$C$425,'Resultat-Produktion &amp; forbrug'!$A90,'Forbrug af biomasse'!$D$2:$D$425,'Resultat-Produktion &amp; forbrug'!$E90,'Forbrug af biomasse'!$A$2:$A$425,'Resultat-Produktion &amp; forbrug'!M$3,'Forbrug af biomasse'!$B$2:$B$425,$F90),G90)</f>
        <v>0</v>
      </c>
      <c r="N90" s="94">
        <f>SUMIFS('Forbrug af biomasse'!E:E,'Forbrug af biomasse'!C:C,'Resultat-Produktion &amp; forbrug'!$A90,'Forbrug af biomasse'!D:D,'Resultat-Produktion &amp; forbrug'!$E90,'Forbrug af biomasse'!G:G,1,'Forbrug af biomasse'!B:B,$F90)</f>
        <v>0</v>
      </c>
      <c r="O90" s="179">
        <f t="shared" si="26"/>
        <v>-444182.67533987312</v>
      </c>
      <c r="P90" s="94">
        <f t="shared" ca="1" si="22"/>
        <v>0</v>
      </c>
      <c r="Q90" s="180">
        <f t="shared" si="27"/>
        <v>0</v>
      </c>
      <c r="R90">
        <f ca="1">IFERROR(VLOOKUP(A90,[1]Energiindhold!$A$2:$C$11,3,FALSE),IFERROR(VLOOKUP(A90,[1]Biogasudbytte!$A$2:$B$18,2,FALSE)*[1]Energiindhold!$C$10,0))*P90</f>
        <v>0</v>
      </c>
      <c r="S90">
        <f ca="1">IF(A90&lt;&gt;"Biogas",IFERROR(VLOOKUP(A90,[1]Biogasudbytte!$A$2:$B$18,2,FALSE)*[1]Energiindhold!$C$10,0)*K90*IFERROR(VLOOKUP(A90,Biogasanlæg!$F$3:$G$8,2,FALSE),1)+IFERROR(VLOOKUP(A90,[1]Energiindhold!$A$2:$C$11,3,FALSE),0)*M90+IF(E90&lt;&gt;År1,R90,0),0)</f>
        <v>0</v>
      </c>
      <c r="T90">
        <f>IFERROR(VLOOKUP(A90,[1]Biogasudbytte!$A$2:$B$18,2,FALSE)*[1]Energiindhold!$C$10,0)*K90*IFERROR(VLOOKUP(A90,Biogasanlæg!$F$3:$G$8,2,FALSE),1)</f>
        <v>0</v>
      </c>
      <c r="U90" s="170">
        <f t="shared" ca="1" si="28"/>
        <v>0</v>
      </c>
      <c r="V90" s="169">
        <f ca="1">P90*IFERROR(VLOOKUP(A90,[1]Tørstofindhold!A$2:B$24,2,FALSE),0)</f>
        <v>0</v>
      </c>
      <c r="W90">
        <f ca="1">IF(E90=År1,Q90,SUM(P90,Q90))*IFERROR(VLOOKUP(A90,[1]Tørstofindhold!A$2:B$24,2,FALSE),0)</f>
        <v>0</v>
      </c>
      <c r="X90">
        <f>K90*IFERROR(VLOOKUP(A90,[1]Tørstofindhold!A$2:B$24,2,FALSE),0)</f>
        <v>0</v>
      </c>
      <c r="Y90" s="170">
        <f t="shared" ca="1" si="29"/>
        <v>0</v>
      </c>
      <c r="Z90">
        <f t="shared" ca="1" si="23"/>
        <v>0</v>
      </c>
      <c r="AA90">
        <f t="shared" ca="1" si="24"/>
        <v>1</v>
      </c>
      <c r="AB90" s="94">
        <f t="shared" si="25"/>
        <v>-444182.67533987312</v>
      </c>
      <c r="AC90">
        <f>AB90*D90*10000*VLOOKUP(A90,[1]kcal!$A$2:$C$49,3,FALSE)/1000000000000</f>
        <v>-0.13325480260196196</v>
      </c>
    </row>
    <row r="91" spans="1:29" x14ac:dyDescent="0.25">
      <c r="A91" s="171" t="str">
        <f t="shared" si="36"/>
        <v>Slagteriaffald til andet</v>
      </c>
      <c r="B91" s="171" t="str">
        <f t="shared" si="37"/>
        <v/>
      </c>
      <c r="C91" s="171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71">
        <f t="shared" si="21"/>
        <v>0</v>
      </c>
      <c r="E91" s="171">
        <f t="shared" si="20"/>
        <v>2030</v>
      </c>
      <c r="F91" t="s">
        <v>23</v>
      </c>
      <c r="G91" s="94">
        <f>IF(F91="Vestdanmark",SUMIFS(IF(E91=År1,'Resultater - Vestdanmark'!H$3:H$504,IF(E91=År2,'Resultater - Vestdanmark'!I$3:I$504,'Resultater - Vestdanmark'!J$3:J$504)),'Resultater - Vestdanmark'!$F$3:$F$504,$A91,IF(E91=År1,'Resultater - Vestdanmark'!H$3:H$504,IF(E91=År2,'Resultater - Vestdanmark'!I$3:I$504,'Resultater - Vestdanmark'!J$3:J$504)),"&gt;0"),SUMIFS(IF(E91=År1,'Resultater - Østdanmark'!H$3:H$504,IF(E91=År2,'Resultater - Østdanmark'!I$3:I$504,'Resultater - Østdanmark'!J$3:J$504)),'Resultater - Østdanmark'!$F$3:$F$504,$A91,IF(E91=År1,'Resultater - Østdanmark'!H$3:H$504,IF(E91=År2,'Resultater - Østdanmark'!I$3:I$504,'Resultater - Østdanmark'!J$3:J$504)),"&gt;0"))</f>
        <v>186820.23082427966</v>
      </c>
      <c r="H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forbrug'!H$3,'Forbrug af biomasse'!$B$2:$B$425,$F91)</f>
        <v>0</v>
      </c>
      <c r="I91">
        <f>IF(F91="Vestdanmark",-IF(A91="Halm",SUMIFS(IF(E91=År1,'Resultater - Vestdanmark'!H$3:H$504,IF(E91=År2,'Resultater - Vestdanmark'!I$3:I$504,'Resultater - Vestdanmark'!J$3:J$504)),'Resultater - Vestdanmark'!$F$3:$F$504,$A91,'Resultater - Vestdanmark'!H$3:H$504,"&lt;0"),0),-IF(A91="Halm",SUMIFS(IF(E91=År1,'Resultater - Østdanmark'!H$3:H$504,IF(E91=År2,'Resultater - Østdanmark'!I$3:I$504,'Resultater - Østdanmark'!J$3:J$504)),'Resultater - Østdanmark'!$F$3:$F$504,$A91,'Resultater - Østdanmark'!H$3:H$504,"&lt;0"),0))</f>
        <v>0</v>
      </c>
      <c r="J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forbrug'!J$3,'Forbrug af biomasse'!$B$2:$B$425,$F91)</f>
        <v>0</v>
      </c>
      <c r="K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forbrug'!K$3,'Forbrug af biomasse'!$B$2:$B$425,$F91)</f>
        <v>0</v>
      </c>
      <c r="L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forbrug'!L$3,'Forbrug af biomasse'!$B$2:$B$425,$F91)</f>
        <v>0</v>
      </c>
      <c r="M91" s="94">
        <f>IF(A91&lt;&gt;"Biogas",SUMIFS('Forbrug af biomasse'!$E$2:$E$425,'Forbrug af biomasse'!$C$2:$C$425,'Resultat-Produktion &amp; forbrug'!$A91,'Forbrug af biomasse'!$D$2:$D$425,'Resultat-Produktion &amp; forbrug'!$E91,'Forbrug af biomasse'!$A$2:$A$425,'Resultat-Produktion &amp; forbrug'!M$3,'Forbrug af biomasse'!$B$2:$B$425,$F91),G91)</f>
        <v>0</v>
      </c>
      <c r="N91" s="94">
        <f>SUMIFS('Forbrug af biomasse'!E:E,'Forbrug af biomasse'!C:C,'Resultat-Produktion &amp; forbrug'!$A91,'Forbrug af biomasse'!D:D,'Resultat-Produktion &amp; forbrug'!$E91,'Forbrug af biomasse'!G:G,1,'Forbrug af biomasse'!B:B,$F91)</f>
        <v>0</v>
      </c>
      <c r="O91" s="179">
        <f t="shared" si="26"/>
        <v>186820.23082427966</v>
      </c>
      <c r="P91" s="94">
        <f t="shared" si="22"/>
        <v>0</v>
      </c>
      <c r="Q91" s="180">
        <f t="shared" si="27"/>
        <v>0</v>
      </c>
      <c r="R91">
        <f>IFERROR(VLOOKUP(A91,[1]Energiindhold!$A$2:$C$11,3,FALSE),IFERROR(VLOOKUP(A91,[1]Biogasudbytte!$A$2:$B$18,2,FALSE)*[1]Energiindhold!$C$10,0))*P91</f>
        <v>0</v>
      </c>
      <c r="S91">
        <f>IF(A91&lt;&gt;"Biogas",IFERROR(VLOOKUP(A91,[1]Biogasudbytte!$A$2:$B$18,2,FALSE)*[1]Energiindhold!$C$10,0)*K91*IFERROR(VLOOKUP(A91,Biogasanlæg!$F$3:$G$8,2,FALSE),1)+IFERROR(VLOOKUP(A91,[1]Energiindhold!$A$2:$C$11,3,FALSE),0)*M91+IF(E91&lt;&gt;År1,R91,0),0)</f>
        <v>0</v>
      </c>
      <c r="T91">
        <f>IFERROR(VLOOKUP(A91,[1]Biogasudbytte!$A$2:$B$18,2,FALSE)*[1]Energiindhold!$C$10,0)*K91*IFERROR(VLOOKUP(A91,Biogasanlæg!$F$3:$G$8,2,FALSE),1)</f>
        <v>0</v>
      </c>
      <c r="U91" s="170">
        <f t="shared" si="28"/>
        <v>0</v>
      </c>
      <c r="V91" s="169">
        <f>P91*IFERROR(VLOOKUP(A91,[1]Tørstofindhold!A$2:B$24,2,FALSE),0)</f>
        <v>0</v>
      </c>
      <c r="W91">
        <f>IF(E91=År1,Q91,SUM(P91,Q91))*IFERROR(VLOOKUP(A91,[1]Tørstofindhold!A$2:B$24,2,FALSE),0)</f>
        <v>0</v>
      </c>
      <c r="X91">
        <f>K91*IFERROR(VLOOKUP(A91,[1]Tørstofindhold!A$2:B$24,2,FALSE),0)</f>
        <v>0</v>
      </c>
      <c r="Y91" s="170">
        <f t="shared" si="29"/>
        <v>0</v>
      </c>
      <c r="Z91">
        <f t="shared" ca="1" si="23"/>
        <v>0</v>
      </c>
      <c r="AA91">
        <f t="shared" ca="1" si="24"/>
        <v>1</v>
      </c>
      <c r="AB91" s="94">
        <f t="shared" si="25"/>
        <v>186820.23082427966</v>
      </c>
      <c r="AC91">
        <f>AB91*D91*10000*VLOOKUP(A91,[1]kcal!$A$2:$C$49,3,FALSE)/1000000000000</f>
        <v>0</v>
      </c>
    </row>
    <row r="92" spans="1:29" x14ac:dyDescent="0.25">
      <c r="A92" s="171" t="str">
        <f t="shared" si="36"/>
        <v>Slagteriaffald til foder</v>
      </c>
      <c r="B92" s="171" t="str">
        <f t="shared" si="37"/>
        <v/>
      </c>
      <c r="C92" s="171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0</v>
      </c>
      <c r="D92" s="171">
        <f t="shared" si="21"/>
        <v>0</v>
      </c>
      <c r="E92" s="171">
        <f t="shared" si="20"/>
        <v>2030</v>
      </c>
      <c r="F92" t="s">
        <v>23</v>
      </c>
      <c r="G92" s="94">
        <f>IF(F92="Vestdanmark",SUMIFS(IF(E92=År1,'Resultater - Vestdanmark'!H$3:H$504,IF(E92=År2,'Resultater - Vestdanmark'!I$3:I$504,'Resultater - Vestdanmark'!J$3:J$504)),'Resultater - Vestdanmark'!$F$3:$F$504,$A92,IF(E92=År1,'Resultater - Vestdanmark'!H$3:H$504,IF(E92=År2,'Resultater - Vestdanmark'!I$3:I$504,'Resultater - Vestdanmark'!J$3:J$504)),"&gt;0"),SUMIFS(IF(E92=År1,'Resultater - Østdanmark'!H$3:H$504,IF(E92=År2,'Resultater - Østdanmark'!I$3:I$504,'Resultater - Østdanmark'!J$3:J$504)),'Resultater - Østdanmark'!$F$3:$F$504,$A92,IF(E92=År1,'Resultater - Østdanmark'!H$3:H$504,IF(E92=År2,'Resultater - Østdanmark'!I$3:I$504,'Resultater - Østdanmark'!J$3:J$504)),"&gt;0"))</f>
        <v>125332.48409482336</v>
      </c>
      <c r="H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forbrug'!H$3,'Forbrug af biomasse'!$B$2:$B$425,$F92)</f>
        <v>38444.108772506181</v>
      </c>
      <c r="I92">
        <f>IF(F92="Vestdanmark",-IF(A92="Halm",SUMIFS(IF(E92=År1,'Resultater - Vestdanmark'!H$3:H$504,IF(E92=År2,'Resultater - Vestdanmark'!I$3:I$504,'Resultater - Vestdanmark'!J$3:J$504)),'Resultater - Vestdanmark'!$F$3:$F$504,$A92,'Resultater - Vestdanmark'!H$3:H$504,"&lt;0"),0),-IF(A92="Halm",SUMIFS(IF(E92=År1,'Resultater - Østdanmark'!H$3:H$504,IF(E92=År2,'Resultater - Østdanmark'!I$3:I$504,'Resultater - Østdanmark'!J$3:J$504)),'Resultater - Østdanmark'!$F$3:$F$504,$A92,'Resultater - Østdanmark'!H$3:H$504,"&lt;0"),0))</f>
        <v>0</v>
      </c>
      <c r="J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forbrug'!J$3,'Forbrug af biomasse'!$B$2:$B$425,$F92)</f>
        <v>0</v>
      </c>
      <c r="K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forbrug'!K$3,'Forbrug af biomasse'!$B$2:$B$425,$F92)</f>
        <v>0</v>
      </c>
      <c r="L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forbrug'!L$3,'Forbrug af biomasse'!$B$2:$B$425,$F92)</f>
        <v>0</v>
      </c>
      <c r="M92" s="94">
        <f>IF(A92&lt;&gt;"Biogas",SUMIFS('Forbrug af biomasse'!$E$2:$E$425,'Forbrug af biomasse'!$C$2:$C$425,'Resultat-Produktion &amp; forbrug'!$A92,'Forbrug af biomasse'!$D$2:$D$425,'Resultat-Produktion &amp; forbrug'!$E92,'Forbrug af biomasse'!$A$2:$A$425,'Resultat-Produktion &amp; forbrug'!M$3,'Forbrug af biomasse'!$B$2:$B$425,$F92),G92)</f>
        <v>0</v>
      </c>
      <c r="N92" s="94">
        <f>SUMIFS('Forbrug af biomasse'!E:E,'Forbrug af biomasse'!C:C,'Resultat-Produktion &amp; forbrug'!$A92,'Forbrug af biomasse'!D:D,'Resultat-Produktion &amp; forbrug'!$E92,'Forbrug af biomasse'!G:G,1,'Forbrug af biomasse'!B:B,$F92)</f>
        <v>0</v>
      </c>
      <c r="O92" s="179">
        <f t="shared" si="26"/>
        <v>86888.375322317181</v>
      </c>
      <c r="P92" s="94">
        <f t="shared" si="22"/>
        <v>0</v>
      </c>
      <c r="Q92" s="180">
        <f t="shared" si="27"/>
        <v>0</v>
      </c>
      <c r="R92">
        <f>IFERROR(VLOOKUP(A92,[1]Energiindhold!$A$2:$C$11,3,FALSE),IFERROR(VLOOKUP(A92,[1]Biogasudbytte!$A$2:$B$18,2,FALSE)*[1]Energiindhold!$C$10,0))*P92</f>
        <v>0</v>
      </c>
      <c r="S92">
        <f>IF(A92&lt;&gt;"Biogas",IFERROR(VLOOKUP(A92,[1]Biogasudbytte!$A$2:$B$18,2,FALSE)*[1]Energiindhold!$C$10,0)*K92*IFERROR(VLOOKUP(A92,Biogasanlæg!$F$3:$G$8,2,FALSE),1)+IFERROR(VLOOKUP(A92,[1]Energiindhold!$A$2:$C$11,3,FALSE),0)*M92+IF(E92&lt;&gt;År1,R92,0),0)</f>
        <v>0</v>
      </c>
      <c r="T92">
        <f>IFERROR(VLOOKUP(A92,[1]Biogasudbytte!$A$2:$B$18,2,FALSE)*[1]Energiindhold!$C$10,0)*K92*IFERROR(VLOOKUP(A92,Biogasanlæg!$F$3:$G$8,2,FALSE),1)</f>
        <v>0</v>
      </c>
      <c r="U92" s="170">
        <f t="shared" si="28"/>
        <v>0</v>
      </c>
      <c r="V92" s="169">
        <f>P92*IFERROR(VLOOKUP(A92,[1]Tørstofindhold!A$2:B$24,2,FALSE),0)</f>
        <v>0</v>
      </c>
      <c r="W92">
        <f>IF(E92=År1,Q92,SUM(P92,Q92))*IFERROR(VLOOKUP(A92,[1]Tørstofindhold!A$2:B$24,2,FALSE),0)</f>
        <v>0</v>
      </c>
      <c r="X92">
        <f>K92*IFERROR(VLOOKUP(A92,[1]Tørstofindhold!A$2:B$24,2,FALSE),0)</f>
        <v>0</v>
      </c>
      <c r="Y92" s="170">
        <f t="shared" si="29"/>
        <v>0</v>
      </c>
      <c r="Z92">
        <f t="shared" ca="1" si="23"/>
        <v>0</v>
      </c>
      <c r="AA92">
        <f t="shared" ca="1" si="24"/>
        <v>1</v>
      </c>
      <c r="AB92" s="94">
        <f t="shared" si="25"/>
        <v>86888.375322317181</v>
      </c>
      <c r="AC92">
        <f>AB92*D92*10000*VLOOKUP(A92,[1]kcal!$A$2:$C$49,3,FALSE)/1000000000000</f>
        <v>0</v>
      </c>
    </row>
    <row r="93" spans="1:29" x14ac:dyDescent="0.25">
      <c r="A93" s="171" t="str">
        <f t="shared" si="36"/>
        <v>Spildevandsslam</v>
      </c>
      <c r="B93" s="171" t="str">
        <f t="shared" si="37"/>
        <v>Bionedbrydeligt affald</v>
      </c>
      <c r="C93" s="171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71">
        <f t="shared" si="21"/>
        <v>0</v>
      </c>
      <c r="E93" s="171">
        <f t="shared" si="20"/>
        <v>2030</v>
      </c>
      <c r="F93" t="s">
        <v>23</v>
      </c>
      <c r="G93" s="94">
        <f>IF(F93="Vestdanmark",SUMIFS(IF(E93=År1,'Resultater - Vestdanmark'!H$3:H$504,IF(E93=År2,'Resultater - Vestdanmark'!I$3:I$504,'Resultater - Vestdanmark'!J$3:J$504)),'Resultater - Vestdanmark'!$F$3:$F$504,$A93,IF(E93=År1,'Resultater - Vestdanmark'!H$3:H$504,IF(E93=År2,'Resultater - Vestdanmark'!I$3:I$504,'Resultater - Vestdanmark'!J$3:J$504)),"&gt;0"),SUMIFS(IF(E93=År1,'Resultater - Østdanmark'!H$3:H$504,IF(E93=År2,'Resultater - Østdanmark'!I$3:I$504,'Resultater - Østdanmark'!J$3:J$504)),'Resultater - Østdanmark'!$F$3:$F$504,$A93,IF(E93=År1,'Resultater - Østdanmark'!H$3:H$504,IF(E93=År2,'Resultater - Østdanmark'!I$3:I$504,'Resultater - Østdanmark'!J$3:J$504)),"&gt;0"))</f>
        <v>3973910.9975047</v>
      </c>
      <c r="H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forbrug'!H$3,'Forbrug af biomasse'!$B$2:$B$425,$F93)</f>
        <v>0</v>
      </c>
      <c r="I93">
        <f>IF(F93="Vestdanmark",-IF(A93="Halm",SUMIFS(IF(E93=År1,'Resultater - Vestdanmark'!H$3:H$504,IF(E93=År2,'Resultater - Vestdanmark'!I$3:I$504,'Resultater - Vestdanmark'!J$3:J$504)),'Resultater - Vestdanmark'!$F$3:$F$504,$A93,'Resultater - Vestdanmark'!H$3:H$504,"&lt;0"),0),-IF(A93="Halm",SUMIFS(IF(E93=År1,'Resultater - Østdanmark'!H$3:H$504,IF(E93=År2,'Resultater - Østdanmark'!I$3:I$504,'Resultater - Østdanmark'!J$3:J$504)),'Resultater - Østdanmark'!$F$3:$F$504,$A93,'Resultater - Østdanmark'!H$3:H$504,"&lt;0"),0))</f>
        <v>0</v>
      </c>
      <c r="J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forbrug'!J$3,'Forbrug af biomasse'!$B$2:$B$425,$F93)</f>
        <v>0</v>
      </c>
      <c r="K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forbrug'!K$3,'Forbrug af biomasse'!$B$2:$B$425,$F93)</f>
        <v>2980433.248128525</v>
      </c>
      <c r="L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forbrug'!L$3,'Forbrug af biomasse'!$B$2:$B$425,$F93)</f>
        <v>0</v>
      </c>
      <c r="M93" s="94">
        <f>IF(A93&lt;&gt;"Biogas",SUMIFS('Forbrug af biomasse'!$E$2:$E$425,'Forbrug af biomasse'!$C$2:$C$425,'Resultat-Produktion &amp; forbrug'!$A93,'Forbrug af biomasse'!$D$2:$D$425,'Resultat-Produktion &amp; forbrug'!$E93,'Forbrug af biomasse'!$A$2:$A$425,'Resultat-Produktion &amp; forbrug'!M$3,'Forbrug af biomasse'!$B$2:$B$425,$F93),G93)</f>
        <v>0</v>
      </c>
      <c r="N93" s="94">
        <f>SUMIFS('Forbrug af biomasse'!E:E,'Forbrug af biomasse'!C:C,'Resultat-Produktion &amp; forbrug'!$A93,'Forbrug af biomasse'!D:D,'Resultat-Produktion &amp; forbrug'!$E93,'Forbrug af biomasse'!G:G,1,'Forbrug af biomasse'!B:B,$F93)</f>
        <v>0</v>
      </c>
      <c r="O93" s="179">
        <f t="shared" si="26"/>
        <v>993477.74937617499</v>
      </c>
      <c r="P93" s="94">
        <f t="shared" ca="1" si="22"/>
        <v>993477.74937617499</v>
      </c>
      <c r="Q93" s="180">
        <f t="shared" si="27"/>
        <v>2980433.248128525</v>
      </c>
      <c r="R93">
        <f ca="1">IFERROR(VLOOKUP(A93,[1]Energiindhold!$A$2:$C$11,3,FALSE),IFERROR(VLOOKUP(A93,[1]Biogasudbytte!$A$2:$B$18,2,FALSE)*[1]Energiindhold!$C$10,0))*P93</f>
        <v>0.49575533171620517</v>
      </c>
      <c r="S93">
        <f ca="1">IF(A93&lt;&gt;"Biogas",IFERROR(VLOOKUP(A93,[1]Biogasudbytte!$A$2:$B$18,2,FALSE)*[1]Energiindhold!$C$10,0)*K93*IFERROR(VLOOKUP(A93,Biogasanlæg!$F$3:$G$8,2,FALSE),1)+IFERROR(VLOOKUP(A93,[1]Energiindhold!$A$2:$C$11,3,FALSE),0)*M93+IF(E93&lt;&gt;År1,R93,0),0)</f>
        <v>1.9830213268648207</v>
      </c>
      <c r="T93">
        <f>IFERROR(VLOOKUP(A93,[1]Biogasudbytte!$A$2:$B$18,2,FALSE)*[1]Energiindhold!$C$10,0)*K93*IFERROR(VLOOKUP(A93,Biogasanlæg!$F$3:$G$8,2,FALSE),1)</f>
        <v>1.4872659951486156</v>
      </c>
      <c r="U93" s="170">
        <f t="shared" ca="1" si="28"/>
        <v>0.49575533171620512</v>
      </c>
      <c r="V93" s="169">
        <f ca="1">P93*IFERROR(VLOOKUP(A93,[1]Tørstofindhold!A$2:B$24,2,FALSE),0)</f>
        <v>59608.664962570496</v>
      </c>
      <c r="W93">
        <f ca="1">IF(E93=År1,Q93,SUM(P93,Q93))*IFERROR(VLOOKUP(A93,[1]Tørstofindhold!A$2:B$24,2,FALSE),0)</f>
        <v>238434.65985028198</v>
      </c>
      <c r="X93">
        <f>K93*IFERROR(VLOOKUP(A93,[1]Tørstofindhold!A$2:B$24,2,FALSE),0)</f>
        <v>178825.99488771148</v>
      </c>
      <c r="Y93" s="170">
        <f t="shared" ca="1" si="29"/>
        <v>59608.664962570503</v>
      </c>
      <c r="Z93">
        <f t="shared" ca="1" si="23"/>
        <v>0</v>
      </c>
      <c r="AA93">
        <f t="shared" ca="1" si="24"/>
        <v>1</v>
      </c>
      <c r="AB93" s="94">
        <f t="shared" si="25"/>
        <v>993477.74937617499</v>
      </c>
      <c r="AC93">
        <f>AB93*D93*10000*VLOOKUP(A93,[1]kcal!$A$2:$C$49,3,FALSE)/1000000000000</f>
        <v>0</v>
      </c>
    </row>
    <row r="94" spans="1:29" x14ac:dyDescent="0.25">
      <c r="A94" s="171" t="str">
        <f t="shared" si="36"/>
        <v>Svinegylle</v>
      </c>
      <c r="B94" s="171" t="str">
        <f t="shared" si="37"/>
        <v>Husdyrgødning</v>
      </c>
      <c r="C94" s="171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1</v>
      </c>
      <c r="D94" s="171">
        <f t="shared" si="21"/>
        <v>0</v>
      </c>
      <c r="E94" s="171">
        <f t="shared" si="20"/>
        <v>2030</v>
      </c>
      <c r="F94" t="s">
        <v>23</v>
      </c>
      <c r="G94" s="94">
        <f>IF(F94="Vestdanmark",SUMIFS(IF(E94=År1,'Resultater - Vestdanmark'!H$3:H$504,IF(E94=År2,'Resultater - Vestdanmark'!I$3:I$504,'Resultater - Vestdanmark'!J$3:J$504)),'Resultater - Vestdanmark'!$F$3:$F$504,$A94,IF(E94=År1,'Resultater - Vestdanmark'!H$3:H$504,IF(E94=År2,'Resultater - Vestdanmark'!I$3:I$504,'Resultater - Vestdanmark'!J$3:J$504)),"&gt;0"),SUMIFS(IF(E94=År1,'Resultater - Østdanmark'!H$3:H$504,IF(E94=År2,'Resultater - Østdanmark'!I$3:I$504,'Resultater - Østdanmark'!J$3:J$504)),'Resultater - Østdanmark'!$F$3:$F$504,$A94,IF(E94=År1,'Resultater - Østdanmark'!H$3:H$504,IF(E94=År2,'Resultater - Østdanmark'!I$3:I$504,'Resultater - Østdanmark'!J$3:J$504)),"&gt;0"))</f>
        <v>14539919.740607873</v>
      </c>
      <c r="H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forbrug'!H$3,'Forbrug af biomasse'!$B$2:$B$425,$F94)</f>
        <v>0</v>
      </c>
      <c r="I94">
        <f>IF(F94="Vestdanmark",-IF(A94="Halm",SUMIFS(IF(E94=År1,'Resultater - Vestdanmark'!H$3:H$504,IF(E94=År2,'Resultater - Vestdanmark'!I$3:I$504,'Resultater - Vestdanmark'!J$3:J$504)),'Resultater - Vestdanmark'!$F$3:$F$504,$A94,'Resultater - Vestdanmark'!H$3:H$504,"&lt;0"),0),-IF(A94="Halm",SUMIFS(IF(E94=År1,'Resultater - Østdanmark'!H$3:H$504,IF(E94=År2,'Resultater - Østdanmark'!I$3:I$504,'Resultater - Østdanmark'!J$3:J$504)),'Resultater - Østdanmark'!$F$3:$F$504,$A94,'Resultater - Østdanmark'!H$3:H$504,"&lt;0"),0))</f>
        <v>0</v>
      </c>
      <c r="J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forbrug'!J$3,'Forbrug af biomasse'!$B$2:$B$425,$F94)</f>
        <v>0</v>
      </c>
      <c r="K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forbrug'!K$3,'Forbrug af biomasse'!$B$2:$B$425,$F94)</f>
        <v>10904939.805455904</v>
      </c>
      <c r="L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forbrug'!L$3,'Forbrug af biomasse'!$B$2:$B$425,$F94)</f>
        <v>3634979.9351519686</v>
      </c>
      <c r="M94" s="94">
        <f>IF(A94&lt;&gt;"Biogas",SUMIFS('Forbrug af biomasse'!$E$2:$E$425,'Forbrug af biomasse'!$C$2:$C$425,'Resultat-Produktion &amp; forbrug'!$A94,'Forbrug af biomasse'!$D$2:$D$425,'Resultat-Produktion &amp; forbrug'!$E94,'Forbrug af biomasse'!$A$2:$A$425,'Resultat-Produktion &amp; forbrug'!M$3,'Forbrug af biomasse'!$B$2:$B$425,$F94),G94)</f>
        <v>0</v>
      </c>
      <c r="N94" s="94">
        <f>SUMIFS('Forbrug af biomasse'!E:E,'Forbrug af biomasse'!C:C,'Resultat-Produktion &amp; forbrug'!$A94,'Forbrug af biomasse'!D:D,'Resultat-Produktion &amp; forbrug'!$E94,'Forbrug af biomasse'!G:G,1,'Forbrug af biomasse'!B:B,$F94)</f>
        <v>0</v>
      </c>
      <c r="O94" s="179">
        <f t="shared" si="26"/>
        <v>0</v>
      </c>
      <c r="P94" s="94">
        <f t="shared" si="22"/>
        <v>0</v>
      </c>
      <c r="Q94" s="180">
        <f t="shared" si="27"/>
        <v>10904939.805455904</v>
      </c>
      <c r="R94">
        <f>IFERROR(VLOOKUP(A94,[1]Energiindhold!$A$2:$C$11,3,FALSE),IFERROR(VLOOKUP(A94,[1]Biogasudbytte!$A$2:$B$18,2,FALSE)*[1]Energiindhold!$C$10,0))*P94</f>
        <v>0</v>
      </c>
      <c r="S94">
        <f>IF(A94&lt;&gt;"Biogas",IFERROR(VLOOKUP(A94,[1]Biogasudbytte!$A$2:$B$18,2,FALSE)*[1]Energiindhold!$C$10,0)*K94*IFERROR(VLOOKUP(A94,Biogasanlæg!$F$3:$G$8,2,FALSE),1)+IFERROR(VLOOKUP(A94,[1]Energiindhold!$A$2:$C$11,3,FALSE),0)*M94+IF(E94&lt;&gt;År1,R94,0),0)</f>
        <v>4.697848068190404</v>
      </c>
      <c r="T94">
        <f>IFERROR(VLOOKUP(A94,[1]Biogasudbytte!$A$2:$B$18,2,FALSE)*[1]Energiindhold!$C$10,0)*K94*IFERROR(VLOOKUP(A94,Biogasanlæg!$F$3:$G$8,2,FALSE),1)</f>
        <v>4.697848068190404</v>
      </c>
      <c r="U94" s="170">
        <f t="shared" si="28"/>
        <v>0</v>
      </c>
      <c r="V94" s="169">
        <f>P94*IFERROR(VLOOKUP(A94,[1]Tørstofindhold!A$2:B$24,2,FALSE),0)</f>
        <v>0</v>
      </c>
      <c r="W94">
        <f>IF(E94=År1,Q94,SUM(P94,Q94))*IFERROR(VLOOKUP(A94,[1]Tørstofindhold!A$2:B$24,2,FALSE),0)</f>
        <v>545246.9902727952</v>
      </c>
      <c r="X94">
        <f>K94*IFERROR(VLOOKUP(A94,[1]Tørstofindhold!A$2:B$24,2,FALSE),0)</f>
        <v>545246.9902727952</v>
      </c>
      <c r="Y94" s="170">
        <f t="shared" si="29"/>
        <v>0</v>
      </c>
      <c r="Z94">
        <f t="shared" si="23"/>
        <v>0</v>
      </c>
      <c r="AA94">
        <f t="shared" si="24"/>
        <v>0</v>
      </c>
      <c r="AB94" s="94">
        <f t="shared" si="25"/>
        <v>0</v>
      </c>
      <c r="AC94">
        <f>AB94*D94*10000*VLOOKUP(A94,[1]kcal!$A$2:$C$49,3,FALSE)/1000000000000</f>
        <v>0</v>
      </c>
    </row>
    <row r="95" spans="1:29" x14ac:dyDescent="0.25">
      <c r="A95" s="171" t="str">
        <f t="shared" si="36"/>
        <v>Svinekød</v>
      </c>
      <c r="B95" s="171" t="str">
        <f t="shared" si="37"/>
        <v/>
      </c>
      <c r="C95" s="171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0</v>
      </c>
      <c r="D95" s="171">
        <f t="shared" si="21"/>
        <v>1</v>
      </c>
      <c r="E95" s="171">
        <f t="shared" si="20"/>
        <v>2030</v>
      </c>
      <c r="F95" t="s">
        <v>23</v>
      </c>
      <c r="G95" s="94">
        <f>IF(F95="Vestdanmark",SUMIFS(IF(E95=År1,'Resultater - Vestdanmark'!H$3:H$504,IF(E95=År2,'Resultater - Vestdanmark'!I$3:I$504,'Resultater - Vestdanmark'!J$3:J$504)),'Resultater - Vestdanmark'!$F$3:$F$504,$A95,IF(E95=År1,'Resultater - Vestdanmark'!H$3:H$504,IF(E95=År2,'Resultater - Vestdanmark'!I$3:I$504,'Resultater - Vestdanmark'!J$3:J$504)),"&gt;0"),SUMIFS(IF(E95=År1,'Resultater - Østdanmark'!H$3:H$504,IF(E95=År2,'Resultater - Østdanmark'!I$3:I$504,'Resultater - Østdanmark'!J$3:J$504)),'Resultater - Østdanmark'!$F$3:$F$504,$A95,IF(E95=År1,'Resultater - Østdanmark'!H$3:H$504,IF(E95=År2,'Resultater - Østdanmark'!I$3:I$504,'Resultater - Østdanmark'!J$3:J$504)),"&gt;0"))</f>
        <v>1329115.7893830882</v>
      </c>
      <c r="H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forbrug'!H$3,'Forbrug af biomasse'!$B$2:$B$425,$F95)</f>
        <v>0</v>
      </c>
      <c r="I95">
        <f>IF(F95="Vestdanmark",-IF(A95="Halm",SUMIFS(IF(E95=År1,'Resultater - Vestdanmark'!H$3:H$504,IF(E95=År2,'Resultater - Vestdanmark'!I$3:I$504,'Resultater - Vestdanmark'!J$3:J$504)),'Resultater - Vestdanmark'!$F$3:$F$504,$A95,'Resultater - Vestdanmark'!H$3:H$504,"&lt;0"),0),-IF(A95="Halm",SUMIFS(IF(E95=År1,'Resultater - Østdanmark'!H$3:H$504,IF(E95=År2,'Resultater - Østdanmark'!I$3:I$504,'Resultater - Østdanmark'!J$3:J$504)),'Resultater - Østdanmark'!$F$3:$F$504,$A95,'Resultater - Østdanmark'!H$3:H$504,"&lt;0"),0))</f>
        <v>0</v>
      </c>
      <c r="J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forbrug'!J$3,'Forbrug af biomasse'!$B$2:$B$425,$F95)</f>
        <v>121875.54404868034</v>
      </c>
      <c r="K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forbrug'!K$3,'Forbrug af biomasse'!$B$2:$B$425,$F95)</f>
        <v>0</v>
      </c>
      <c r="L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forbrug'!L$3,'Forbrug af biomasse'!$B$2:$B$425,$F95)</f>
        <v>0</v>
      </c>
      <c r="M95" s="94">
        <f>IF(A95&lt;&gt;"Biogas",SUMIFS('Forbrug af biomasse'!$E$2:$E$425,'Forbrug af biomasse'!$C$2:$C$425,'Resultat-Produktion &amp; forbrug'!$A95,'Forbrug af biomasse'!$D$2:$D$425,'Resultat-Produktion &amp; forbrug'!$E95,'Forbrug af biomasse'!$A$2:$A$425,'Resultat-Produktion &amp; forbrug'!M$3,'Forbrug af biomasse'!$B$2:$B$425,$F95),G95)</f>
        <v>0</v>
      </c>
      <c r="N95" s="94">
        <f>SUMIFS('Forbrug af biomasse'!E:E,'Forbrug af biomasse'!C:C,'Resultat-Produktion &amp; forbrug'!$A95,'Forbrug af biomasse'!D:D,'Resultat-Produktion &amp; forbrug'!$E95,'Forbrug af biomasse'!G:G,1,'Forbrug af biomasse'!B:B,$F95)</f>
        <v>0</v>
      </c>
      <c r="O95" s="179">
        <f t="shared" si="26"/>
        <v>1207240.2453344078</v>
      </c>
      <c r="P95" s="94">
        <f t="shared" si="22"/>
        <v>0</v>
      </c>
      <c r="Q95" s="180">
        <f t="shared" si="27"/>
        <v>0</v>
      </c>
      <c r="R95">
        <f>IFERROR(VLOOKUP(A95,[1]Energiindhold!$A$2:$C$11,3,FALSE),IFERROR(VLOOKUP(A95,[1]Biogasudbytte!$A$2:$B$18,2,FALSE)*[1]Energiindhold!$C$10,0))*P95</f>
        <v>0</v>
      </c>
      <c r="S95">
        <f>IF(A95&lt;&gt;"Biogas",IFERROR(VLOOKUP(A95,[1]Biogasudbytte!$A$2:$B$18,2,FALSE)*[1]Energiindhold!$C$10,0)*K95*IFERROR(VLOOKUP(A95,Biogasanlæg!$F$3:$G$8,2,FALSE),1)+IFERROR(VLOOKUP(A95,[1]Energiindhold!$A$2:$C$11,3,FALSE),0)*M95+IF(E95&lt;&gt;År1,R95,0),0)</f>
        <v>0</v>
      </c>
      <c r="T95">
        <f>IFERROR(VLOOKUP(A95,[1]Biogasudbytte!$A$2:$B$18,2,FALSE)*[1]Energiindhold!$C$10,0)*K95*IFERROR(VLOOKUP(A95,Biogasanlæg!$F$3:$G$8,2,FALSE),1)</f>
        <v>0</v>
      </c>
      <c r="U95" s="170">
        <f t="shared" si="28"/>
        <v>0</v>
      </c>
      <c r="V95" s="169">
        <f>P95*IFERROR(VLOOKUP(A95,[1]Tørstofindhold!A$2:B$24,2,FALSE),0)</f>
        <v>0</v>
      </c>
      <c r="W95">
        <f>IF(E95=År1,Q95,SUM(P95,Q95))*IFERROR(VLOOKUP(A95,[1]Tørstofindhold!A$2:B$24,2,FALSE),0)</f>
        <v>0</v>
      </c>
      <c r="X95">
        <f>K95*IFERROR(VLOOKUP(A95,[1]Tørstofindhold!A$2:B$24,2,FALSE),0)</f>
        <v>0</v>
      </c>
      <c r="Y95" s="170">
        <f t="shared" si="29"/>
        <v>0</v>
      </c>
      <c r="Z95">
        <f t="shared" si="23"/>
        <v>0</v>
      </c>
      <c r="AA95">
        <f t="shared" si="24"/>
        <v>1</v>
      </c>
      <c r="AB95" s="94">
        <f t="shared" si="25"/>
        <v>1329115.7893830882</v>
      </c>
      <c r="AC95">
        <f>AB95*D95*10000*VLOOKUP(A95,[1]kcal!$A$2:$C$49,3,FALSE)/1000000000000</f>
        <v>2.5917757892970221</v>
      </c>
    </row>
    <row r="96" spans="1:29" x14ac:dyDescent="0.25">
      <c r="A96" s="171" t="str">
        <f t="shared" si="36"/>
        <v>Tang</v>
      </c>
      <c r="B96" s="171" t="str">
        <f t="shared" si="37"/>
        <v>Havbiomasse</v>
      </c>
      <c r="C96" s="171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71">
        <f t="shared" si="21"/>
        <v>1</v>
      </c>
      <c r="E96" s="171">
        <f t="shared" si="20"/>
        <v>2030</v>
      </c>
      <c r="F96" t="s">
        <v>23</v>
      </c>
      <c r="G96" s="94">
        <f>IF(F96="Vestdanmark",SUMIFS(IF(E96=År1,'Resultater - Vestdanmark'!H$3:H$504,IF(E96=År2,'Resultater - Vestdanmark'!I$3:I$504,'Resultater - Vestdanmark'!J$3:J$504)),'Resultater - Vestdanmark'!$F$3:$F$504,$A96,IF(E96=År1,'Resultater - Vestdanmark'!H$3:H$504,IF(E96=År2,'Resultater - Vestdanmark'!I$3:I$504,'Resultater - Vestdanmark'!J$3:J$504)),"&gt;0"),SUMIFS(IF(E96=År1,'Resultater - Østdanmark'!H$3:H$504,IF(E96=År2,'Resultater - Østdanmark'!I$3:I$504,'Resultater - Østdanmark'!J$3:J$504)),'Resultater - Østdanmark'!$F$3:$F$504,$A96,IF(E96=År1,'Resultater - Østdanmark'!H$3:H$504,IF(E96=År2,'Resultater - Østdanmark'!I$3:I$504,'Resultater - Østdanmark'!J$3:J$504)),"&gt;0"))</f>
        <v>382.5</v>
      </c>
      <c r="H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forbrug'!H$3,'Forbrug af biomasse'!$B$2:$B$425,$F96)</f>
        <v>0</v>
      </c>
      <c r="I96">
        <f>IF(F96="Vestdanmark",-IF(A96="Halm",SUMIFS(IF(E96=År1,'Resultater - Vestdanmark'!H$3:H$504,IF(E96=År2,'Resultater - Vestdanmark'!I$3:I$504,'Resultater - Vestdanmark'!J$3:J$504)),'Resultater - Vestdanmark'!$F$3:$F$504,$A96,'Resultater - Vestdanmark'!H$3:H$504,"&lt;0"),0),-IF(A96="Halm",SUMIFS(IF(E96=År1,'Resultater - Østdanmark'!H$3:H$504,IF(E96=År2,'Resultater - Østdanmark'!I$3:I$504,'Resultater - Østdanmark'!J$3:J$504)),'Resultater - Østdanmark'!$F$3:$F$504,$A96,'Resultater - Østdanmark'!H$3:H$504,"&lt;0"),0))</f>
        <v>0</v>
      </c>
      <c r="J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forbrug'!J$3,'Forbrug af biomasse'!$B$2:$B$425,$F96)</f>
        <v>0</v>
      </c>
      <c r="K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forbrug'!K$3,'Forbrug af biomasse'!$B$2:$B$425,$F96)</f>
        <v>0</v>
      </c>
      <c r="L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forbrug'!L$3,'Forbrug af biomasse'!$B$2:$B$425,$F96)</f>
        <v>0</v>
      </c>
      <c r="M96" s="94">
        <f>IF(A96&lt;&gt;"Biogas",SUMIFS('Forbrug af biomasse'!$E$2:$E$425,'Forbrug af biomasse'!$C$2:$C$425,'Resultat-Produktion &amp; forbrug'!$A96,'Forbrug af biomasse'!$D$2:$D$425,'Resultat-Produktion &amp; forbrug'!$E96,'Forbrug af biomasse'!$A$2:$A$425,'Resultat-Produktion &amp; forbrug'!M$3,'Forbrug af biomasse'!$B$2:$B$425,$F96),G96)</f>
        <v>0</v>
      </c>
      <c r="N96" s="94">
        <f>SUMIFS('Forbrug af biomasse'!E:E,'Forbrug af biomasse'!C:C,'Resultat-Produktion &amp; forbrug'!$A96,'Forbrug af biomasse'!D:D,'Resultat-Produktion &amp; forbrug'!$E96,'Forbrug af biomasse'!G:G,1,'Forbrug af biomasse'!B:B,$F96)</f>
        <v>0</v>
      </c>
      <c r="O96" s="179">
        <f t="shared" si="26"/>
        <v>382.5</v>
      </c>
      <c r="P96" s="94">
        <f t="shared" ca="1" si="22"/>
        <v>382.5</v>
      </c>
      <c r="Q96" s="180">
        <f t="shared" si="27"/>
        <v>0</v>
      </c>
      <c r="R96">
        <f ca="1">IFERROR(VLOOKUP(A96,[1]Energiindhold!$A$2:$C$11,3,FALSE),IFERROR(VLOOKUP(A96,[1]Biogasudbytte!$A$2:$B$18,2,FALSE)*[1]Energiindhold!$C$10,0))*P96</f>
        <v>3.4329375000000003E-4</v>
      </c>
      <c r="S96">
        <f ca="1">IF(A96&lt;&gt;"Biogas",IFERROR(VLOOKUP(A96,[1]Biogasudbytte!$A$2:$B$18,2,FALSE)*[1]Energiindhold!$C$10,0)*K96*IFERROR(VLOOKUP(A96,Biogasanlæg!$F$3:$G$8,2,FALSE),1)+IFERROR(VLOOKUP(A96,[1]Energiindhold!$A$2:$C$11,3,FALSE),0)*M96+IF(E96&lt;&gt;År1,R96,0),0)</f>
        <v>3.4329375000000003E-4</v>
      </c>
      <c r="T96">
        <f>IFERROR(VLOOKUP(A96,[1]Biogasudbytte!$A$2:$B$18,2,FALSE)*[1]Energiindhold!$C$10,0)*K96*IFERROR(VLOOKUP(A96,Biogasanlæg!$F$3:$G$8,2,FALSE),1)</f>
        <v>0</v>
      </c>
      <c r="U96" s="170">
        <f t="shared" ca="1" si="28"/>
        <v>3.4329375000000003E-4</v>
      </c>
      <c r="V96" s="169">
        <f ca="1">P96*IFERROR(VLOOKUP(A96,[1]Tørstofindhold!A$2:B$24,2,FALSE),0)</f>
        <v>57.375</v>
      </c>
      <c r="W96">
        <f ca="1">IF(E96=År1,Q96,SUM(P96,Q96))*IFERROR(VLOOKUP(A96,[1]Tørstofindhold!A$2:B$24,2,FALSE),0)</f>
        <v>57.375</v>
      </c>
      <c r="X96">
        <f>K96*IFERROR(VLOOKUP(A96,[1]Tørstofindhold!A$2:B$24,2,FALSE),0)</f>
        <v>0</v>
      </c>
      <c r="Y96" s="170">
        <f t="shared" ca="1" si="29"/>
        <v>57.375</v>
      </c>
      <c r="Z96">
        <f t="shared" ca="1" si="23"/>
        <v>0</v>
      </c>
      <c r="AA96">
        <f t="shared" ca="1" si="24"/>
        <v>1</v>
      </c>
      <c r="AB96" s="94">
        <f t="shared" si="25"/>
        <v>382.5</v>
      </c>
      <c r="AC96">
        <f>AB96*D96*10000*VLOOKUP(A96,[1]kcal!$A$2:$C$49,3,FALSE)/1000000000000</f>
        <v>1.5605999999999999E-4</v>
      </c>
    </row>
    <row r="97" spans="1:29" x14ac:dyDescent="0.25">
      <c r="A97" s="171" t="str">
        <f t="shared" si="36"/>
        <v>Total til biogas</v>
      </c>
      <c r="B97" s="171" t="str">
        <f t="shared" si="37"/>
        <v/>
      </c>
      <c r="C97" s="171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71">
        <f t="shared" si="21"/>
        <v>0</v>
      </c>
      <c r="E97" s="171">
        <f t="shared" si="20"/>
        <v>2030</v>
      </c>
      <c r="F97" t="s">
        <v>23</v>
      </c>
      <c r="G97" s="94">
        <f>IF(F97="Vestdanmark",SUMIFS(IF(E97=År1,'Resultater - Vestdanmark'!H$3:H$504,IF(E97=År2,'Resultater - Vestdanmark'!I$3:I$504,'Resultater - Vestdanmark'!J$3:J$504)),'Resultater - Vestdanmark'!$F$3:$F$504,$A97,IF(E97=År1,'Resultater - Vestdanmark'!H$3:H$504,IF(E97=År2,'Resultater - Vestdanmark'!I$3:I$504,'Resultater - Vestdanmark'!J$3:J$504)),"&gt;0"),SUMIFS(IF(E97=År1,'Resultater - Østdanmark'!H$3:H$504,IF(E97=År2,'Resultater - Østdanmark'!I$3:I$504,'Resultater - Østdanmark'!J$3:J$504)),'Resultater - Østdanmark'!$F$3:$F$504,$A97,IF(E97=År1,'Resultater - Østdanmark'!H$3:H$504,IF(E97=År2,'Resultater - Østdanmark'!I$3:I$504,'Resultater - Østdanmark'!J$3:J$504)),"&gt;0"))</f>
        <v>0</v>
      </c>
      <c r="H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forbrug'!H$3,'Forbrug af biomasse'!$B$2:$B$425,$F97)</f>
        <v>0</v>
      </c>
      <c r="I97">
        <f>IF(F97="Vestdanmark",-IF(A97="Halm",SUMIFS(IF(E97=År1,'Resultater - Vestdanmark'!H$3:H$504,IF(E97=År2,'Resultater - Vestdanmark'!I$3:I$504,'Resultater - Vestdanmark'!J$3:J$504)),'Resultater - Vestdanmark'!$F$3:$F$504,$A97,'Resultater - Vestdanmark'!H$3:H$504,"&lt;0"),0),-IF(A97="Halm",SUMIFS(IF(E97=År1,'Resultater - Østdanmark'!H$3:H$504,IF(E97=År2,'Resultater - Østdanmark'!I$3:I$504,'Resultater - Østdanmark'!J$3:J$504)),'Resultater - Østdanmark'!$F$3:$F$504,$A97,'Resultater - Østdanmark'!H$3:H$504,"&lt;0"),0))</f>
        <v>0</v>
      </c>
      <c r="J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forbrug'!J$3,'Forbrug af biomasse'!$B$2:$B$425,$F97)</f>
        <v>0</v>
      </c>
      <c r="K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forbrug'!K$3,'Forbrug af biomasse'!$B$2:$B$425,$F97)</f>
        <v>0</v>
      </c>
      <c r="L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forbrug'!L$3,'Forbrug af biomasse'!$B$2:$B$425,$F97)</f>
        <v>0</v>
      </c>
      <c r="M97" s="94">
        <f>IF(A97&lt;&gt;"Biogas",SUMIFS('Forbrug af biomasse'!$E$2:$E$425,'Forbrug af biomasse'!$C$2:$C$425,'Resultat-Produktion &amp; forbrug'!$A97,'Forbrug af biomasse'!$D$2:$D$425,'Resultat-Produktion &amp; forbrug'!$E97,'Forbrug af biomasse'!$A$2:$A$425,'Resultat-Produktion &amp; forbrug'!M$3,'Forbrug af biomasse'!$B$2:$B$425,$F97),G97)</f>
        <v>0</v>
      </c>
      <c r="N97" s="94">
        <f>SUMIFS('Forbrug af biomasse'!E:E,'Forbrug af biomasse'!C:C,'Resultat-Produktion &amp; forbrug'!$A97,'Forbrug af biomasse'!D:D,'Resultat-Produktion &amp; forbrug'!$E97,'Forbrug af biomasse'!G:G,1,'Forbrug af biomasse'!B:B,$F97)</f>
        <v>0</v>
      </c>
      <c r="O97" s="179">
        <f t="shared" si="26"/>
        <v>0</v>
      </c>
      <c r="P97" s="94">
        <f t="shared" si="22"/>
        <v>0</v>
      </c>
      <c r="Q97" s="180">
        <f t="shared" si="27"/>
        <v>0</v>
      </c>
      <c r="R97">
        <f>IFERROR(VLOOKUP(A97,[1]Energiindhold!$A$2:$C$11,3,FALSE),IFERROR(VLOOKUP(A97,[1]Biogasudbytte!$A$2:$B$18,2,FALSE)*[1]Energiindhold!$C$10,0))*P97</f>
        <v>0</v>
      </c>
      <c r="S97">
        <f>IF(A97&lt;&gt;"Biogas",IFERROR(VLOOKUP(A97,[1]Biogasudbytte!$A$2:$B$18,2,FALSE)*[1]Energiindhold!$C$10,0)*K97*IFERROR(VLOOKUP(A97,Biogasanlæg!$F$3:$G$8,2,FALSE),1)+IFERROR(VLOOKUP(A97,[1]Energiindhold!$A$2:$C$11,3,FALSE),0)*M97+IF(E97&lt;&gt;År1,R97,0),0)</f>
        <v>0</v>
      </c>
      <c r="T97">
        <f>IFERROR(VLOOKUP(A97,[1]Biogasudbytte!$A$2:$B$18,2,FALSE)*[1]Energiindhold!$C$10,0)*K97*IFERROR(VLOOKUP(A97,Biogasanlæg!$F$3:$G$8,2,FALSE),1)</f>
        <v>0</v>
      </c>
      <c r="U97" s="170">
        <f t="shared" si="28"/>
        <v>0</v>
      </c>
      <c r="V97" s="169">
        <f>P97*IFERROR(VLOOKUP(A97,[1]Tørstofindhold!A$2:B$24,2,FALSE),0)</f>
        <v>0</v>
      </c>
      <c r="W97">
        <f>IF(E97=År1,Q97,SUM(P97,Q97))*IFERROR(VLOOKUP(A97,[1]Tørstofindhold!A$2:B$24,2,FALSE),0)</f>
        <v>0</v>
      </c>
      <c r="X97">
        <f>K97*IFERROR(VLOOKUP(A97,[1]Tørstofindhold!A$2:B$24,2,FALSE),0)</f>
        <v>0</v>
      </c>
      <c r="Y97" s="170">
        <f t="shared" si="29"/>
        <v>0</v>
      </c>
      <c r="Z97">
        <f t="shared" si="23"/>
        <v>0</v>
      </c>
      <c r="AA97">
        <f t="shared" si="24"/>
        <v>0</v>
      </c>
      <c r="AB97" s="94">
        <f t="shared" si="25"/>
        <v>0</v>
      </c>
      <c r="AC97">
        <f>AB97*D97*10000*VLOOKUP(A97,[1]kcal!$A$2:$C$49,3,FALSE)/1000000000000</f>
        <v>0</v>
      </c>
    </row>
    <row r="98" spans="1:29" x14ac:dyDescent="0.25">
      <c r="A98" s="171" t="str">
        <f t="shared" si="36"/>
        <v>Træ til energi</v>
      </c>
      <c r="B98" s="171" t="str">
        <f t="shared" si="37"/>
        <v>Vedmasse</v>
      </c>
      <c r="C98" s="171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1</v>
      </c>
      <c r="D98" s="171">
        <f t="shared" si="21"/>
        <v>0</v>
      </c>
      <c r="E98" s="171">
        <f t="shared" si="20"/>
        <v>2030</v>
      </c>
      <c r="F98" t="s">
        <v>23</v>
      </c>
      <c r="G98" s="94">
        <f ca="1">IF(F98="Vestdanmark",SUMIFS(IF(E98=År1,'Resultater - Vestdanmark'!H$3:H$504,IF(E98=År2,'Resultater - Vestdanmark'!I$3:I$504,'Resultater - Vestdanmark'!J$3:J$504)),'Resultater - Vestdanmark'!$F$3:$F$504,$A98,IF(E98=År1,'Resultater - Vestdanmark'!H$3:H$504,IF(E98=År2,'Resultater - Vestdanmark'!I$3:I$504,'Resultater - Vestdanmark'!J$3:J$504)),"&gt;0"),SUMIFS(IF(E98=År1,'Resultater - Østdanmark'!H$3:H$504,IF(E98=År2,'Resultater - Østdanmark'!I$3:I$504,'Resultater - Østdanmark'!J$3:J$504)),'Resultater - Østdanmark'!$F$3:$F$504,$A98,IF(E98=År1,'Resultater - Østdanmark'!H$3:H$504,IF(E98=År2,'Resultater - Østdanmark'!I$3:I$504,'Resultater - Østdanmark'!J$3:J$504)),"&gt;0"))</f>
        <v>2225869.1010711943</v>
      </c>
      <c r="H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forbrug'!H$3,'Forbrug af biomasse'!$B$2:$B$425,$F98)</f>
        <v>0</v>
      </c>
      <c r="I98">
        <f>IF(F98="Vestdanmark",-IF(A98="Halm",SUMIFS(IF(E98=År1,'Resultater - Vestdanmark'!H$3:H$504,IF(E98=År2,'Resultater - Vestdanmark'!I$3:I$504,'Resultater - Vestdanmark'!J$3:J$504)),'Resultater - Vestdanmark'!$F$3:$F$504,$A98,'Resultater - Vestdanmark'!H$3:H$504,"&lt;0"),0),-IF(A98="Halm",SUMIFS(IF(E98=År1,'Resultater - Østdanmark'!H$3:H$504,IF(E98=År2,'Resultater - Østdanmark'!I$3:I$504,'Resultater - Østdanmark'!J$3:J$504)),'Resultater - Østdanmark'!$F$3:$F$504,$A98,'Resultater - Østdanmark'!H$3:H$504,"&lt;0"),0))</f>
        <v>0</v>
      </c>
      <c r="J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forbrug'!J$3,'Forbrug af biomasse'!$B$2:$B$425,$F98)</f>
        <v>0</v>
      </c>
      <c r="K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forbrug'!K$3,'Forbrug af biomasse'!$B$2:$B$425,$F98)</f>
        <v>0</v>
      </c>
      <c r="L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forbrug'!L$3,'Forbrug af biomasse'!$B$2:$B$425,$F98)</f>
        <v>0</v>
      </c>
      <c r="M98" s="94">
        <f ca="1">IF(A98&lt;&gt;"Biogas",SUMIFS('Forbrug af biomasse'!$E$2:$E$425,'Forbrug af biomasse'!$C$2:$C$425,'Resultat-Produktion &amp; forbrug'!$A98,'Forbrug af biomasse'!$D$2:$D$425,'Resultat-Produktion &amp; forbrug'!$E98,'Forbrug af biomasse'!$A$2:$A$425,'Resultat-Produktion &amp; forbrug'!M$3,'Forbrug af biomasse'!$B$2:$B$425,$F98),G98)</f>
        <v>2225869.1010711943</v>
      </c>
      <c r="N98" s="94">
        <f>SUMIFS('Forbrug af biomasse'!E:E,'Forbrug af biomasse'!C:C,'Resultat-Produktion &amp; forbrug'!$A98,'Forbrug af biomasse'!D:D,'Resultat-Produktion &amp; forbrug'!$E98,'Forbrug af biomasse'!G:G,1,'Forbrug af biomasse'!B:B,$F98)</f>
        <v>0</v>
      </c>
      <c r="O98" s="179">
        <f t="shared" ca="1" si="26"/>
        <v>0</v>
      </c>
      <c r="P98" s="94">
        <f t="shared" ca="1" si="22"/>
        <v>0</v>
      </c>
      <c r="Q98" s="180">
        <f t="shared" ca="1" si="27"/>
        <v>2225869.1010711943</v>
      </c>
      <c r="R98">
        <f ca="1">IFERROR(VLOOKUP(A98,[1]Energiindhold!$A$2:$C$11,3,FALSE),IFERROR(VLOOKUP(A98,[1]Biogasudbytte!$A$2:$B$18,2,FALSE)*[1]Energiindhold!$C$10,0))*P98</f>
        <v>0</v>
      </c>
      <c r="S98">
        <f ca="1">IF(A98&lt;&gt;"Biogas",IFERROR(VLOOKUP(A98,[1]Biogasudbytte!$A$2:$B$18,2,FALSE)*[1]Energiindhold!$C$10,0)*K98*IFERROR(VLOOKUP(A98,Biogasanlæg!$F$3:$G$8,2,FALSE),1)+IFERROR(VLOOKUP(A98,[1]Energiindhold!$A$2:$C$11,3,FALSE),0)*M98+IF(E98&lt;&gt;År1,R98,0),0)</f>
        <v>32.260787180482176</v>
      </c>
      <c r="T98">
        <f>IFERROR(VLOOKUP(A98,[1]Biogasudbytte!$A$2:$B$18,2,FALSE)*[1]Energiindhold!$C$10,0)*K98*IFERROR(VLOOKUP(A98,Biogasanlæg!$F$3:$G$8,2,FALSE),1)</f>
        <v>0</v>
      </c>
      <c r="U98" s="170">
        <f t="shared" ca="1" si="28"/>
        <v>32.260787180482176</v>
      </c>
      <c r="V98" s="169">
        <f ca="1">P98*IFERROR(VLOOKUP(A98,[1]Tørstofindhold!A$2:B$24,2,FALSE),0)</f>
        <v>0</v>
      </c>
      <c r="W98">
        <f ca="1">IF(E98=År1,Q98,SUM(P98,Q98))*IFERROR(VLOOKUP(A98,[1]Tørstofindhold!A$2:B$24,2,FALSE),0)</f>
        <v>1100877.7595714615</v>
      </c>
      <c r="X98">
        <f>K98*IFERROR(VLOOKUP(A98,[1]Tørstofindhold!A$2:B$24,2,FALSE),0)</f>
        <v>0</v>
      </c>
      <c r="Y98" s="170">
        <f t="shared" ca="1" si="29"/>
        <v>1100877.7595714615</v>
      </c>
      <c r="Z98">
        <f t="shared" ca="1" si="23"/>
        <v>0</v>
      </c>
      <c r="AA98">
        <f t="shared" ca="1" si="24"/>
        <v>0</v>
      </c>
      <c r="AB98" s="94">
        <f t="shared" ca="1" si="25"/>
        <v>2225869.1010711943</v>
      </c>
      <c r="AC98">
        <f ca="1">AB98*D98*10000*VLOOKUP(A98,[1]kcal!$A$2:$C$49,3,FALSE)/1000000000000</f>
        <v>0</v>
      </c>
    </row>
    <row r="99" spans="1:29" x14ac:dyDescent="0.25">
      <c r="A99" s="171" t="str">
        <f t="shared" si="36"/>
        <v>Træmaterialer</v>
      </c>
      <c r="B99" s="171" t="str">
        <f t="shared" si="37"/>
        <v/>
      </c>
      <c r="C99" s="171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71">
        <f t="shared" si="21"/>
        <v>0</v>
      </c>
      <c r="E99" s="171">
        <f t="shared" si="20"/>
        <v>2030</v>
      </c>
      <c r="F99" t="s">
        <v>23</v>
      </c>
      <c r="G99" s="94">
        <f ca="1">IF(F99="Vestdanmark",SUMIFS(IF(E99=År1,'Resultater - Vestdanmark'!H$3:H$504,IF(E99=År2,'Resultater - Vestdanmark'!I$3:I$504,'Resultater - Vestdanmark'!J$3:J$504)),'Resultater - Vestdanmark'!$F$3:$F$504,$A99,IF(E99=År1,'Resultater - Vestdanmark'!H$3:H$504,IF(E99=År2,'Resultater - Vestdanmark'!I$3:I$504,'Resultater - Vestdanmark'!J$3:J$504)),"&gt;0"),SUMIFS(IF(E99=År1,'Resultater - Østdanmark'!H$3:H$504,IF(E99=År2,'Resultater - Østdanmark'!I$3:I$504,'Resultater - Østdanmark'!J$3:J$504)),'Resultater - Østdanmark'!$F$3:$F$504,$A99,IF(E99=År1,'Resultater - Østdanmark'!H$3:H$504,IF(E99=År2,'Resultater - Østdanmark'!I$3:I$504,'Resultater - Østdanmark'!J$3:J$504)),"&gt;0"))</f>
        <v>613377.28282504401</v>
      </c>
      <c r="H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forbrug'!H$3,'Forbrug af biomasse'!$B$2:$B$425,$F99)</f>
        <v>0</v>
      </c>
      <c r="I99">
        <f>IF(F99="Vestdanmark",-IF(A99="Halm",SUMIFS(IF(E99=År1,'Resultater - Vestdanmark'!H$3:H$504,IF(E99=År2,'Resultater - Vestdanmark'!I$3:I$504,'Resultater - Vestdanmark'!J$3:J$504)),'Resultater - Vestdanmark'!$F$3:$F$504,$A99,'Resultater - Vestdanmark'!H$3:H$504,"&lt;0"),0),-IF(A99="Halm",SUMIFS(IF(E99=År1,'Resultater - Østdanmark'!H$3:H$504,IF(E99=År2,'Resultater - Østdanmark'!I$3:I$504,'Resultater - Østdanmark'!J$3:J$504)),'Resultater - Østdanmark'!$F$3:$F$504,$A99,'Resultater - Østdanmark'!H$3:H$504,"&lt;0"),0))</f>
        <v>0</v>
      </c>
      <c r="J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forbrug'!J$3,'Forbrug af biomasse'!$B$2:$B$425,$F99)</f>
        <v>0</v>
      </c>
      <c r="K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forbrug'!K$3,'Forbrug af biomasse'!$B$2:$B$425,$F99)</f>
        <v>0</v>
      </c>
      <c r="L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forbrug'!L$3,'Forbrug af biomasse'!$B$2:$B$425,$F99)</f>
        <v>0</v>
      </c>
      <c r="M99" s="94">
        <f>IF(A99&lt;&gt;"Biogas",SUMIFS('Forbrug af biomasse'!$E$2:$E$425,'Forbrug af biomasse'!$C$2:$C$425,'Resultat-Produktion &amp; forbrug'!$A99,'Forbrug af biomasse'!$D$2:$D$425,'Resultat-Produktion &amp; forbrug'!$E99,'Forbrug af biomasse'!$A$2:$A$425,'Resultat-Produktion &amp; forbrug'!M$3,'Forbrug af biomasse'!$B$2:$B$425,$F99),G99)</f>
        <v>0</v>
      </c>
      <c r="N99" s="94">
        <f ca="1">SUMIFS('Forbrug af biomasse'!E:E,'Forbrug af biomasse'!C:C,'Resultat-Produktion &amp; forbrug'!$A99,'Forbrug af biomasse'!D:D,'Resultat-Produktion &amp; forbrug'!$E99,'Forbrug af biomasse'!G:G,1,'Forbrug af biomasse'!B:B,$F99)</f>
        <v>613377.28282504401</v>
      </c>
      <c r="O99" s="179">
        <f t="shared" ca="1" si="26"/>
        <v>0</v>
      </c>
      <c r="P99" s="94">
        <f t="shared" si="22"/>
        <v>0</v>
      </c>
      <c r="Q99" s="180">
        <f t="shared" si="27"/>
        <v>0</v>
      </c>
      <c r="R99">
        <f>IFERROR(VLOOKUP(A99,[1]Energiindhold!$A$2:$C$11,3,FALSE),IFERROR(VLOOKUP(A99,[1]Biogasudbytte!$A$2:$B$18,2,FALSE)*[1]Energiindhold!$C$10,0))*P99</f>
        <v>0</v>
      </c>
      <c r="S99">
        <f>IF(A99&lt;&gt;"Biogas",IFERROR(VLOOKUP(A99,[1]Biogasudbytte!$A$2:$B$18,2,FALSE)*[1]Energiindhold!$C$10,0)*K99*IFERROR(VLOOKUP(A99,Biogasanlæg!$F$3:$G$8,2,FALSE),1)+IFERROR(VLOOKUP(A99,[1]Energiindhold!$A$2:$C$11,3,FALSE),0)*M99+IF(E99&lt;&gt;År1,R99,0),0)</f>
        <v>0</v>
      </c>
      <c r="T99">
        <f>IFERROR(VLOOKUP(A99,[1]Biogasudbytte!$A$2:$B$18,2,FALSE)*[1]Energiindhold!$C$10,0)*K99*IFERROR(VLOOKUP(A99,Biogasanlæg!$F$3:$G$8,2,FALSE),1)</f>
        <v>0</v>
      </c>
      <c r="U99" s="170">
        <f t="shared" si="28"/>
        <v>0</v>
      </c>
      <c r="V99" s="169">
        <f>P99*IFERROR(VLOOKUP(A99,[1]Tørstofindhold!A$2:B$24,2,FALSE),0)</f>
        <v>0</v>
      </c>
      <c r="W99">
        <f>IF(E99=År1,Q99,SUM(P99,Q99))*IFERROR(VLOOKUP(A99,[1]Tørstofindhold!A$2:B$24,2,FALSE),0)</f>
        <v>0</v>
      </c>
      <c r="X99">
        <f>K99*IFERROR(VLOOKUP(A99,[1]Tørstofindhold!A$2:B$24,2,FALSE),0)</f>
        <v>0</v>
      </c>
      <c r="Y99" s="170">
        <f t="shared" si="29"/>
        <v>0</v>
      </c>
      <c r="Z99">
        <f t="shared" ca="1" si="23"/>
        <v>0</v>
      </c>
      <c r="AA99">
        <f t="shared" ca="1" si="24"/>
        <v>0</v>
      </c>
      <c r="AB99" s="94">
        <f t="shared" ca="1" si="25"/>
        <v>613377.28282504401</v>
      </c>
      <c r="AC99">
        <f ca="1">AB99*D99*10000*VLOOKUP(A99,[1]kcal!$A$2:$C$49,3,FALSE)/1000000000000</f>
        <v>0</v>
      </c>
    </row>
    <row r="100" spans="1:29" x14ac:dyDescent="0.25">
      <c r="A100" s="171" t="str">
        <f t="shared" si="36"/>
        <v>Æg</v>
      </c>
      <c r="B100" s="171" t="str">
        <f t="shared" si="37"/>
        <v/>
      </c>
      <c r="C100" s="171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71">
        <f t="shared" si="21"/>
        <v>1</v>
      </c>
      <c r="E100" s="171">
        <f t="shared" ref="E100:E147" si="38">År3</f>
        <v>2050</v>
      </c>
      <c r="F100" t="s">
        <v>23</v>
      </c>
      <c r="G100" s="94">
        <f>IF(F100="Vestdanmark",SUMIFS(IF(E100=År1,'Resultater - Vestdanmark'!H$3:H$504,IF(E100=År2,'Resultater - Vestdanmark'!I$3:I$504,'Resultater - Vestdanmark'!J$3:J$504)),'Resultater - Vestdanmark'!$F$3:$F$504,$A100,IF(E100=År1,'Resultater - Vestdanmark'!H$3:H$504,IF(E100=År2,'Resultater - Vestdanmark'!I$3:I$504,'Resultater - Vestdanmark'!J$3:J$504)),"&gt;0"),SUMIFS(IF(E100=År1,'Resultater - Østdanmark'!H$3:H$504,IF(E100=År2,'Resultater - Østdanmark'!I$3:I$504,'Resultater - Østdanmark'!J$3:J$504)),'Resultater - Østdanmark'!$F$3:$F$504,$A100,IF(E100=År1,'Resultater - Østdanmark'!H$3:H$504,IF(E100=År2,'Resultater - Østdanmark'!I$3:I$504,'Resultater - Østdanmark'!J$3:J$504)),"&gt;0"))</f>
        <v>208223.23899291924</v>
      </c>
      <c r="H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forbrug'!H$3,'Forbrug af biomasse'!$B$2:$B$425,$F100)</f>
        <v>0</v>
      </c>
      <c r="I100">
        <f>IF(F100="Vestdanmark",-IF(A100="Halm",SUMIFS(IF(E100=År1,'Resultater - Vestdanmark'!H$3:H$504,IF(E100=År2,'Resultater - Vestdanmark'!I$3:I$504,'Resultater - Vestdanmark'!J$3:J$504)),'Resultater - Vestdanmark'!$F$3:$F$504,$A100,'Resultater - Vestdanmark'!H$3:H$504,"&lt;0"),0),-IF(A100="Halm",SUMIFS(IF(E100=År1,'Resultater - Østdanmark'!H$3:H$504,IF(E100=År2,'Resultater - Østdanmark'!I$3:I$504,'Resultater - Østdanmark'!J$3:J$504)),'Resultater - Østdanmark'!$F$3:$F$504,$A100,'Resultater - Østdanmark'!H$3:H$504,"&lt;0"),0))</f>
        <v>0</v>
      </c>
      <c r="J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forbrug'!J$3,'Forbrug af biomasse'!$B$2:$B$425,$F100)</f>
        <v>33849.968886444818</v>
      </c>
      <c r="K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forbrug'!K$3,'Forbrug af biomasse'!$B$2:$B$425,$F100)</f>
        <v>0</v>
      </c>
      <c r="L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forbrug'!L$3,'Forbrug af biomasse'!$B$2:$B$425,$F100)</f>
        <v>0</v>
      </c>
      <c r="M100" s="94">
        <f>IF(A100&lt;&gt;"Biogas",SUMIFS('Forbrug af biomasse'!$E$2:$E$425,'Forbrug af biomasse'!$C$2:$C$425,'Resultat-Produktion &amp; forbrug'!$A100,'Forbrug af biomasse'!$D$2:$D$425,'Resultat-Produktion &amp; forbrug'!$E100,'Forbrug af biomasse'!$A$2:$A$425,'Resultat-Produktion &amp; forbrug'!M$3,'Forbrug af biomasse'!$B$2:$B$425,$F100),G100)</f>
        <v>0</v>
      </c>
      <c r="N100" s="94">
        <f>SUMIFS('Forbrug af biomasse'!E:E,'Forbrug af biomasse'!C:C,'Resultat-Produktion &amp; forbrug'!$A100,'Forbrug af biomasse'!D:D,'Resultat-Produktion &amp; forbrug'!$E100,'Forbrug af biomasse'!G:G,1,'Forbrug af biomasse'!B:B,$F100)</f>
        <v>0</v>
      </c>
      <c r="O100" s="179">
        <f t="shared" si="26"/>
        <v>174373.27010647443</v>
      </c>
      <c r="P100" s="94">
        <f t="shared" si="22"/>
        <v>0</v>
      </c>
      <c r="Q100" s="180">
        <f t="shared" si="27"/>
        <v>0</v>
      </c>
      <c r="R100">
        <f>IFERROR(VLOOKUP(A100,[1]Energiindhold!$A$2:$C$11,3,FALSE),IFERROR(VLOOKUP(A100,[1]Biogasudbytte!$A$2:$B$18,2,FALSE)*[1]Energiindhold!$C$10,0))*P100</f>
        <v>0</v>
      </c>
      <c r="S100">
        <f>IF(A100&lt;&gt;"Biogas",IFERROR(VLOOKUP(A100,[1]Biogasudbytte!$A$2:$B$18,2,FALSE)*[1]Energiindhold!$C$10,0)*K100*IFERROR(VLOOKUP(A100,Biogasanlæg!$F$3:$G$8,2,FALSE),1)+IFERROR(VLOOKUP(A100,[1]Energiindhold!$A$2:$C$11,3,FALSE),0)*M100+IF(E100&lt;&gt;År1,R100,0),0)</f>
        <v>0</v>
      </c>
      <c r="T100">
        <f>IFERROR(VLOOKUP(A100,[1]Biogasudbytte!$A$2:$B$18,2,FALSE)*[1]Energiindhold!$C$10,0)*K100*IFERROR(VLOOKUP(A100,Biogasanlæg!$F$3:$G$8,2,FALSE),1)</f>
        <v>0</v>
      </c>
      <c r="U100" s="170">
        <f t="shared" si="28"/>
        <v>0</v>
      </c>
      <c r="V100" s="169">
        <f>P100*IFERROR(VLOOKUP(A100,[1]Tørstofindhold!A$2:B$24,2,FALSE),0)</f>
        <v>0</v>
      </c>
      <c r="W100">
        <f>IF(E100=År1,Q100,SUM(P100,Q100))*IFERROR(VLOOKUP(A100,[1]Tørstofindhold!A$2:B$24,2,FALSE),0)</f>
        <v>0</v>
      </c>
      <c r="X100">
        <f>K100*IFERROR(VLOOKUP(A100,[1]Tørstofindhold!A$2:B$24,2,FALSE),0)</f>
        <v>0</v>
      </c>
      <c r="Y100" s="170">
        <f t="shared" si="29"/>
        <v>0</v>
      </c>
      <c r="Z100">
        <f t="shared" ca="1" si="23"/>
        <v>0</v>
      </c>
      <c r="AA100">
        <f t="shared" ca="1" si="24"/>
        <v>1</v>
      </c>
      <c r="AB100" s="94">
        <f t="shared" si="25"/>
        <v>208223.23899291924</v>
      </c>
      <c r="AC100">
        <f>AB100*D100*10000*VLOOKUP(A100,[1]kcal!$A$2:$C$49,3,FALSE)/1000000000000</f>
        <v>0.28734806981022859</v>
      </c>
    </row>
    <row r="101" spans="1:29" x14ac:dyDescent="0.25">
      <c r="A101" s="171" t="str">
        <f t="shared" si="36"/>
        <v>Bælgsæd</v>
      </c>
      <c r="B101" s="171" t="str">
        <f t="shared" si="37"/>
        <v/>
      </c>
      <c r="C101" s="171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0</v>
      </c>
      <c r="D101" s="171">
        <f t="shared" si="21"/>
        <v>1</v>
      </c>
      <c r="E101" s="171">
        <f t="shared" si="38"/>
        <v>2050</v>
      </c>
      <c r="F101" t="s">
        <v>23</v>
      </c>
      <c r="G101" s="94">
        <f>IF(F101="Vestdanmark",SUMIFS(IF(E101=År1,'Resultater - Vestdanmark'!H$3:H$504,IF(E101=År2,'Resultater - Vestdanmark'!I$3:I$504,'Resultater - Vestdanmark'!J$3:J$504)),'Resultater - Vestdanmark'!$F$3:$F$504,$A101,IF(E101=År1,'Resultater - Vestdanmark'!H$3:H$504,IF(E101=År2,'Resultater - Vestdanmark'!I$3:I$504,'Resultater - Vestdanmark'!J$3:J$504)),"&gt;0"),SUMIFS(IF(E101=År1,'Resultater - Østdanmark'!H$3:H$504,IF(E101=År2,'Resultater - Østdanmark'!I$3:I$504,'Resultater - Østdanmark'!J$3:J$504)),'Resultater - Østdanmark'!$F$3:$F$504,$A101,IF(E101=År1,'Resultater - Østdanmark'!H$3:H$504,IF(E101=År2,'Resultater - Østdanmark'!I$3:I$504,'Resultater - Østdanmark'!J$3:J$504)),"&gt;0"))</f>
        <v>250215.04217969507</v>
      </c>
      <c r="H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forbrug'!H$3,'Forbrug af biomasse'!$B$2:$B$425,$F101)</f>
        <v>60017.752814183521</v>
      </c>
      <c r="I101">
        <f>IF(F101="Vestdanmark",-IF(A101="Halm",SUMIFS(IF(E101=År1,'Resultater - Vestdanmark'!H$3:H$504,IF(E101=År2,'Resultater - Vestdanmark'!I$3:I$504,'Resultater - Vestdanmark'!J$3:J$504)),'Resultater - Vestdanmark'!$F$3:$F$504,$A101,'Resultater - Vestdanmark'!H$3:H$504,"&lt;0"),0),-IF(A101="Halm",SUMIFS(IF(E101=År1,'Resultater - Østdanmark'!H$3:H$504,IF(E101=År2,'Resultater - Østdanmark'!I$3:I$504,'Resultater - Østdanmark'!J$3:J$504)),'Resultater - Østdanmark'!$F$3:$F$504,$A101,'Resultater - Østdanmark'!H$3:H$504,"&lt;0"),0))</f>
        <v>0</v>
      </c>
      <c r="J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forbrug'!J$3,'Forbrug af biomasse'!$B$2:$B$425,$F101)</f>
        <v>0</v>
      </c>
      <c r="K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forbrug'!K$3,'Forbrug af biomasse'!$B$2:$B$425,$F101)</f>
        <v>0</v>
      </c>
      <c r="L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forbrug'!L$3,'Forbrug af biomasse'!$B$2:$B$425,$F101)</f>
        <v>0</v>
      </c>
      <c r="M101" s="94">
        <f>IF(A101&lt;&gt;"Biogas",SUMIFS('Forbrug af biomasse'!$E$2:$E$425,'Forbrug af biomasse'!$C$2:$C$425,'Resultat-Produktion &amp; forbrug'!$A101,'Forbrug af biomasse'!$D$2:$D$425,'Resultat-Produktion &amp; forbrug'!$E101,'Forbrug af biomasse'!$A$2:$A$425,'Resultat-Produktion &amp; forbrug'!M$3,'Forbrug af biomasse'!$B$2:$B$425,$F101),G101)</f>
        <v>0</v>
      </c>
      <c r="N101" s="94">
        <f>SUMIFS('Forbrug af biomasse'!E:E,'Forbrug af biomasse'!C:C,'Resultat-Produktion &amp; forbrug'!$A101,'Forbrug af biomasse'!D:D,'Resultat-Produktion &amp; forbrug'!$E101,'Forbrug af biomasse'!G:G,1,'Forbrug af biomasse'!B:B,$F101)</f>
        <v>0</v>
      </c>
      <c r="O101" s="179">
        <f t="shared" si="26"/>
        <v>190197.28936551156</v>
      </c>
      <c r="P101" s="94">
        <f t="shared" si="22"/>
        <v>0</v>
      </c>
      <c r="Q101" s="180">
        <f t="shared" si="27"/>
        <v>0</v>
      </c>
      <c r="R101">
        <f>IFERROR(VLOOKUP(A101,[1]Energiindhold!$A$2:$C$11,3,FALSE),IFERROR(VLOOKUP(A101,[1]Biogasudbytte!$A$2:$B$18,2,FALSE)*[1]Energiindhold!$C$10,0))*P101</f>
        <v>0</v>
      </c>
      <c r="S101">
        <f>IF(A101&lt;&gt;"Biogas",IFERROR(VLOOKUP(A101,[1]Biogasudbytte!$A$2:$B$18,2,FALSE)*[1]Energiindhold!$C$10,0)*K101*IFERROR(VLOOKUP(A101,Biogasanlæg!$F$3:$G$8,2,FALSE),1)+IFERROR(VLOOKUP(A101,[1]Energiindhold!$A$2:$C$11,3,FALSE),0)*M101+IF(E101&lt;&gt;År1,R101,0),0)</f>
        <v>0</v>
      </c>
      <c r="T101">
        <f>IFERROR(VLOOKUP(A101,[1]Biogasudbytte!$A$2:$B$18,2,FALSE)*[1]Energiindhold!$C$10,0)*K101*IFERROR(VLOOKUP(A101,Biogasanlæg!$F$3:$G$8,2,FALSE),1)</f>
        <v>0</v>
      </c>
      <c r="U101" s="170">
        <f t="shared" si="28"/>
        <v>0</v>
      </c>
      <c r="V101" s="169">
        <f>P101*IFERROR(VLOOKUP(A101,[1]Tørstofindhold!A$2:B$24,2,FALSE),0)</f>
        <v>0</v>
      </c>
      <c r="W101">
        <f>IF(E101=År1,Q101,SUM(P101,Q101))*IFERROR(VLOOKUP(A101,[1]Tørstofindhold!A$2:B$24,2,FALSE),0)</f>
        <v>0</v>
      </c>
      <c r="X101">
        <f>K101*IFERROR(VLOOKUP(A101,[1]Tørstofindhold!A$2:B$24,2,FALSE),0)</f>
        <v>0</v>
      </c>
      <c r="Y101" s="170">
        <f t="shared" si="29"/>
        <v>0</v>
      </c>
      <c r="Z101">
        <f t="shared" ca="1" si="23"/>
        <v>0</v>
      </c>
      <c r="AA101">
        <f t="shared" ca="1" si="24"/>
        <v>1</v>
      </c>
      <c r="AB101" s="94">
        <f t="shared" si="25"/>
        <v>190197.28936551156</v>
      </c>
      <c r="AC101">
        <f>AB101*D101*10000*VLOOKUP(A101,[1]kcal!$A$2:$C$49,3,FALSE)/1000000000000</f>
        <v>1.3209201746434778</v>
      </c>
    </row>
    <row r="102" spans="1:29" x14ac:dyDescent="0.25">
      <c r="A102" s="171" t="str">
        <f t="shared" si="36"/>
        <v>Bioaffald</v>
      </c>
      <c r="B102" s="171" t="str">
        <f t="shared" si="37"/>
        <v>Bionedbrydeligt affald</v>
      </c>
      <c r="C102" s="171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71">
        <f t="shared" si="21"/>
        <v>0</v>
      </c>
      <c r="E102" s="171">
        <f t="shared" si="38"/>
        <v>2050</v>
      </c>
      <c r="F102" t="s">
        <v>23</v>
      </c>
      <c r="G102" s="94">
        <f ca="1">IF(F102="Vestdanmark",SUMIFS(IF(E102=År1,'Resultater - Vestdanmark'!H$3:H$504,IF(E102=År2,'Resultater - Vestdanmark'!I$3:I$504,'Resultater - Vestdanmark'!J$3:J$504)),'Resultater - Vestdanmark'!$F$3:$F$504,$A102,IF(E102=År1,'Resultater - Vestdanmark'!H$3:H$504,IF(E102=År2,'Resultater - Vestdanmark'!I$3:I$504,'Resultater - Vestdanmark'!J$3:J$504)),"&gt;0"),SUMIFS(IF(E102=År1,'Resultater - Østdanmark'!H$3:H$504,IF(E102=År2,'Resultater - Østdanmark'!I$3:I$504,'Resultater - Østdanmark'!J$3:J$504)),'Resultater - Østdanmark'!$F$3:$F$504,$A102,IF(E102=År1,'Resultater - Østdanmark'!H$3:H$504,IF(E102=År2,'Resultater - Østdanmark'!I$3:I$504,'Resultater - Østdanmark'!J$3:J$504)),"&gt;0"))</f>
        <v>197484.13479984918</v>
      </c>
      <c r="H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forbrug'!H$3,'Forbrug af biomasse'!$B$2:$B$425,$F102)</f>
        <v>0</v>
      </c>
      <c r="I102">
        <f>IF(F102="Vestdanmark",-IF(A102="Halm",SUMIFS(IF(E102=År1,'Resultater - Vestdanmark'!H$3:H$504,IF(E102=År2,'Resultater - Vestdanmark'!I$3:I$504,'Resultater - Vestdanmark'!J$3:J$504)),'Resultater - Vestdanmark'!$F$3:$F$504,$A102,'Resultater - Vestdanmark'!H$3:H$504,"&lt;0"),0),-IF(A102="Halm",SUMIFS(IF(E102=År1,'Resultater - Østdanmark'!H$3:H$504,IF(E102=År2,'Resultater - Østdanmark'!I$3:I$504,'Resultater - Østdanmark'!J$3:J$504)),'Resultater - Østdanmark'!$F$3:$F$504,$A102,'Resultater - Østdanmark'!H$3:H$504,"&lt;0"),0))</f>
        <v>0</v>
      </c>
      <c r="J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forbrug'!J$3,'Forbrug af biomasse'!$B$2:$B$425,$F102)</f>
        <v>0</v>
      </c>
      <c r="K102" s="94">
        <f ca="1">SUMIFS('Forbrug af biomasse'!$E$2:$E$425,'Forbrug af biomasse'!$C$2:$C$425,'Resultat-Produktion &amp; forbrug'!$A102,'Forbrug af biomasse'!$D$2:$D$425,'Resultat-Produktion &amp; forbrug'!$E102,'Forbrug af biomasse'!$A$2:$A$425,'Resultat-Produktion &amp; forbrug'!K$3,'Forbrug af biomasse'!$B$2:$B$425,$F102)</f>
        <v>0</v>
      </c>
      <c r="L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forbrug'!L$3,'Forbrug af biomasse'!$B$2:$B$425,$F102)</f>
        <v>0</v>
      </c>
      <c r="M102" s="94">
        <f ca="1">IF(A102&lt;&gt;"Biogas",SUMIFS('Forbrug af biomasse'!$E$2:$E$425,'Forbrug af biomasse'!$C$2:$C$425,'Resultat-Produktion &amp; forbrug'!$A102,'Forbrug af biomasse'!$D$2:$D$425,'Resultat-Produktion &amp; forbrug'!$E102,'Forbrug af biomasse'!$A$2:$A$425,'Resultat-Produktion &amp; forbrug'!M$3,'Forbrug af biomasse'!$B$2:$B$425,$F102),G102)</f>
        <v>197484.13479984918</v>
      </c>
      <c r="N102" s="94">
        <f ca="1">SUMIFS('Forbrug af biomasse'!E:E,'Forbrug af biomasse'!C:C,'Resultat-Produktion &amp; forbrug'!$A102,'Forbrug af biomasse'!D:D,'Resultat-Produktion &amp; forbrug'!$E102,'Forbrug af biomasse'!G:G,1,'Forbrug af biomasse'!B:B,$F102)</f>
        <v>0</v>
      </c>
      <c r="O102" s="179">
        <f t="shared" ca="1" si="26"/>
        <v>0</v>
      </c>
      <c r="P102" s="94">
        <f t="shared" ca="1" si="22"/>
        <v>0</v>
      </c>
      <c r="Q102" s="180">
        <f t="shared" ca="1" si="27"/>
        <v>197484.13479984918</v>
      </c>
      <c r="R102">
        <f ca="1">IFERROR(VLOOKUP(A102,[1]Energiindhold!$A$2:$C$11,3,FALSE),IFERROR(VLOOKUP(A102,[1]Biogasudbytte!$A$2:$B$18,2,FALSE)*[1]Energiindhold!$C$10,0))*P102</f>
        <v>0</v>
      </c>
      <c r="S102">
        <f ca="1">IF(A102&lt;&gt;"Biogas",IFERROR(VLOOKUP(A102,[1]Biogasudbytte!$A$2:$B$18,2,FALSE)*[1]Energiindhold!$C$10,0)*K102*IFERROR(VLOOKUP(A102,Biogasanlæg!$F$3:$G$8,2,FALSE),1)+IFERROR(VLOOKUP(A102,[1]Energiindhold!$A$2:$C$11,3,FALSE),0)*M102+IF(E102&lt;&gt;År1,R102,0),0)</f>
        <v>3.5255303237813815</v>
      </c>
      <c r="T102">
        <f ca="1">IFERROR(VLOOKUP(A102,[1]Biogasudbytte!$A$2:$B$18,2,FALSE)*[1]Energiindhold!$C$10,0)*K102*IFERROR(VLOOKUP(A102,Biogasanlæg!$F$3:$G$8,2,FALSE),1)</f>
        <v>0</v>
      </c>
      <c r="U102" s="170">
        <f t="shared" ca="1" si="28"/>
        <v>3.5255303237813815</v>
      </c>
      <c r="V102" s="169">
        <f ca="1">P102*IFERROR(VLOOKUP(A102,[1]Tørstofindhold!A$2:B$24,2,FALSE),0)</f>
        <v>0</v>
      </c>
      <c r="W102">
        <f ca="1">IF(E102=År1,Q102,SUM(P102,Q102))*IFERROR(VLOOKUP(A102,[1]Tørstofindhold!A$2:B$24,2,FALSE),0)</f>
        <v>55295.557743957776</v>
      </c>
      <c r="X102">
        <f ca="1">K102*IFERROR(VLOOKUP(A102,[1]Tørstofindhold!A$2:B$24,2,FALSE),0)</f>
        <v>0</v>
      </c>
      <c r="Y102" s="170">
        <f t="shared" ca="1" si="29"/>
        <v>55295.557743957776</v>
      </c>
      <c r="Z102">
        <f t="shared" ca="1" si="23"/>
        <v>0</v>
      </c>
      <c r="AA102">
        <f t="shared" ca="1" si="24"/>
        <v>0</v>
      </c>
      <c r="AB102" s="94">
        <f t="shared" ca="1" si="25"/>
        <v>197484.13479984918</v>
      </c>
      <c r="AC102">
        <f ca="1">AB102*D102*10000*VLOOKUP(A102,[1]kcal!$A$2:$C$49,3,FALSE)/1000000000000</f>
        <v>0</v>
      </c>
    </row>
    <row r="103" spans="1:29" x14ac:dyDescent="0.25">
      <c r="A103" s="171" t="str">
        <f t="shared" si="36"/>
        <v>Biogas</v>
      </c>
      <c r="B103" s="171" t="str">
        <f t="shared" si="37"/>
        <v/>
      </c>
      <c r="C103" s="171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1</v>
      </c>
      <c r="D103" s="171">
        <f t="shared" si="21"/>
        <v>0</v>
      </c>
      <c r="E103" s="171">
        <f t="shared" si="38"/>
        <v>2050</v>
      </c>
      <c r="F103" t="s">
        <v>23</v>
      </c>
      <c r="G103" s="94">
        <f ca="1">IF(F103="Vestdanmark",SUMIFS(IF(E103=År1,'Resultater - Vestdanmark'!H$3:H$504,IF(E103=År2,'Resultater - Vestdanmark'!I$3:I$504,'Resultater - Vestdanmark'!J$3:J$504)),'Resultater - Vestdanmark'!$F$3:$F$504,$A103,IF(E103=År1,'Resultater - Vestdanmark'!H$3:H$504,IF(E103=År2,'Resultater - Vestdanmark'!I$3:I$504,'Resultater - Vestdanmark'!J$3:J$504)),"&gt;0"),SUMIFS(IF(E103=År1,'Resultater - Østdanmark'!H$3:H$504,IF(E103=År2,'Resultater - Østdanmark'!I$3:I$504,'Resultater - Østdanmark'!J$3:J$504)),'Resultater - Østdanmark'!$F$3:$F$504,$A103,IF(E103=År1,'Resultater - Østdanmark'!H$3:H$504,IF(E103=År2,'Resultater - Østdanmark'!I$3:I$504,'Resultater - Østdanmark'!J$3:J$504)),"&gt;0"))</f>
        <v>563663167.57084477</v>
      </c>
      <c r="H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forbrug'!H$3,'Forbrug af biomasse'!$B$2:$B$425,$F103)</f>
        <v>0</v>
      </c>
      <c r="I103">
        <f>IF(F103="Vestdanmark",-IF(A103="Halm",SUMIFS(IF(E103=År1,'Resultater - Vestdanmark'!H$3:H$504,IF(E103=År2,'Resultater - Vestdanmark'!I$3:I$504,'Resultater - Vestdanmark'!J$3:J$504)),'Resultater - Vestdanmark'!$F$3:$F$504,$A103,'Resultater - Vestdanmark'!H$3:H$504,"&lt;0"),0),-IF(A103="Halm",SUMIFS(IF(E103=År1,'Resultater - Østdanmark'!H$3:H$504,IF(E103=År2,'Resultater - Østdanmark'!I$3:I$504,'Resultater - Østdanmark'!J$3:J$504)),'Resultater - Østdanmark'!$F$3:$F$504,$A103,'Resultater - Østdanmark'!H$3:H$504,"&lt;0"),0))</f>
        <v>0</v>
      </c>
      <c r="J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forbrug'!J$3,'Forbrug af biomasse'!$B$2:$B$425,$F103)</f>
        <v>0</v>
      </c>
      <c r="K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forbrug'!K$3,'Forbrug af biomasse'!$B$2:$B$425,$F103)</f>
        <v>0</v>
      </c>
      <c r="L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forbrug'!L$3,'Forbrug af biomasse'!$B$2:$B$425,$F103)</f>
        <v>0</v>
      </c>
      <c r="M103" s="94">
        <f ca="1">IF(A103&lt;&gt;"Biogas",SUMIFS('Forbrug af biomasse'!$E$2:$E$425,'Forbrug af biomasse'!$C$2:$C$425,'Resultat-Produktion &amp; forbrug'!$A103,'Forbrug af biomasse'!$D$2:$D$425,'Resultat-Produktion &amp; forbrug'!$E103,'Forbrug af biomasse'!$A$2:$A$425,'Resultat-Produktion &amp; forbrug'!M$3,'Forbrug af biomasse'!$B$2:$B$425,$F103),G103)</f>
        <v>563663167.57084477</v>
      </c>
      <c r="N103" s="94">
        <f>SUMIFS('Forbrug af biomasse'!E:E,'Forbrug af biomasse'!C:C,'Resultat-Produktion &amp; forbrug'!$A103,'Forbrug af biomasse'!D:D,'Resultat-Produktion &amp; forbrug'!$E103,'Forbrug af biomasse'!G:G,1,'Forbrug af biomasse'!B:B,$F103)</f>
        <v>0</v>
      </c>
      <c r="O103" s="179">
        <f t="shared" ca="1" si="26"/>
        <v>0</v>
      </c>
      <c r="P103" s="94">
        <f t="shared" ca="1" si="22"/>
        <v>0</v>
      </c>
      <c r="Q103" s="180">
        <f t="shared" ca="1" si="27"/>
        <v>563663167.57084477</v>
      </c>
      <c r="R103">
        <f ca="1">IFERROR(VLOOKUP(A103,[1]Energiindhold!$A$2:$C$11,3,FALSE),IFERROR(VLOOKUP(A103,[1]Biogasudbytte!$A$2:$B$18,2,FALSE)*[1]Energiindhold!$C$10,0))*P103</f>
        <v>0</v>
      </c>
      <c r="S103">
        <f>IF(A103&lt;&gt;"Biogas",IFERROR(VLOOKUP(A103,[1]Biogasudbytte!$A$2:$B$18,2,FALSE)*[1]Energiindhold!$C$10,0)*K103*IFERROR(VLOOKUP(A103,Biogasanlæg!$F$3:$G$8,2,FALSE),1)+IFERROR(VLOOKUP(A103,[1]Energiindhold!$A$2:$C$11,3,FALSE),0)*M103+IF(E103&lt;&gt;År1,R103,0),0)</f>
        <v>0</v>
      </c>
      <c r="T103">
        <f>IFERROR(VLOOKUP(A103,[1]Biogasudbytte!$A$2:$B$18,2,FALSE)*[1]Energiindhold!$C$10,0)*K103*IFERROR(VLOOKUP(A103,Biogasanlæg!$F$3:$G$8,2,FALSE),1)</f>
        <v>0</v>
      </c>
      <c r="U103" s="170">
        <f t="shared" si="28"/>
        <v>0</v>
      </c>
      <c r="V103" s="169">
        <f ca="1">P103*IFERROR(VLOOKUP(A103,[1]Tørstofindhold!A$2:B$24,2,FALSE),0)</f>
        <v>0</v>
      </c>
      <c r="W103">
        <f ca="1">IF(E103=År1,Q103,SUM(P103,Q103))*IFERROR(VLOOKUP(A103,[1]Tørstofindhold!A$2:B$24,2,FALSE),0)</f>
        <v>0</v>
      </c>
      <c r="X103">
        <f>K103*IFERROR(VLOOKUP(A103,[1]Tørstofindhold!A$2:B$24,2,FALSE),0)</f>
        <v>0</v>
      </c>
      <c r="Y103" s="170">
        <f t="shared" ca="1" si="29"/>
        <v>0</v>
      </c>
      <c r="Z103">
        <f t="shared" ca="1" si="23"/>
        <v>0</v>
      </c>
      <c r="AA103">
        <f t="shared" ca="1" si="24"/>
        <v>0</v>
      </c>
      <c r="AB103" s="94">
        <f t="shared" ca="1" si="25"/>
        <v>563663167.57084477</v>
      </c>
      <c r="AC103">
        <f ca="1">AB103*D103*10000*VLOOKUP(A103,[1]kcal!$A$2:$C$49,3,FALSE)/1000000000000</f>
        <v>0</v>
      </c>
    </row>
    <row r="104" spans="1:29" x14ac:dyDescent="0.25">
      <c r="A104" s="171" t="str">
        <f t="shared" si="36"/>
        <v>Biogasgylle</v>
      </c>
      <c r="B104" s="171" t="str">
        <f t="shared" si="37"/>
        <v/>
      </c>
      <c r="C104" s="171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0</v>
      </c>
      <c r="D104" s="171">
        <f t="shared" si="21"/>
        <v>0</v>
      </c>
      <c r="E104" s="171">
        <f t="shared" si="38"/>
        <v>2050</v>
      </c>
      <c r="F104" t="s">
        <v>23</v>
      </c>
      <c r="G104" s="94">
        <f ca="1">IF(F104="Vestdanmark",SUMIFS(IF(E104=År1,'Resultater - Vestdanmark'!H$3:H$504,IF(E104=År2,'Resultater - Vestdanmark'!I$3:I$504,'Resultater - Vestdanmark'!J$3:J$504)),'Resultater - Vestdanmark'!$F$3:$F$504,$A104,IF(E104=År1,'Resultater - Vestdanmark'!H$3:H$504,IF(E104=År2,'Resultater - Vestdanmark'!I$3:I$504,'Resultater - Vestdanmark'!J$3:J$504)),"&gt;0"),SUMIFS(IF(E104=År1,'Resultater - Østdanmark'!H$3:H$504,IF(E104=År2,'Resultater - Østdanmark'!I$3:I$504,'Resultater - Østdanmark'!J$3:J$504)),'Resultater - Østdanmark'!$F$3:$F$504,$A104,IF(E104=År1,'Resultater - Østdanmark'!H$3:H$504,IF(E104=År2,'Resultater - Østdanmark'!I$3:I$504,'Resultater - Østdanmark'!J$3:J$504)),"&gt;0"))</f>
        <v>27386289.783254456</v>
      </c>
      <c r="H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forbrug'!H$3,'Forbrug af biomasse'!$B$2:$B$425,$F104)</f>
        <v>0</v>
      </c>
      <c r="I104">
        <f>IF(F104="Vestdanmark",-IF(A104="Halm",SUMIFS(IF(E104=År1,'Resultater - Vestdanmark'!H$3:H$504,IF(E104=År2,'Resultater - Vestdanmark'!I$3:I$504,'Resultater - Vestdanmark'!J$3:J$504)),'Resultater - Vestdanmark'!$F$3:$F$504,$A104,'Resultater - Vestdanmark'!H$3:H$504,"&lt;0"),0),-IF(A104="Halm",SUMIFS(IF(E104=År1,'Resultater - Østdanmark'!H$3:H$504,IF(E104=År2,'Resultater - Østdanmark'!I$3:I$504,'Resultater - Østdanmark'!J$3:J$504)),'Resultater - Østdanmark'!$F$3:$F$504,$A104,'Resultater - Østdanmark'!H$3:H$504,"&lt;0"),0))</f>
        <v>0</v>
      </c>
      <c r="J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forbrug'!J$3,'Forbrug af biomasse'!$B$2:$B$425,$F104)</f>
        <v>0</v>
      </c>
      <c r="K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forbrug'!K$3,'Forbrug af biomasse'!$B$2:$B$425,$F104)</f>
        <v>0</v>
      </c>
      <c r="L104" s="94">
        <f ca="1">SUMIFS('Forbrug af biomasse'!$E$2:$E$425,'Forbrug af biomasse'!$C$2:$C$425,'Resultat-Produktion &amp; forbrug'!$A104,'Forbrug af biomasse'!$D$2:$D$425,'Resultat-Produktion &amp; forbrug'!$E104,'Forbrug af biomasse'!$A$2:$A$425,'Resultat-Produktion &amp; forbrug'!L$3,'Forbrug af biomasse'!$B$2:$B$425,$F104)</f>
        <v>21610883.072868608</v>
      </c>
      <c r="M104" s="94">
        <f>IF(A104&lt;&gt;"Biogas",SUMIFS('Forbrug af biomasse'!$E$2:$E$425,'Forbrug af biomasse'!$C$2:$C$425,'Resultat-Produktion &amp; forbrug'!$A104,'Forbrug af biomasse'!$D$2:$D$425,'Resultat-Produktion &amp; forbrug'!$E104,'Forbrug af biomasse'!$A$2:$A$425,'Resultat-Produktion &amp; forbrug'!M$3,'Forbrug af biomasse'!$B$2:$B$425,$F104),G104)</f>
        <v>0</v>
      </c>
      <c r="N104" s="94">
        <f>SUMIFS('Forbrug af biomasse'!E:E,'Forbrug af biomasse'!C:C,'Resultat-Produktion &amp; forbrug'!$A104,'Forbrug af biomasse'!D:D,'Resultat-Produktion &amp; forbrug'!$E104,'Forbrug af biomasse'!G:G,1,'Forbrug af biomasse'!B:B,$F104)</f>
        <v>0</v>
      </c>
      <c r="O104" s="179">
        <f t="shared" ca="1" si="26"/>
        <v>5775406.7103858478</v>
      </c>
      <c r="P104" s="94">
        <f t="shared" si="22"/>
        <v>0</v>
      </c>
      <c r="Q104" s="180">
        <f t="shared" si="27"/>
        <v>0</v>
      </c>
      <c r="R104">
        <f>IFERROR(VLOOKUP(A104,[1]Energiindhold!$A$2:$C$11,3,FALSE),IFERROR(VLOOKUP(A104,[1]Biogasudbytte!$A$2:$B$18,2,FALSE)*[1]Energiindhold!$C$10,0))*P104</f>
        <v>0</v>
      </c>
      <c r="S104">
        <f>IF(A104&lt;&gt;"Biogas",IFERROR(VLOOKUP(A104,[1]Biogasudbytte!$A$2:$B$18,2,FALSE)*[1]Energiindhold!$C$10,0)*K104*IFERROR(VLOOKUP(A104,Biogasanlæg!$F$3:$G$8,2,FALSE),1)+IFERROR(VLOOKUP(A104,[1]Energiindhold!$A$2:$C$11,3,FALSE),0)*M104+IF(E104&lt;&gt;År1,R104,0),0)</f>
        <v>0</v>
      </c>
      <c r="T104">
        <f>IFERROR(VLOOKUP(A104,[1]Biogasudbytte!$A$2:$B$18,2,FALSE)*[1]Energiindhold!$C$10,0)*K104*IFERROR(VLOOKUP(A104,Biogasanlæg!$F$3:$G$8,2,FALSE),1)</f>
        <v>0</v>
      </c>
      <c r="U104" s="170">
        <f t="shared" si="28"/>
        <v>0</v>
      </c>
      <c r="V104" s="169">
        <f>P104*IFERROR(VLOOKUP(A104,[1]Tørstofindhold!A$2:B$24,2,FALSE),0)</f>
        <v>0</v>
      </c>
      <c r="W104">
        <f>IF(E104=År1,Q104,SUM(P104,Q104))*IFERROR(VLOOKUP(A104,[1]Tørstofindhold!A$2:B$24,2,FALSE),0)</f>
        <v>0</v>
      </c>
      <c r="X104">
        <f>K104*IFERROR(VLOOKUP(A104,[1]Tørstofindhold!A$2:B$24,2,FALSE),0)</f>
        <v>0</v>
      </c>
      <c r="Y104" s="170">
        <f t="shared" si="29"/>
        <v>0</v>
      </c>
      <c r="Z104">
        <f t="shared" ca="1" si="23"/>
        <v>0</v>
      </c>
      <c r="AA104">
        <f t="shared" ca="1" si="24"/>
        <v>1</v>
      </c>
      <c r="AB104" s="94">
        <f t="shared" ca="1" si="25"/>
        <v>5775406.7103858478</v>
      </c>
      <c r="AC104">
        <f ca="1">AB104*D104*10000*VLOOKUP(A104,[1]kcal!$A$2:$C$49,3,FALSE)/1000000000000</f>
        <v>0</v>
      </c>
    </row>
    <row r="105" spans="1:29" x14ac:dyDescent="0.25">
      <c r="A105" s="171" t="str">
        <f t="shared" si="36"/>
        <v>Brun saft</v>
      </c>
      <c r="B105" s="171" t="str">
        <f t="shared" si="37"/>
        <v>Bionedbrydeligt affald</v>
      </c>
      <c r="C105" s="171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71">
        <f t="shared" si="21"/>
        <v>0</v>
      </c>
      <c r="E105" s="171">
        <f t="shared" si="38"/>
        <v>2050</v>
      </c>
      <c r="F105" t="s">
        <v>23</v>
      </c>
      <c r="G105" s="94">
        <f>IF(F105="Vestdanmark",SUMIFS(IF(E105=År1,'Resultater - Vestdanmark'!H$3:H$504,IF(E105=År2,'Resultater - Vestdanmark'!I$3:I$504,'Resultater - Vestdanmark'!J$3:J$504)),'Resultater - Vestdanmark'!$F$3:$F$504,$A105,IF(E105=År1,'Resultater - Vestdanmark'!H$3:H$504,IF(E105=År2,'Resultater - Vestdanmark'!I$3:I$504,'Resultater - Vestdanmark'!J$3:J$504)),"&gt;0"),SUMIFS(IF(E105=År1,'Resultater - Østdanmark'!H$3:H$504,IF(E105=År2,'Resultater - Østdanmark'!I$3:I$504,'Resultater - Østdanmark'!J$3:J$504)),'Resultater - Østdanmark'!$F$3:$F$504,$A105,IF(E105=År1,'Resultater - Østdanmark'!H$3:H$504,IF(E105=År2,'Resultater - Østdanmark'!I$3:I$504,'Resultater - Østdanmark'!J$3:J$504)),"&gt;0"))</f>
        <v>0</v>
      </c>
      <c r="H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forbrug'!H$3,'Forbrug af biomasse'!$B$2:$B$425,$F105)</f>
        <v>0</v>
      </c>
      <c r="I105">
        <f>IF(F105="Vestdanmark",-IF(A105="Halm",SUMIFS(IF(E105=År1,'Resultater - Vestdanmark'!H$3:H$504,IF(E105=År2,'Resultater - Vestdanmark'!I$3:I$504,'Resultater - Vestdanmark'!J$3:J$504)),'Resultater - Vestdanmark'!$F$3:$F$504,$A105,'Resultater - Vestdanmark'!H$3:H$504,"&lt;0"),0),-IF(A105="Halm",SUMIFS(IF(E105=År1,'Resultater - Østdanmark'!H$3:H$504,IF(E105=År2,'Resultater - Østdanmark'!I$3:I$504,'Resultater - Østdanmark'!J$3:J$504)),'Resultater - Østdanmark'!$F$3:$F$504,$A105,'Resultater - Østdanmark'!H$3:H$504,"&lt;0"),0))</f>
        <v>0</v>
      </c>
      <c r="J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forbrug'!J$3,'Forbrug af biomasse'!$B$2:$B$425,$F105)</f>
        <v>0</v>
      </c>
      <c r="K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forbrug'!K$3,'Forbrug af biomasse'!$B$2:$B$425,$F105)</f>
        <v>0</v>
      </c>
      <c r="L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forbrug'!L$3,'Forbrug af biomasse'!$B$2:$B$425,$F105)</f>
        <v>0</v>
      </c>
      <c r="M105" s="94">
        <f>IF(A105&lt;&gt;"Biogas",SUMIFS('Forbrug af biomasse'!$E$2:$E$425,'Forbrug af biomasse'!$C$2:$C$425,'Resultat-Produktion &amp; forbrug'!$A105,'Forbrug af biomasse'!$D$2:$D$425,'Resultat-Produktion &amp; forbrug'!$E105,'Forbrug af biomasse'!$A$2:$A$425,'Resultat-Produktion &amp; forbrug'!M$3,'Forbrug af biomasse'!$B$2:$B$425,$F105),G105)</f>
        <v>0</v>
      </c>
      <c r="N105" s="94">
        <f>SUMIFS('Forbrug af biomasse'!E:E,'Forbrug af biomasse'!C:C,'Resultat-Produktion &amp; forbrug'!$A105,'Forbrug af biomasse'!D:D,'Resultat-Produktion &amp; forbrug'!$E105,'Forbrug af biomasse'!G:G,1,'Forbrug af biomasse'!B:B,$F105)</f>
        <v>0</v>
      </c>
      <c r="O105" s="179">
        <f t="shared" si="26"/>
        <v>0</v>
      </c>
      <c r="P105" s="94">
        <f t="shared" ca="1" si="22"/>
        <v>0</v>
      </c>
      <c r="Q105" s="180">
        <f t="shared" si="27"/>
        <v>0</v>
      </c>
      <c r="R105">
        <f ca="1">IFERROR(VLOOKUP(A105,[1]Energiindhold!$A$2:$C$11,3,FALSE),IFERROR(VLOOKUP(A105,[1]Biogasudbytte!$A$2:$B$18,2,FALSE)*[1]Energiindhold!$C$10,0))*P105</f>
        <v>0</v>
      </c>
      <c r="S105">
        <f ca="1">IF(A105&lt;&gt;"Biogas",IFERROR(VLOOKUP(A105,[1]Biogasudbytte!$A$2:$B$18,2,FALSE)*[1]Energiindhold!$C$10,0)*K105*IFERROR(VLOOKUP(A105,Biogasanlæg!$F$3:$G$8,2,FALSE),1)+IFERROR(VLOOKUP(A105,[1]Energiindhold!$A$2:$C$11,3,FALSE),0)*M105+IF(E105&lt;&gt;År1,R105,0),0)</f>
        <v>0</v>
      </c>
      <c r="T105">
        <f>IFERROR(VLOOKUP(A105,[1]Biogasudbytte!$A$2:$B$18,2,FALSE)*[1]Energiindhold!$C$10,0)*K105*IFERROR(VLOOKUP(A105,Biogasanlæg!$F$3:$G$8,2,FALSE),1)</f>
        <v>0</v>
      </c>
      <c r="U105" s="170">
        <f t="shared" ca="1" si="28"/>
        <v>0</v>
      </c>
      <c r="V105" s="169">
        <f ca="1">P105*IFERROR(VLOOKUP(A105,[1]Tørstofindhold!A$2:B$24,2,FALSE),0)</f>
        <v>0</v>
      </c>
      <c r="W105">
        <f ca="1">IF(E105=År1,Q105,SUM(P105,Q105))*IFERROR(VLOOKUP(A105,[1]Tørstofindhold!A$2:B$24,2,FALSE),0)</f>
        <v>0</v>
      </c>
      <c r="X105">
        <f>K105*IFERROR(VLOOKUP(A105,[1]Tørstofindhold!A$2:B$24,2,FALSE),0)</f>
        <v>0</v>
      </c>
      <c r="Y105" s="170">
        <f t="shared" ca="1" si="29"/>
        <v>0</v>
      </c>
      <c r="Z105">
        <f t="shared" ca="1" si="23"/>
        <v>0</v>
      </c>
      <c r="AA105">
        <f t="shared" ca="1" si="24"/>
        <v>0</v>
      </c>
      <c r="AB105" s="94">
        <f t="shared" si="25"/>
        <v>0</v>
      </c>
      <c r="AC105">
        <f>AB105*D105*10000*VLOOKUP(A105,[1]kcal!$A$2:$C$49,3,FALSE)/1000000000000</f>
        <v>0</v>
      </c>
    </row>
    <row r="106" spans="1:29" x14ac:dyDescent="0.25">
      <c r="A106" s="171" t="str">
        <f t="shared" si="36"/>
        <v>Dybstrøelse</v>
      </c>
      <c r="B106" s="171" t="str">
        <f t="shared" si="37"/>
        <v>Husdyrgødning</v>
      </c>
      <c r="C106" s="171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1</v>
      </c>
      <c r="D106" s="171">
        <f t="shared" si="21"/>
        <v>0</v>
      </c>
      <c r="E106" s="171">
        <f t="shared" si="38"/>
        <v>2050</v>
      </c>
      <c r="F106" t="s">
        <v>23</v>
      </c>
      <c r="G106" s="94">
        <f ca="1">IF(F106="Vestdanmark",SUMIFS(IF(E106=År1,'Resultater - Vestdanmark'!H$3:H$504,IF(E106=År2,'Resultater - Vestdanmark'!I$3:I$504,'Resultater - Vestdanmark'!J$3:J$504)),'Resultater - Vestdanmark'!$F$3:$F$504,$A106,IF(E106=År1,'Resultater - Vestdanmark'!H$3:H$504,IF(E106=År2,'Resultater - Vestdanmark'!I$3:I$504,'Resultater - Vestdanmark'!J$3:J$504)),"&gt;0"),SUMIFS(IF(E106=År1,'Resultater - Østdanmark'!H$3:H$504,IF(E106=År2,'Resultater - Østdanmark'!I$3:I$504,'Resultater - Østdanmark'!J$3:J$504)),'Resultater - Østdanmark'!$F$3:$F$504,$A106,IF(E106=År1,'Resultater - Østdanmark'!H$3:H$504,IF(E106=År2,'Resultater - Østdanmark'!I$3:I$504,'Resultater - Østdanmark'!J$3:J$504)),"&gt;0"))</f>
        <v>2537079.9796545585</v>
      </c>
      <c r="H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forbrug'!H$3,'Forbrug af biomasse'!$B$2:$B$425,$F106)</f>
        <v>0</v>
      </c>
      <c r="I106">
        <f>IF(F106="Vestdanmark",-IF(A106="Halm",SUMIFS(IF(E106=År1,'Resultater - Vestdanmark'!H$3:H$504,IF(E106=År2,'Resultater - Vestdanmark'!I$3:I$504,'Resultater - Vestdanmark'!J$3:J$504)),'Resultater - Vestdanmark'!$F$3:$F$504,$A106,'Resultater - Vestdanmark'!H$3:H$504,"&lt;0"),0),-IF(A106="Halm",SUMIFS(IF(E106=År1,'Resultater - Østdanmark'!H$3:H$504,IF(E106=År2,'Resultater - Østdanmark'!I$3:I$504,'Resultater - Østdanmark'!J$3:J$504)),'Resultater - Østdanmark'!$F$3:$F$504,$A106,'Resultater - Østdanmark'!H$3:H$504,"&lt;0"),0))</f>
        <v>0</v>
      </c>
      <c r="J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forbrug'!J$3,'Forbrug af biomasse'!$B$2:$B$425,$F106)</f>
        <v>0</v>
      </c>
      <c r="K106" s="94">
        <f ca="1">SUMIFS('Forbrug af biomasse'!$E$2:$E$425,'Forbrug af biomasse'!$C$2:$C$425,'Resultat-Produktion &amp; forbrug'!$A106,'Forbrug af biomasse'!$D$2:$D$425,'Resultat-Produktion &amp; forbrug'!$E106,'Forbrug af biomasse'!$A$2:$A$425,'Resultat-Produktion &amp; forbrug'!K$3,'Forbrug af biomasse'!$B$2:$B$425,$F106)</f>
        <v>2283371.9816891025</v>
      </c>
      <c r="L106" s="94">
        <f ca="1">SUMIFS('Forbrug af biomasse'!$E$2:$E$425,'Forbrug af biomasse'!$C$2:$C$425,'Resultat-Produktion &amp; forbrug'!$A106,'Forbrug af biomasse'!$D$2:$D$425,'Resultat-Produktion &amp; forbrug'!$E106,'Forbrug af biomasse'!$A$2:$A$425,'Resultat-Produktion &amp; forbrug'!L$3,'Forbrug af biomasse'!$B$2:$B$425,$F106)</f>
        <v>96046.599229779691</v>
      </c>
      <c r="M106" s="94">
        <f>IF(A106&lt;&gt;"Biogas",SUMIFS('Forbrug af biomasse'!$E$2:$E$425,'Forbrug af biomasse'!$C$2:$C$425,'Resultat-Produktion &amp; forbrug'!$A106,'Forbrug af biomasse'!$D$2:$D$425,'Resultat-Produktion &amp; forbrug'!$E106,'Forbrug af biomasse'!$A$2:$A$425,'Resultat-Produktion &amp; forbrug'!M$3,'Forbrug af biomasse'!$B$2:$B$425,$F106),G106)</f>
        <v>0</v>
      </c>
      <c r="N106" s="94">
        <f>SUMIFS('Forbrug af biomasse'!E:E,'Forbrug af biomasse'!C:C,'Resultat-Produktion &amp; forbrug'!$A106,'Forbrug af biomasse'!D:D,'Resultat-Produktion &amp; forbrug'!$E106,'Forbrug af biomasse'!G:G,1,'Forbrug af biomasse'!B:B,$F106)</f>
        <v>0</v>
      </c>
      <c r="O106" s="179">
        <f t="shared" ca="1" si="26"/>
        <v>157661.39873567643</v>
      </c>
      <c r="P106" s="94">
        <f t="shared" ca="1" si="22"/>
        <v>157661.39873567643</v>
      </c>
      <c r="Q106" s="180">
        <f t="shared" ca="1" si="27"/>
        <v>2283371.9816891025</v>
      </c>
      <c r="R106">
        <f ca="1">IFERROR(VLOOKUP(A106,[1]Energiindhold!$A$2:$C$11,3,FALSE),IFERROR(VLOOKUP(A106,[1]Biogasudbytte!$A$2:$B$18,2,FALSE)*[1]Energiindhold!$C$10,0))*P106</f>
        <v>0.33960265287664704</v>
      </c>
      <c r="S106">
        <f ca="1">IF(A106&lt;&gt;"Biogas",IFERROR(VLOOKUP(A106,[1]Biogasudbytte!$A$2:$B$18,2,FALSE)*[1]Energiindhold!$C$10,0)*K106*IFERROR(VLOOKUP(A106,Biogasanlæg!$F$3:$G$8,2,FALSE),1)+IFERROR(VLOOKUP(A106,[1]Energiindhold!$A$2:$C$11,3,FALSE),0)*M106+IF(E106&lt;&gt;År1,R106,0),0)</f>
        <v>5.2579859014349744</v>
      </c>
      <c r="T106">
        <f ca="1">IFERROR(VLOOKUP(A106,[1]Biogasudbytte!$A$2:$B$18,2,FALSE)*[1]Energiindhold!$C$10,0)*K106*IFERROR(VLOOKUP(A106,Biogasanlæg!$F$3:$G$8,2,FALSE),1)</f>
        <v>4.9183832485583272</v>
      </c>
      <c r="U106" s="170">
        <f t="shared" ca="1" si="28"/>
        <v>0.33960265287664715</v>
      </c>
      <c r="V106" s="169">
        <f ca="1">P106*IFERROR(VLOOKUP(A106,[1]Tørstofindhold!A$2:B$24,2,FALSE),0)</f>
        <v>47298.419620702924</v>
      </c>
      <c r="W106">
        <f ca="1">IF(E106=År1,Q106,SUM(P106,Q106))*IFERROR(VLOOKUP(A106,[1]Tørstofindhold!A$2:B$24,2,FALSE),0)</f>
        <v>732310.01412743365</v>
      </c>
      <c r="X106">
        <f ca="1">K106*IFERROR(VLOOKUP(A106,[1]Tørstofindhold!A$2:B$24,2,FALSE),0)</f>
        <v>685011.59450673067</v>
      </c>
      <c r="Y106" s="170">
        <f t="shared" ca="1" si="29"/>
        <v>47298.419620702974</v>
      </c>
      <c r="Z106">
        <f t="shared" ca="1" si="23"/>
        <v>0</v>
      </c>
      <c r="AA106">
        <f t="shared" ca="1" si="24"/>
        <v>1</v>
      </c>
      <c r="AB106" s="94">
        <f t="shared" ca="1" si="25"/>
        <v>157661.39873567643</v>
      </c>
      <c r="AC106">
        <f ca="1">AB106*D106*10000*VLOOKUP(A106,[1]kcal!$A$2:$C$49,3,FALSE)/1000000000000</f>
        <v>0</v>
      </c>
    </row>
    <row r="107" spans="1:29" x14ac:dyDescent="0.25">
      <c r="A107" s="171" t="str">
        <f t="shared" si="36"/>
        <v>Fiberfraktion</v>
      </c>
      <c r="B107" s="171" t="str">
        <f t="shared" si="37"/>
        <v/>
      </c>
      <c r="C107" s="171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0</v>
      </c>
      <c r="D107" s="171">
        <f t="shared" si="21"/>
        <v>0</v>
      </c>
      <c r="E107" s="171">
        <f t="shared" si="38"/>
        <v>2050</v>
      </c>
      <c r="F107" t="s">
        <v>23</v>
      </c>
      <c r="G107" s="94">
        <f>IF(F107="Vestdanmark",SUMIFS(IF(E107=År1,'Resultater - Vestdanmark'!H$3:H$504,IF(E107=År2,'Resultater - Vestdanmark'!I$3:I$504,'Resultater - Vestdanmark'!J$3:J$504)),'Resultater - Vestdanmark'!$F$3:$F$504,$A107,IF(E107=År1,'Resultater - Vestdanmark'!H$3:H$504,IF(E107=År2,'Resultater - Vestdanmark'!I$3:I$504,'Resultater - Vestdanmark'!J$3:J$504)),"&gt;0"),SUMIFS(IF(E107=År1,'Resultater - Østdanmark'!H$3:H$504,IF(E107=År2,'Resultater - Østdanmark'!I$3:I$504,'Resultater - Østdanmark'!J$3:J$504)),'Resultater - Østdanmark'!$F$3:$F$504,$A107,IF(E107=År1,'Resultater - Østdanmark'!H$3:H$504,IF(E107=År2,'Resultater - Østdanmark'!I$3:I$504,'Resultater - Østdanmark'!J$3:J$504)),"&gt;0"))</f>
        <v>0</v>
      </c>
      <c r="H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forbrug'!H$3,'Forbrug af biomasse'!$B$2:$B$425,$F107)</f>
        <v>0</v>
      </c>
      <c r="I107">
        <f>IF(F107="Vestdanmark",-IF(A107="Halm",SUMIFS(IF(E107=År1,'Resultater - Vestdanmark'!H$3:H$504,IF(E107=År2,'Resultater - Vestdanmark'!I$3:I$504,'Resultater - Vestdanmark'!J$3:J$504)),'Resultater - Vestdanmark'!$F$3:$F$504,$A107,'Resultater - Vestdanmark'!H$3:H$504,"&lt;0"),0),-IF(A107="Halm",SUMIFS(IF(E107=År1,'Resultater - Østdanmark'!H$3:H$504,IF(E107=År2,'Resultater - Østdanmark'!I$3:I$504,'Resultater - Østdanmark'!J$3:J$504)),'Resultater - Østdanmark'!$F$3:$F$504,$A107,'Resultater - Østdanmark'!H$3:H$504,"&lt;0"),0))</f>
        <v>0</v>
      </c>
      <c r="J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forbrug'!J$3,'Forbrug af biomasse'!$B$2:$B$425,$F107)</f>
        <v>0</v>
      </c>
      <c r="K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forbrug'!K$3,'Forbrug af biomasse'!$B$2:$B$425,$F107)</f>
        <v>0</v>
      </c>
      <c r="L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forbrug'!L$3,'Forbrug af biomasse'!$B$2:$B$425,$F107)</f>
        <v>0</v>
      </c>
      <c r="M107" s="94">
        <f>IF(A107&lt;&gt;"Biogas",SUMIFS('Forbrug af biomasse'!$E$2:$E$425,'Forbrug af biomasse'!$C$2:$C$425,'Resultat-Produktion &amp; forbrug'!$A107,'Forbrug af biomasse'!$D$2:$D$425,'Resultat-Produktion &amp; forbrug'!$E107,'Forbrug af biomasse'!$A$2:$A$425,'Resultat-Produktion &amp; forbrug'!M$3,'Forbrug af biomasse'!$B$2:$B$425,$F107),G107)</f>
        <v>0</v>
      </c>
      <c r="N107" s="94">
        <f>SUMIFS('Forbrug af biomasse'!E:E,'Forbrug af biomasse'!C:C,'Resultat-Produktion &amp; forbrug'!$A107,'Forbrug af biomasse'!D:D,'Resultat-Produktion &amp; forbrug'!$E107,'Forbrug af biomasse'!G:G,1,'Forbrug af biomasse'!B:B,$F107)</f>
        <v>0</v>
      </c>
      <c r="O107" s="179">
        <f t="shared" si="26"/>
        <v>0</v>
      </c>
      <c r="P107" s="94">
        <f t="shared" si="22"/>
        <v>0</v>
      </c>
      <c r="Q107" s="180">
        <f t="shared" si="27"/>
        <v>0</v>
      </c>
      <c r="R107">
        <f>IFERROR(VLOOKUP(A107,[1]Energiindhold!$A$2:$C$11,3,FALSE),IFERROR(VLOOKUP(A107,[1]Biogasudbytte!$A$2:$B$18,2,FALSE)*[1]Energiindhold!$C$10,0))*P107</f>
        <v>0</v>
      </c>
      <c r="S107">
        <f>IF(A107&lt;&gt;"Biogas",IFERROR(VLOOKUP(A107,[1]Biogasudbytte!$A$2:$B$18,2,FALSE)*[1]Energiindhold!$C$10,0)*K107*IFERROR(VLOOKUP(A107,Biogasanlæg!$F$3:$G$8,2,FALSE),1)+IFERROR(VLOOKUP(A107,[1]Energiindhold!$A$2:$C$11,3,FALSE),0)*M107+IF(E107&lt;&gt;År1,R107,0),0)</f>
        <v>0</v>
      </c>
      <c r="T107">
        <f>IFERROR(VLOOKUP(A107,[1]Biogasudbytte!$A$2:$B$18,2,FALSE)*[1]Energiindhold!$C$10,0)*K107*IFERROR(VLOOKUP(A107,Biogasanlæg!$F$3:$G$8,2,FALSE),1)</f>
        <v>0</v>
      </c>
      <c r="U107" s="170">
        <f t="shared" si="28"/>
        <v>0</v>
      </c>
      <c r="V107" s="169">
        <f>P107*IFERROR(VLOOKUP(A107,[1]Tørstofindhold!A$2:B$24,2,FALSE),0)</f>
        <v>0</v>
      </c>
      <c r="W107">
        <f>IF(E107=År1,Q107,SUM(P107,Q107))*IFERROR(VLOOKUP(A107,[1]Tørstofindhold!A$2:B$24,2,FALSE),0)</f>
        <v>0</v>
      </c>
      <c r="X107">
        <f>K107*IFERROR(VLOOKUP(A107,[1]Tørstofindhold!A$2:B$24,2,FALSE),0)</f>
        <v>0</v>
      </c>
      <c r="Y107" s="170">
        <f t="shared" si="29"/>
        <v>0</v>
      </c>
      <c r="Z107">
        <f t="shared" ca="1" si="23"/>
        <v>0</v>
      </c>
      <c r="AA107">
        <f t="shared" ca="1" si="24"/>
        <v>0</v>
      </c>
      <c r="AB107" s="94">
        <f t="shared" si="25"/>
        <v>0</v>
      </c>
      <c r="AC107">
        <f>AB107*D107*10000*VLOOKUP(A107,[1]kcal!$A$2:$C$49,3,FALSE)/1000000000000</f>
        <v>0</v>
      </c>
    </row>
    <row r="108" spans="1:29" x14ac:dyDescent="0.25">
      <c r="A108" s="171" t="str">
        <f t="shared" si="36"/>
        <v>Fjerkrægylle</v>
      </c>
      <c r="B108" s="171" t="str">
        <f t="shared" si="37"/>
        <v>Husdyrgødning</v>
      </c>
      <c r="C108" s="171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1</v>
      </c>
      <c r="D108" s="171">
        <f t="shared" si="21"/>
        <v>0</v>
      </c>
      <c r="E108" s="171">
        <f t="shared" si="38"/>
        <v>2050</v>
      </c>
      <c r="F108" t="s">
        <v>23</v>
      </c>
      <c r="G108" s="94">
        <f>IF(F108="Vestdanmark",SUMIFS(IF(E108=År1,'Resultater - Vestdanmark'!H$3:H$504,IF(E108=År2,'Resultater - Vestdanmark'!I$3:I$504,'Resultater - Vestdanmark'!J$3:J$504)),'Resultater - Vestdanmark'!$F$3:$F$504,$A108,IF(E108=År1,'Resultater - Vestdanmark'!H$3:H$504,IF(E108=År2,'Resultater - Vestdanmark'!I$3:I$504,'Resultater - Vestdanmark'!J$3:J$504)),"&gt;0"),SUMIFS(IF(E108=År1,'Resultater - Østdanmark'!H$3:H$504,IF(E108=År2,'Resultater - Østdanmark'!I$3:I$504,'Resultater - Østdanmark'!J$3:J$504)),'Resultater - Østdanmark'!$F$3:$F$504,$A108,IF(E108=År1,'Resultater - Østdanmark'!H$3:H$504,IF(E108=År2,'Resultater - Østdanmark'!I$3:I$504,'Resultater - Østdanmark'!J$3:J$504)),"&gt;0"))</f>
        <v>8615.5317224824212</v>
      </c>
      <c r="H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forbrug'!H$3,'Forbrug af biomasse'!$B$2:$B$425,$F108)</f>
        <v>0</v>
      </c>
      <c r="I108">
        <f>IF(F108="Vestdanmark",-IF(A108="Halm",SUMIFS(IF(E108=År1,'Resultater - Vestdanmark'!H$3:H$504,IF(E108=År2,'Resultater - Vestdanmark'!I$3:I$504,'Resultater - Vestdanmark'!J$3:J$504)),'Resultater - Vestdanmark'!$F$3:$F$504,$A108,'Resultater - Vestdanmark'!H$3:H$504,"&lt;0"),0),-IF(A108="Halm",SUMIFS(IF(E108=År1,'Resultater - Østdanmark'!H$3:H$504,IF(E108=År2,'Resultater - Østdanmark'!I$3:I$504,'Resultater - Østdanmark'!J$3:J$504)),'Resultater - Østdanmark'!$F$3:$F$504,$A108,'Resultater - Østdanmark'!H$3:H$504,"&lt;0"),0))</f>
        <v>0</v>
      </c>
      <c r="J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forbrug'!J$3,'Forbrug af biomasse'!$B$2:$B$425,$F108)</f>
        <v>0</v>
      </c>
      <c r="K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forbrug'!K$3,'Forbrug af biomasse'!$B$2:$B$425,$F108)</f>
        <v>7753.9785502341792</v>
      </c>
      <c r="L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forbrug'!L$3,'Forbrug af biomasse'!$B$2:$B$425,$F108)</f>
        <v>861.55317224824194</v>
      </c>
      <c r="M108" s="94">
        <f>IF(A108&lt;&gt;"Biogas",SUMIFS('Forbrug af biomasse'!$E$2:$E$425,'Forbrug af biomasse'!$C$2:$C$425,'Resultat-Produktion &amp; forbrug'!$A108,'Forbrug af biomasse'!$D$2:$D$425,'Resultat-Produktion &amp; forbrug'!$E108,'Forbrug af biomasse'!$A$2:$A$425,'Resultat-Produktion &amp; forbrug'!M$3,'Forbrug af biomasse'!$B$2:$B$425,$F108),G108)</f>
        <v>0</v>
      </c>
      <c r="N108" s="94">
        <f>SUMIFS('Forbrug af biomasse'!E:E,'Forbrug af biomasse'!C:C,'Resultat-Produktion &amp; forbrug'!$A108,'Forbrug af biomasse'!D:D,'Resultat-Produktion &amp; forbrug'!$E108,'Forbrug af biomasse'!G:G,1,'Forbrug af biomasse'!B:B,$F108)</f>
        <v>0</v>
      </c>
      <c r="O108" s="179">
        <f t="shared" si="26"/>
        <v>0</v>
      </c>
      <c r="P108" s="94">
        <f t="shared" ca="1" si="22"/>
        <v>0</v>
      </c>
      <c r="Q108" s="180">
        <f t="shared" si="27"/>
        <v>7753.9785502341792</v>
      </c>
      <c r="R108">
        <f ca="1">IFERROR(VLOOKUP(A108,[1]Energiindhold!$A$2:$C$11,3,FALSE),IFERROR(VLOOKUP(A108,[1]Biogasudbytte!$A$2:$B$18,2,FALSE)*[1]Energiindhold!$C$10,0))*P108</f>
        <v>0</v>
      </c>
      <c r="S108">
        <f ca="1">IF(A108&lt;&gt;"Biogas",IFERROR(VLOOKUP(A108,[1]Biogasudbytte!$A$2:$B$18,2,FALSE)*[1]Energiindhold!$C$10,0)*K108*IFERROR(VLOOKUP(A108,Biogasanlæg!$F$3:$G$8,2,FALSE),1)+IFERROR(VLOOKUP(A108,[1]Energiindhold!$A$2:$C$11,3,FALSE),0)*M108+IF(E108&lt;&gt;År1,R108,0),0)</f>
        <v>3.6466185723896321E-3</v>
      </c>
      <c r="T108">
        <f>IFERROR(VLOOKUP(A108,[1]Biogasudbytte!$A$2:$B$18,2,FALSE)*[1]Energiindhold!$C$10,0)*K108*IFERROR(VLOOKUP(A108,Biogasanlæg!$F$3:$G$8,2,FALSE),1)</f>
        <v>3.6466185723896321E-3</v>
      </c>
      <c r="U108" s="170">
        <f t="shared" ca="1" si="28"/>
        <v>0</v>
      </c>
      <c r="V108" s="169">
        <f ca="1">P108*IFERROR(VLOOKUP(A108,[1]Tørstofindhold!A$2:B$24,2,FALSE),0)</f>
        <v>0</v>
      </c>
      <c r="W108">
        <f ca="1">IF(E108=År1,Q108,SUM(P108,Q108))*IFERROR(VLOOKUP(A108,[1]Tørstofindhold!A$2:B$24,2,FALSE),0)</f>
        <v>488.50064866475327</v>
      </c>
      <c r="X108">
        <f>K108*IFERROR(VLOOKUP(A108,[1]Tørstofindhold!A$2:B$24,2,FALSE),0)</f>
        <v>488.50064866475327</v>
      </c>
      <c r="Y108" s="170">
        <f t="shared" ca="1" si="29"/>
        <v>0</v>
      </c>
      <c r="Z108">
        <f t="shared" ca="1" si="23"/>
        <v>0</v>
      </c>
      <c r="AA108">
        <f t="shared" ca="1" si="24"/>
        <v>0</v>
      </c>
      <c r="AB108" s="94">
        <f t="shared" si="25"/>
        <v>0</v>
      </c>
      <c r="AC108">
        <f>AB108*D108*10000*VLOOKUP(A108,[1]kcal!$A$2:$C$49,3,FALSE)/1000000000000</f>
        <v>0</v>
      </c>
    </row>
    <row r="109" spans="1:29" x14ac:dyDescent="0.25">
      <c r="A109" s="171" t="str">
        <f t="shared" si="36"/>
        <v>Fjerkrækød</v>
      </c>
      <c r="B109" s="171" t="str">
        <f t="shared" si="37"/>
        <v/>
      </c>
      <c r="C109" s="171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71">
        <f t="shared" si="21"/>
        <v>1</v>
      </c>
      <c r="E109" s="171">
        <f t="shared" si="38"/>
        <v>2050</v>
      </c>
      <c r="F109" t="s">
        <v>23</v>
      </c>
      <c r="G109" s="94">
        <f>IF(F109="Vestdanmark",SUMIFS(IF(E109=År1,'Resultater - Vestdanmark'!H$3:H$504,IF(E109=År2,'Resultater - Vestdanmark'!I$3:I$504,'Resultater - Vestdanmark'!J$3:J$504)),'Resultater - Vestdanmark'!$F$3:$F$504,$A109,IF(E109=År1,'Resultater - Vestdanmark'!H$3:H$504,IF(E109=År2,'Resultater - Vestdanmark'!I$3:I$504,'Resultater - Vestdanmark'!J$3:J$504)),"&gt;0"),SUMIFS(IF(E109=År1,'Resultater - Østdanmark'!H$3:H$504,IF(E109=År2,'Resultater - Østdanmark'!I$3:I$504,'Resultater - Østdanmark'!J$3:J$504)),'Resultater - Østdanmark'!$F$3:$F$504,$A109,IF(E109=År1,'Resultater - Østdanmark'!H$3:H$504,IF(E109=År2,'Resultater - Østdanmark'!I$3:I$504,'Resultater - Østdanmark'!J$3:J$504)),"&gt;0"))</f>
        <v>173658.75124992887</v>
      </c>
      <c r="H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forbrug'!H$3,'Forbrug af biomasse'!$B$2:$B$425,$F109)</f>
        <v>0</v>
      </c>
      <c r="I109">
        <f>IF(F109="Vestdanmark",-IF(A109="Halm",SUMIFS(IF(E109=År1,'Resultater - Vestdanmark'!H$3:H$504,IF(E109=År2,'Resultater - Vestdanmark'!I$3:I$504,'Resultater - Vestdanmark'!J$3:J$504)),'Resultater - Vestdanmark'!$F$3:$F$504,$A109,'Resultater - Vestdanmark'!H$3:H$504,"&lt;0"),0),-IF(A109="Halm",SUMIFS(IF(E109=År1,'Resultater - Østdanmark'!H$3:H$504,IF(E109=År2,'Resultater - Østdanmark'!I$3:I$504,'Resultater - Østdanmark'!J$3:J$504)),'Resultater - Østdanmark'!$F$3:$F$504,$A109,'Resultater - Østdanmark'!H$3:H$504,"&lt;0"),0))</f>
        <v>0</v>
      </c>
      <c r="J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forbrug'!J$3,'Forbrug af biomasse'!$B$2:$B$425,$F109)</f>
        <v>36670.799626981883</v>
      </c>
      <c r="K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forbrug'!K$3,'Forbrug af biomasse'!$B$2:$B$425,$F109)</f>
        <v>0</v>
      </c>
      <c r="L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forbrug'!L$3,'Forbrug af biomasse'!$B$2:$B$425,$F109)</f>
        <v>0</v>
      </c>
      <c r="M109" s="94">
        <f>IF(A109&lt;&gt;"Biogas",SUMIFS('Forbrug af biomasse'!$E$2:$E$425,'Forbrug af biomasse'!$C$2:$C$425,'Resultat-Produktion &amp; forbrug'!$A109,'Forbrug af biomasse'!$D$2:$D$425,'Resultat-Produktion &amp; forbrug'!$E109,'Forbrug af biomasse'!$A$2:$A$425,'Resultat-Produktion &amp; forbrug'!M$3,'Forbrug af biomasse'!$B$2:$B$425,$F109),G109)</f>
        <v>0</v>
      </c>
      <c r="N109" s="94">
        <f>SUMIFS('Forbrug af biomasse'!E:E,'Forbrug af biomasse'!C:C,'Resultat-Produktion &amp; forbrug'!$A109,'Forbrug af biomasse'!D:D,'Resultat-Produktion &amp; forbrug'!$E109,'Forbrug af biomasse'!G:G,1,'Forbrug af biomasse'!B:B,$F109)</f>
        <v>0</v>
      </c>
      <c r="O109" s="179">
        <f t="shared" si="26"/>
        <v>136987.951622947</v>
      </c>
      <c r="P109" s="94">
        <f t="shared" si="22"/>
        <v>0</v>
      </c>
      <c r="Q109" s="180">
        <f t="shared" si="27"/>
        <v>0</v>
      </c>
      <c r="R109">
        <f>IFERROR(VLOOKUP(A109,[1]Energiindhold!$A$2:$C$11,3,FALSE),IFERROR(VLOOKUP(A109,[1]Biogasudbytte!$A$2:$B$18,2,FALSE)*[1]Energiindhold!$C$10,0))*P109</f>
        <v>0</v>
      </c>
      <c r="S109">
        <f>IF(A109&lt;&gt;"Biogas",IFERROR(VLOOKUP(A109,[1]Biogasudbytte!$A$2:$B$18,2,FALSE)*[1]Energiindhold!$C$10,0)*K109*IFERROR(VLOOKUP(A109,Biogasanlæg!$F$3:$G$8,2,FALSE),1)+IFERROR(VLOOKUP(A109,[1]Energiindhold!$A$2:$C$11,3,FALSE),0)*M109+IF(E109&lt;&gt;År1,R109,0),0)</f>
        <v>0</v>
      </c>
      <c r="T109">
        <f>IFERROR(VLOOKUP(A109,[1]Biogasudbytte!$A$2:$B$18,2,FALSE)*[1]Energiindhold!$C$10,0)*K109*IFERROR(VLOOKUP(A109,Biogasanlæg!$F$3:$G$8,2,FALSE),1)</f>
        <v>0</v>
      </c>
      <c r="U109" s="170">
        <f t="shared" si="28"/>
        <v>0</v>
      </c>
      <c r="V109" s="169">
        <f>P109*IFERROR(VLOOKUP(A109,[1]Tørstofindhold!A$2:B$24,2,FALSE),0)</f>
        <v>0</v>
      </c>
      <c r="W109">
        <f>IF(E109=År1,Q109,SUM(P109,Q109))*IFERROR(VLOOKUP(A109,[1]Tørstofindhold!A$2:B$24,2,FALSE),0)</f>
        <v>0</v>
      </c>
      <c r="X109">
        <f>K109*IFERROR(VLOOKUP(A109,[1]Tørstofindhold!A$2:B$24,2,FALSE),0)</f>
        <v>0</v>
      </c>
      <c r="Y109" s="170">
        <f t="shared" si="29"/>
        <v>0</v>
      </c>
      <c r="Z109">
        <f t="shared" ca="1" si="23"/>
        <v>0</v>
      </c>
      <c r="AA109">
        <f t="shared" ca="1" si="24"/>
        <v>1</v>
      </c>
      <c r="AB109" s="94">
        <f t="shared" si="25"/>
        <v>173658.75124992887</v>
      </c>
      <c r="AC109">
        <f>AB109*D109*10000*VLOOKUP(A109,[1]kcal!$A$2:$C$49,3,FALSE)/1000000000000</f>
        <v>0.26396130189989192</v>
      </c>
    </row>
    <row r="110" spans="1:29" x14ac:dyDescent="0.25">
      <c r="A110" s="171" t="str">
        <f t="shared" si="36"/>
        <v>Frø</v>
      </c>
      <c r="B110" s="171" t="str">
        <f t="shared" si="37"/>
        <v/>
      </c>
      <c r="C110" s="171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71">
        <f t="shared" si="21"/>
        <v>0</v>
      </c>
      <c r="E110" s="171">
        <f t="shared" si="38"/>
        <v>2050</v>
      </c>
      <c r="F110" t="s">
        <v>23</v>
      </c>
      <c r="G110" s="94">
        <f>IF(F110="Vestdanmark",SUMIFS(IF(E110=År1,'Resultater - Vestdanmark'!H$3:H$504,IF(E110=År2,'Resultater - Vestdanmark'!I$3:I$504,'Resultater - Vestdanmark'!J$3:J$504)),'Resultater - Vestdanmark'!$F$3:$F$504,$A110,IF(E110=År1,'Resultater - Vestdanmark'!H$3:H$504,IF(E110=År2,'Resultater - Vestdanmark'!I$3:I$504,'Resultater - Vestdanmark'!J$3:J$504)),"&gt;0"),SUMIFS(IF(E110=År1,'Resultater - Østdanmark'!H$3:H$504,IF(E110=År2,'Resultater - Østdanmark'!I$3:I$504,'Resultater - Østdanmark'!J$3:J$504)),'Resultater - Østdanmark'!$F$3:$F$504,$A110,IF(E110=År1,'Resultater - Østdanmark'!H$3:H$504,IF(E110=År2,'Resultater - Østdanmark'!I$3:I$504,'Resultater - Østdanmark'!J$3:J$504)),"&gt;0"))</f>
        <v>813451.18685438076</v>
      </c>
      <c r="H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forbrug'!H$3,'Forbrug af biomasse'!$B$2:$B$425,$F110)</f>
        <v>0</v>
      </c>
      <c r="I110">
        <f>IF(F110="Vestdanmark",-IF(A110="Halm",SUMIFS(IF(E110=År1,'Resultater - Vestdanmark'!H$3:H$504,IF(E110=År2,'Resultater - Vestdanmark'!I$3:I$504,'Resultater - Vestdanmark'!J$3:J$504)),'Resultater - Vestdanmark'!$F$3:$F$504,$A110,'Resultater - Vestdanmark'!H$3:H$504,"&lt;0"),0),-IF(A110="Halm",SUMIFS(IF(E110=År1,'Resultater - Østdanmark'!H$3:H$504,IF(E110=År2,'Resultater - Østdanmark'!I$3:I$504,'Resultater - Østdanmark'!J$3:J$504)),'Resultater - Østdanmark'!$F$3:$F$504,$A110,'Resultater - Østdanmark'!H$3:H$504,"&lt;0"),0))</f>
        <v>0</v>
      </c>
      <c r="J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forbrug'!J$3,'Forbrug af biomasse'!$B$2:$B$425,$F110)</f>
        <v>0</v>
      </c>
      <c r="K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forbrug'!K$3,'Forbrug af biomasse'!$B$2:$B$425,$F110)</f>
        <v>0</v>
      </c>
      <c r="L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forbrug'!L$3,'Forbrug af biomasse'!$B$2:$B$425,$F110)</f>
        <v>0</v>
      </c>
      <c r="M110" s="94">
        <f>IF(A110&lt;&gt;"Biogas",SUMIFS('Forbrug af biomasse'!$E$2:$E$425,'Forbrug af biomasse'!$C$2:$C$425,'Resultat-Produktion &amp; forbrug'!$A110,'Forbrug af biomasse'!$D$2:$D$425,'Resultat-Produktion &amp; forbrug'!$E110,'Forbrug af biomasse'!$A$2:$A$425,'Resultat-Produktion &amp; forbrug'!M$3,'Forbrug af biomasse'!$B$2:$B$425,$F110),G110)</f>
        <v>0</v>
      </c>
      <c r="N110" s="94">
        <f>SUMIFS('Forbrug af biomasse'!E:E,'Forbrug af biomasse'!C:C,'Resultat-Produktion &amp; forbrug'!$A110,'Forbrug af biomasse'!D:D,'Resultat-Produktion &amp; forbrug'!$E110,'Forbrug af biomasse'!G:G,1,'Forbrug af biomasse'!B:B,$F110)</f>
        <v>0</v>
      </c>
      <c r="O110" s="179">
        <f t="shared" si="26"/>
        <v>813451.18685438076</v>
      </c>
      <c r="P110" s="94">
        <f t="shared" si="22"/>
        <v>0</v>
      </c>
      <c r="Q110" s="180">
        <f t="shared" si="27"/>
        <v>0</v>
      </c>
      <c r="R110">
        <f>IFERROR(VLOOKUP(A110,[1]Energiindhold!$A$2:$C$11,3,FALSE),IFERROR(VLOOKUP(A110,[1]Biogasudbytte!$A$2:$B$18,2,FALSE)*[1]Energiindhold!$C$10,0))*P110</f>
        <v>0</v>
      </c>
      <c r="S110">
        <f>IF(A110&lt;&gt;"Biogas",IFERROR(VLOOKUP(A110,[1]Biogasudbytte!$A$2:$B$18,2,FALSE)*[1]Energiindhold!$C$10,0)*K110*IFERROR(VLOOKUP(A110,Biogasanlæg!$F$3:$G$8,2,FALSE),1)+IFERROR(VLOOKUP(A110,[1]Energiindhold!$A$2:$C$11,3,FALSE),0)*M110+IF(E110&lt;&gt;År1,R110,0),0)</f>
        <v>0</v>
      </c>
      <c r="T110">
        <f>IFERROR(VLOOKUP(A110,[1]Biogasudbytte!$A$2:$B$18,2,FALSE)*[1]Energiindhold!$C$10,0)*K110*IFERROR(VLOOKUP(A110,Biogasanlæg!$F$3:$G$8,2,FALSE),1)</f>
        <v>0</v>
      </c>
      <c r="U110" s="170">
        <f t="shared" si="28"/>
        <v>0</v>
      </c>
      <c r="V110" s="169">
        <f>P110*IFERROR(VLOOKUP(A110,[1]Tørstofindhold!A$2:B$24,2,FALSE),0)</f>
        <v>0</v>
      </c>
      <c r="W110">
        <f>IF(E110=År1,Q110,SUM(P110,Q110))*IFERROR(VLOOKUP(A110,[1]Tørstofindhold!A$2:B$24,2,FALSE),0)</f>
        <v>0</v>
      </c>
      <c r="X110">
        <f>K110*IFERROR(VLOOKUP(A110,[1]Tørstofindhold!A$2:B$24,2,FALSE),0)</f>
        <v>0</v>
      </c>
      <c r="Y110" s="170">
        <f t="shared" si="29"/>
        <v>0</v>
      </c>
      <c r="Z110">
        <f t="shared" si="23"/>
        <v>0</v>
      </c>
      <c r="AA110">
        <f t="shared" si="24"/>
        <v>1</v>
      </c>
      <c r="AB110" s="94">
        <f t="shared" si="25"/>
        <v>813451.18685438076</v>
      </c>
      <c r="AC110">
        <f>AB110*D110*10000*VLOOKUP(A110,[1]kcal!$A$2:$C$49,3,FALSE)/1000000000000</f>
        <v>0</v>
      </c>
    </row>
    <row r="111" spans="1:29" x14ac:dyDescent="0.25">
      <c r="A111" s="171" t="str">
        <f t="shared" si="36"/>
        <v>Frugt</v>
      </c>
      <c r="B111" s="171" t="str">
        <f t="shared" si="37"/>
        <v/>
      </c>
      <c r="C111" s="171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0</v>
      </c>
      <c r="D111" s="171">
        <f t="shared" si="21"/>
        <v>1</v>
      </c>
      <c r="E111" s="171">
        <f t="shared" si="38"/>
        <v>2050</v>
      </c>
      <c r="F111" t="s">
        <v>23</v>
      </c>
      <c r="G111" s="94">
        <f>IF(F111="Vestdanmark",SUMIFS(IF(E111=År1,'Resultater - Vestdanmark'!H$3:H$504,IF(E111=År2,'Resultater - Vestdanmark'!I$3:I$504,'Resultater - Vestdanmark'!J$3:J$504)),'Resultater - Vestdanmark'!$F$3:$F$504,$A111,IF(E111=År1,'Resultater - Vestdanmark'!H$3:H$504,IF(E111=År2,'Resultater - Vestdanmark'!I$3:I$504,'Resultater - Vestdanmark'!J$3:J$504)),"&gt;0"),SUMIFS(IF(E111=År1,'Resultater - Østdanmark'!H$3:H$504,IF(E111=År2,'Resultater - Østdanmark'!I$3:I$504,'Resultater - Østdanmark'!J$3:J$504)),'Resultater - Østdanmark'!$F$3:$F$504,$A111,IF(E111=År1,'Resultater - Østdanmark'!H$3:H$504,IF(E111=År2,'Resultater - Østdanmark'!I$3:I$504,'Resultater - Østdanmark'!J$3:J$504)),"&gt;0"))</f>
        <v>24926.840286441191</v>
      </c>
      <c r="H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forbrug'!H$3,'Forbrug af biomasse'!$B$2:$B$425,$F111)</f>
        <v>0</v>
      </c>
      <c r="I111">
        <f>IF(F111="Vestdanmark",-IF(A111="Halm",SUMIFS(IF(E111=År1,'Resultater - Vestdanmark'!H$3:H$504,IF(E111=År2,'Resultater - Vestdanmark'!I$3:I$504,'Resultater - Vestdanmark'!J$3:J$504)),'Resultater - Vestdanmark'!$F$3:$F$504,$A111,'Resultater - Vestdanmark'!H$3:H$504,"&lt;0"),0),-IF(A111="Halm",SUMIFS(IF(E111=År1,'Resultater - Østdanmark'!H$3:H$504,IF(E111=År2,'Resultater - Østdanmark'!I$3:I$504,'Resultater - Østdanmark'!J$3:J$504)),'Resultater - Østdanmark'!$F$3:$F$504,$A111,'Resultater - Østdanmark'!H$3:H$504,"&lt;0"),0))</f>
        <v>0</v>
      </c>
      <c r="J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forbrug'!J$3,'Forbrug af biomasse'!$B$2:$B$425,$F111)</f>
        <v>267978.92035102146</v>
      </c>
      <c r="K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forbrug'!K$3,'Forbrug af biomasse'!$B$2:$B$425,$F111)</f>
        <v>0</v>
      </c>
      <c r="L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forbrug'!L$3,'Forbrug af biomasse'!$B$2:$B$425,$F111)</f>
        <v>0</v>
      </c>
      <c r="M111" s="94">
        <f>IF(A111&lt;&gt;"Biogas",SUMIFS('Forbrug af biomasse'!$E$2:$E$425,'Forbrug af biomasse'!$C$2:$C$425,'Resultat-Produktion &amp; forbrug'!$A111,'Forbrug af biomasse'!$D$2:$D$425,'Resultat-Produktion &amp; forbrug'!$E111,'Forbrug af biomasse'!$A$2:$A$425,'Resultat-Produktion &amp; forbrug'!M$3,'Forbrug af biomasse'!$B$2:$B$425,$F111),G111)</f>
        <v>0</v>
      </c>
      <c r="N111" s="94">
        <f>SUMIFS('Forbrug af biomasse'!E:E,'Forbrug af biomasse'!C:C,'Resultat-Produktion &amp; forbrug'!$A111,'Forbrug af biomasse'!D:D,'Resultat-Produktion &amp; forbrug'!$E111,'Forbrug af biomasse'!G:G,1,'Forbrug af biomasse'!B:B,$F111)</f>
        <v>0</v>
      </c>
      <c r="O111" s="179">
        <f t="shared" si="26"/>
        <v>-243052.08006458025</v>
      </c>
      <c r="P111" s="94">
        <f t="shared" si="22"/>
        <v>0</v>
      </c>
      <c r="Q111" s="180">
        <f t="shared" si="27"/>
        <v>0</v>
      </c>
      <c r="R111">
        <f>IFERROR(VLOOKUP(A111,[1]Energiindhold!$A$2:$C$11,3,FALSE),IFERROR(VLOOKUP(A111,[1]Biogasudbytte!$A$2:$B$18,2,FALSE)*[1]Energiindhold!$C$10,0))*P111</f>
        <v>0</v>
      </c>
      <c r="S111">
        <f>IF(A111&lt;&gt;"Biogas",IFERROR(VLOOKUP(A111,[1]Biogasudbytte!$A$2:$B$18,2,FALSE)*[1]Energiindhold!$C$10,0)*K111*IFERROR(VLOOKUP(A111,Biogasanlæg!$F$3:$G$8,2,FALSE),1)+IFERROR(VLOOKUP(A111,[1]Energiindhold!$A$2:$C$11,3,FALSE),0)*M111+IF(E111&lt;&gt;År1,R111,0),0)</f>
        <v>0</v>
      </c>
      <c r="T111">
        <f>IFERROR(VLOOKUP(A111,[1]Biogasudbytte!$A$2:$B$18,2,FALSE)*[1]Energiindhold!$C$10,0)*K111*IFERROR(VLOOKUP(A111,Biogasanlæg!$F$3:$G$8,2,FALSE),1)</f>
        <v>0</v>
      </c>
      <c r="U111" s="170">
        <f t="shared" si="28"/>
        <v>0</v>
      </c>
      <c r="V111" s="169">
        <f>P111*IFERROR(VLOOKUP(A111,[1]Tørstofindhold!A$2:B$24,2,FALSE),0)</f>
        <v>0</v>
      </c>
      <c r="W111">
        <f>IF(E111=År1,Q111,SUM(P111,Q111))*IFERROR(VLOOKUP(A111,[1]Tørstofindhold!A$2:B$24,2,FALSE),0)</f>
        <v>0</v>
      </c>
      <c r="X111">
        <f>K111*IFERROR(VLOOKUP(A111,[1]Tørstofindhold!A$2:B$24,2,FALSE),0)</f>
        <v>0</v>
      </c>
      <c r="Y111" s="170">
        <f t="shared" si="29"/>
        <v>0</v>
      </c>
      <c r="Z111">
        <f t="shared" si="23"/>
        <v>1</v>
      </c>
      <c r="AA111">
        <f t="shared" si="24"/>
        <v>0</v>
      </c>
      <c r="AB111" s="94">
        <f t="shared" si="25"/>
        <v>24926.840286441191</v>
      </c>
      <c r="AC111">
        <f>AB111*D111*10000*VLOOKUP(A111,[1]kcal!$A$2:$C$49,3,FALSE)/1000000000000</f>
        <v>1.2961956948949419E-2</v>
      </c>
    </row>
    <row r="112" spans="1:29" x14ac:dyDescent="0.25">
      <c r="A112" s="171" t="str">
        <f t="shared" si="36"/>
        <v>Glycerin</v>
      </c>
      <c r="B112" s="171" t="str">
        <f t="shared" si="37"/>
        <v>Glycerin</v>
      </c>
      <c r="C112" s="171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71">
        <f t="shared" si="21"/>
        <v>0</v>
      </c>
      <c r="E112" s="171">
        <f t="shared" si="38"/>
        <v>2050</v>
      </c>
      <c r="F112" t="s">
        <v>23</v>
      </c>
      <c r="G112" s="94">
        <f>IF(F112="Vestdanmark",SUMIFS(IF(E112=År1,'Resultater - Vestdanmark'!H$3:H$504,IF(E112=År2,'Resultater - Vestdanmark'!I$3:I$504,'Resultater - Vestdanmark'!J$3:J$504)),'Resultater - Vestdanmark'!$F$3:$F$504,$A112,IF(E112=År1,'Resultater - Vestdanmark'!H$3:H$504,IF(E112=År2,'Resultater - Vestdanmark'!I$3:I$504,'Resultater - Vestdanmark'!J$3:J$504)),"&gt;0"),SUMIFS(IF(E112=År1,'Resultater - Østdanmark'!H$3:H$504,IF(E112=År2,'Resultater - Østdanmark'!I$3:I$504,'Resultater - Østdanmark'!J$3:J$504)),'Resultater - Østdanmark'!$F$3:$F$504,$A112,IF(E112=År1,'Resultater - Østdanmark'!H$3:H$504,IF(E112=År2,'Resultater - Østdanmark'!I$3:I$504,'Resultater - Østdanmark'!J$3:J$504)),"&gt;0"))</f>
        <v>0</v>
      </c>
      <c r="H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forbrug'!H$3,'Forbrug af biomasse'!$B$2:$B$425,$F112)</f>
        <v>0</v>
      </c>
      <c r="I112">
        <f>IF(F112="Vestdanmark",-IF(A112="Halm",SUMIFS(IF(E112=År1,'Resultater - Vestdanmark'!H$3:H$504,IF(E112=År2,'Resultater - Vestdanmark'!I$3:I$504,'Resultater - Vestdanmark'!J$3:J$504)),'Resultater - Vestdanmark'!$F$3:$F$504,$A112,'Resultater - Vestdanmark'!H$3:H$504,"&lt;0"),0),-IF(A112="Halm",SUMIFS(IF(E112=År1,'Resultater - Østdanmark'!H$3:H$504,IF(E112=År2,'Resultater - Østdanmark'!I$3:I$504,'Resultater - Østdanmark'!J$3:J$504)),'Resultater - Østdanmark'!$F$3:$F$504,$A112,'Resultater - Østdanmark'!H$3:H$504,"&lt;0"),0))</f>
        <v>0</v>
      </c>
      <c r="J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forbrug'!J$3,'Forbrug af biomasse'!$B$2:$B$425,$F112)</f>
        <v>0</v>
      </c>
      <c r="K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forbrug'!K$3,'Forbrug af biomasse'!$B$2:$B$425,$F112)</f>
        <v>114193.60000000001</v>
      </c>
      <c r="L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forbrug'!L$3,'Forbrug af biomasse'!$B$2:$B$425,$F112)</f>
        <v>0</v>
      </c>
      <c r="M112" s="94">
        <f>IF(A112&lt;&gt;"Biogas",SUMIFS('Forbrug af biomasse'!$E$2:$E$425,'Forbrug af biomasse'!$C$2:$C$425,'Resultat-Produktion &amp; forbrug'!$A112,'Forbrug af biomasse'!$D$2:$D$425,'Resultat-Produktion &amp; forbrug'!$E112,'Forbrug af biomasse'!$A$2:$A$425,'Resultat-Produktion &amp; forbrug'!M$3,'Forbrug af biomasse'!$B$2:$B$425,$F112),G112)</f>
        <v>0</v>
      </c>
      <c r="N112" s="94">
        <f>SUMIFS('Forbrug af biomasse'!E:E,'Forbrug af biomasse'!C:C,'Resultat-Produktion &amp; forbrug'!$A112,'Forbrug af biomasse'!D:D,'Resultat-Produktion &amp; forbrug'!$E112,'Forbrug af biomasse'!G:G,1,'Forbrug af biomasse'!B:B,$F112)</f>
        <v>0</v>
      </c>
      <c r="O112" s="179">
        <f t="shared" si="26"/>
        <v>-114193.60000000001</v>
      </c>
      <c r="P112" s="94">
        <f t="shared" si="22"/>
        <v>0</v>
      </c>
      <c r="Q112" s="180">
        <f t="shared" si="27"/>
        <v>114193.60000000001</v>
      </c>
      <c r="R112">
        <f>IFERROR(VLOOKUP(A112,[1]Energiindhold!$A$2:$C$11,3,FALSE),IFERROR(VLOOKUP(A112,[1]Biogasudbytte!$A$2:$B$18,2,FALSE)*[1]Energiindhold!$C$10,0))*P112</f>
        <v>0</v>
      </c>
      <c r="S112">
        <f>IF(A112&lt;&gt;"Biogas",IFERROR(VLOOKUP(A112,[1]Biogasudbytte!$A$2:$B$18,2,FALSE)*[1]Energiindhold!$C$10,0)*K112*IFERROR(VLOOKUP(A112,Biogasanlæg!$F$3:$G$8,2,FALSE),1)+IFERROR(VLOOKUP(A112,[1]Energiindhold!$A$2:$C$11,3,FALSE),0)*M112+IF(E112&lt;&gt;År1,R112,0),0)</f>
        <v>1.7355855896064003</v>
      </c>
      <c r="T112">
        <f>IFERROR(VLOOKUP(A112,[1]Biogasudbytte!$A$2:$B$18,2,FALSE)*[1]Energiindhold!$C$10,0)*K112*IFERROR(VLOOKUP(A112,Biogasanlæg!$F$3:$G$8,2,FALSE),1)</f>
        <v>1.7355855896064003</v>
      </c>
      <c r="U112" s="170">
        <f t="shared" si="28"/>
        <v>0</v>
      </c>
      <c r="V112" s="169">
        <f>P112*IFERROR(VLOOKUP(A112,[1]Tørstofindhold!A$2:B$24,2,FALSE),0)</f>
        <v>0</v>
      </c>
      <c r="W112">
        <f>IF(E112=År1,Q112,SUM(P112,Q112))*IFERROR(VLOOKUP(A112,[1]Tørstofindhold!A$2:B$24,2,FALSE),0)</f>
        <v>102774.24</v>
      </c>
      <c r="X112">
        <f>K112*IFERROR(VLOOKUP(A112,[1]Tørstofindhold!A$2:B$24,2,FALSE),0)</f>
        <v>102774.24</v>
      </c>
      <c r="Y112" s="170">
        <f t="shared" si="29"/>
        <v>0</v>
      </c>
      <c r="Z112">
        <f t="shared" si="23"/>
        <v>1</v>
      </c>
      <c r="AA112">
        <f t="shared" si="24"/>
        <v>0</v>
      </c>
      <c r="AB112" s="94">
        <f t="shared" si="25"/>
        <v>-114193.60000000001</v>
      </c>
      <c r="AC112">
        <f>AB112*D112*10000*VLOOKUP(A112,[1]kcal!$A$2:$C$49,3,FALSE)/1000000000000</f>
        <v>0</v>
      </c>
    </row>
    <row r="113" spans="1:29" x14ac:dyDescent="0.25">
      <c r="A113" s="171" t="str">
        <f t="shared" si="36"/>
        <v>Græs</v>
      </c>
      <c r="B113" s="171" t="str">
        <f t="shared" si="37"/>
        <v>Græs og urter</v>
      </c>
      <c r="C113" s="171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1</v>
      </c>
      <c r="D113" s="171">
        <f t="shared" si="21"/>
        <v>0</v>
      </c>
      <c r="E113" s="171">
        <f t="shared" si="38"/>
        <v>2050</v>
      </c>
      <c r="F113" t="s">
        <v>23</v>
      </c>
      <c r="G113" s="94">
        <f>IF(F113="Vestdanmark",SUMIFS(IF(E113=År1,'Resultater - Vestdanmark'!H$3:H$504,IF(E113=År2,'Resultater - Vestdanmark'!I$3:I$504,'Resultater - Vestdanmark'!J$3:J$504)),'Resultater - Vestdanmark'!$F$3:$F$504,$A113,IF(E113=År1,'Resultater - Vestdanmark'!H$3:H$504,IF(E113=År2,'Resultater - Vestdanmark'!I$3:I$504,'Resultater - Vestdanmark'!J$3:J$504)),"&gt;0"),SUMIFS(IF(E113=År1,'Resultater - Østdanmark'!H$3:H$504,IF(E113=År2,'Resultater - Østdanmark'!I$3:I$504,'Resultater - Østdanmark'!J$3:J$504)),'Resultater - Østdanmark'!$F$3:$F$504,$A113,IF(E113=År1,'Resultater - Østdanmark'!H$3:H$504,IF(E113=År2,'Resultater - Østdanmark'!I$3:I$504,'Resultater - Østdanmark'!J$3:J$504)),"&gt;0"))</f>
        <v>13682245.34995167</v>
      </c>
      <c r="H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forbrug'!H$3,'Forbrug af biomasse'!$B$2:$B$425,$F113)</f>
        <v>11387535.016591122</v>
      </c>
      <c r="I113">
        <f>IF(F113="Vestdanmark",-IF(A113="Halm",SUMIFS(IF(E113=År1,'Resultater - Vestdanmark'!H$3:H$504,IF(E113=År2,'Resultater - Vestdanmark'!I$3:I$504,'Resultater - Vestdanmark'!J$3:J$504)),'Resultater - Vestdanmark'!$F$3:$F$504,$A113,'Resultater - Vestdanmark'!H$3:H$504,"&lt;0"),0),-IF(A113="Halm",SUMIFS(IF(E113=År1,'Resultater - Østdanmark'!H$3:H$504,IF(E113=År2,'Resultater - Østdanmark'!I$3:I$504,'Resultater - Østdanmark'!J$3:J$504)),'Resultater - Østdanmark'!$F$3:$F$504,$A113,'Resultater - Østdanmark'!H$3:H$504,"&lt;0"),0))</f>
        <v>0</v>
      </c>
      <c r="J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forbrug'!J$3,'Forbrug af biomasse'!$B$2:$B$425,$F113)</f>
        <v>0</v>
      </c>
      <c r="K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forbrug'!K$3,'Forbrug af biomasse'!$B$2:$B$425,$F113)</f>
        <v>0</v>
      </c>
      <c r="L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forbrug'!L$3,'Forbrug af biomasse'!$B$2:$B$425,$F113)</f>
        <v>0</v>
      </c>
      <c r="M113" s="94">
        <f>IF(A113&lt;&gt;"Biogas",SUMIFS('Forbrug af biomasse'!$E$2:$E$425,'Forbrug af biomasse'!$C$2:$C$425,'Resultat-Produktion &amp; forbrug'!$A113,'Forbrug af biomasse'!$D$2:$D$425,'Resultat-Produktion &amp; forbrug'!$E113,'Forbrug af biomasse'!$A$2:$A$425,'Resultat-Produktion &amp; forbrug'!M$3,'Forbrug af biomasse'!$B$2:$B$425,$F113),G113)</f>
        <v>0</v>
      </c>
      <c r="N113" s="94">
        <f>SUMIFS('Forbrug af biomasse'!E:E,'Forbrug af biomasse'!C:C,'Resultat-Produktion &amp; forbrug'!$A113,'Forbrug af biomasse'!D:D,'Resultat-Produktion &amp; forbrug'!$E113,'Forbrug af biomasse'!G:G,1,'Forbrug af biomasse'!B:B,$F113)</f>
        <v>0</v>
      </c>
      <c r="O113" s="179">
        <f t="shared" si="26"/>
        <v>2294710.3333605472</v>
      </c>
      <c r="P113" s="94">
        <f t="shared" ca="1" si="22"/>
        <v>2294710.3333605472</v>
      </c>
      <c r="Q113" s="180">
        <f t="shared" si="27"/>
        <v>0</v>
      </c>
      <c r="R113">
        <f ca="1">IFERROR(VLOOKUP(A113,[1]Energiindhold!$A$2:$C$11,3,FALSE),IFERROR(VLOOKUP(A113,[1]Biogasudbytte!$A$2:$B$18,2,FALSE)*[1]Energiindhold!$C$10,0))*P113</f>
        <v>4.2219801745917369</v>
      </c>
      <c r="S113">
        <f ca="1">IF(A113&lt;&gt;"Biogas",IFERROR(VLOOKUP(A113,[1]Biogasudbytte!$A$2:$B$18,2,FALSE)*[1]Energiindhold!$C$10,0)*K113*IFERROR(VLOOKUP(A113,Biogasanlæg!$F$3:$G$8,2,FALSE),1)+IFERROR(VLOOKUP(A113,[1]Energiindhold!$A$2:$C$11,3,FALSE),0)*M113+IF(E113&lt;&gt;År1,R113,0),0)</f>
        <v>4.2219801745917369</v>
      </c>
      <c r="T113">
        <f>IFERROR(VLOOKUP(A113,[1]Biogasudbytte!$A$2:$B$18,2,FALSE)*[1]Energiindhold!$C$10,0)*K113*IFERROR(VLOOKUP(A113,Biogasanlæg!$F$3:$G$8,2,FALSE),1)</f>
        <v>0</v>
      </c>
      <c r="U113" s="170">
        <f t="shared" ca="1" si="28"/>
        <v>4.2219801745917369</v>
      </c>
      <c r="V113" s="169">
        <f ca="1">P113*IFERROR(VLOOKUP(A113,[1]Tørstofindhold!A$2:B$24,2,FALSE),0)</f>
        <v>642518.89334095328</v>
      </c>
      <c r="W113">
        <f ca="1">IF(E113=År1,Q113,SUM(P113,Q113))*IFERROR(VLOOKUP(A113,[1]Tørstofindhold!A$2:B$24,2,FALSE),0)</f>
        <v>642518.89334095328</v>
      </c>
      <c r="X113">
        <f>K113*IFERROR(VLOOKUP(A113,[1]Tørstofindhold!A$2:B$24,2,FALSE),0)</f>
        <v>0</v>
      </c>
      <c r="Y113" s="170">
        <f t="shared" ca="1" si="29"/>
        <v>642518.89334095328</v>
      </c>
      <c r="Z113">
        <f t="shared" ca="1" si="23"/>
        <v>0</v>
      </c>
      <c r="AA113">
        <f t="shared" ca="1" si="24"/>
        <v>1</v>
      </c>
      <c r="AB113" s="94">
        <f t="shared" si="25"/>
        <v>2294710.3333605472</v>
      </c>
      <c r="AC113">
        <f>AB113*D113*10000*VLOOKUP(A113,[1]kcal!$A$2:$C$49,3,FALSE)/1000000000000</f>
        <v>0</v>
      </c>
    </row>
    <row r="114" spans="1:29" x14ac:dyDescent="0.25">
      <c r="A114" s="171" t="str">
        <f t="shared" si="36"/>
        <v>Græsprotein</v>
      </c>
      <c r="B114" s="171" t="str">
        <f t="shared" si="37"/>
        <v/>
      </c>
      <c r="C114" s="171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71">
        <f t="shared" si="21"/>
        <v>0</v>
      </c>
      <c r="E114" s="171">
        <f t="shared" si="38"/>
        <v>2050</v>
      </c>
      <c r="F114" t="s">
        <v>23</v>
      </c>
      <c r="G114" s="94">
        <f>IF(F114="Vestdanmark",SUMIFS(IF(E114=År1,'Resultater - Vestdanmark'!H$3:H$504,IF(E114=År2,'Resultater - Vestdanmark'!I$3:I$504,'Resultater - Vestdanmark'!J$3:J$504)),'Resultater - Vestdanmark'!$F$3:$F$504,$A114,IF(E114=År1,'Resultater - Vestdanmark'!H$3:H$504,IF(E114=År2,'Resultater - Vestdanmark'!I$3:I$504,'Resultater - Vestdanmark'!J$3:J$504)),"&gt;0"),SUMIFS(IF(E114=År1,'Resultater - Østdanmark'!H$3:H$504,IF(E114=År2,'Resultater - Østdanmark'!I$3:I$504,'Resultater - Østdanmark'!J$3:J$504)),'Resultater - Østdanmark'!$F$3:$F$504,$A114,IF(E114=År1,'Resultater - Østdanmark'!H$3:H$504,IF(E114=År2,'Resultater - Østdanmark'!I$3:I$504,'Resultater - Østdanmark'!J$3:J$504)),"&gt;0"))</f>
        <v>0</v>
      </c>
      <c r="H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forbrug'!H$3,'Forbrug af biomasse'!$B$2:$B$425,$F114)</f>
        <v>0</v>
      </c>
      <c r="I114">
        <f>IF(F114="Vestdanmark",-IF(A114="Halm",SUMIFS(IF(E114=År1,'Resultater - Vestdanmark'!H$3:H$504,IF(E114=År2,'Resultater - Vestdanmark'!I$3:I$504,'Resultater - Vestdanmark'!J$3:J$504)),'Resultater - Vestdanmark'!$F$3:$F$504,$A114,'Resultater - Vestdanmark'!H$3:H$504,"&lt;0"),0),-IF(A114="Halm",SUMIFS(IF(E114=År1,'Resultater - Østdanmark'!H$3:H$504,IF(E114=År2,'Resultater - Østdanmark'!I$3:I$504,'Resultater - Østdanmark'!J$3:J$504)),'Resultater - Østdanmark'!$F$3:$F$504,$A114,'Resultater - Østdanmark'!H$3:H$504,"&lt;0"),0))</f>
        <v>0</v>
      </c>
      <c r="J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forbrug'!J$3,'Forbrug af biomasse'!$B$2:$B$425,$F114)</f>
        <v>0</v>
      </c>
      <c r="K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forbrug'!K$3,'Forbrug af biomasse'!$B$2:$B$425,$F114)</f>
        <v>0</v>
      </c>
      <c r="L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forbrug'!L$3,'Forbrug af biomasse'!$B$2:$B$425,$F114)</f>
        <v>0</v>
      </c>
      <c r="M114" s="94">
        <f>IF(A114&lt;&gt;"Biogas",SUMIFS('Forbrug af biomasse'!$E$2:$E$425,'Forbrug af biomasse'!$C$2:$C$425,'Resultat-Produktion &amp; forbrug'!$A114,'Forbrug af biomasse'!$D$2:$D$425,'Resultat-Produktion &amp; forbrug'!$E114,'Forbrug af biomasse'!$A$2:$A$425,'Resultat-Produktion &amp; forbrug'!M$3,'Forbrug af biomasse'!$B$2:$B$425,$F114),G114)</f>
        <v>0</v>
      </c>
      <c r="N114" s="94">
        <f>SUMIFS('Forbrug af biomasse'!E:E,'Forbrug af biomasse'!C:C,'Resultat-Produktion &amp; forbrug'!$A114,'Forbrug af biomasse'!D:D,'Resultat-Produktion &amp; forbrug'!$E114,'Forbrug af biomasse'!G:G,1,'Forbrug af biomasse'!B:B,$F114)</f>
        <v>0</v>
      </c>
      <c r="O114" s="179">
        <f t="shared" si="26"/>
        <v>0</v>
      </c>
      <c r="P114" s="94">
        <f t="shared" si="22"/>
        <v>0</v>
      </c>
      <c r="Q114" s="180">
        <f t="shared" si="27"/>
        <v>0</v>
      </c>
      <c r="R114">
        <f>IFERROR(VLOOKUP(A114,[1]Energiindhold!$A$2:$C$11,3,FALSE),IFERROR(VLOOKUP(A114,[1]Biogasudbytte!$A$2:$B$18,2,FALSE)*[1]Energiindhold!$C$10,0))*P114</f>
        <v>0</v>
      </c>
      <c r="S114">
        <f>IF(A114&lt;&gt;"Biogas",IFERROR(VLOOKUP(A114,[1]Biogasudbytte!$A$2:$B$18,2,FALSE)*[1]Energiindhold!$C$10,0)*K114*IFERROR(VLOOKUP(A114,Biogasanlæg!$F$3:$G$8,2,FALSE),1)+IFERROR(VLOOKUP(A114,[1]Energiindhold!$A$2:$C$11,3,FALSE),0)*M114+IF(E114&lt;&gt;År1,R114,0),0)</f>
        <v>0</v>
      </c>
      <c r="T114">
        <f>IFERROR(VLOOKUP(A114,[1]Biogasudbytte!$A$2:$B$18,2,FALSE)*[1]Energiindhold!$C$10,0)*K114*IFERROR(VLOOKUP(A114,Biogasanlæg!$F$3:$G$8,2,FALSE),1)</f>
        <v>0</v>
      </c>
      <c r="U114" s="170">
        <f t="shared" si="28"/>
        <v>0</v>
      </c>
      <c r="V114" s="169">
        <f>P114*IFERROR(VLOOKUP(A114,[1]Tørstofindhold!A$2:B$24,2,FALSE),0)</f>
        <v>0</v>
      </c>
      <c r="W114">
        <f>IF(E114=År1,Q114,SUM(P114,Q114))*IFERROR(VLOOKUP(A114,[1]Tørstofindhold!A$2:B$24,2,FALSE),0)</f>
        <v>0</v>
      </c>
      <c r="X114">
        <f>K114*IFERROR(VLOOKUP(A114,[1]Tørstofindhold!A$2:B$24,2,FALSE),0)</f>
        <v>0</v>
      </c>
      <c r="Y114" s="170">
        <f t="shared" si="29"/>
        <v>0</v>
      </c>
      <c r="Z114">
        <f t="shared" ca="1" si="23"/>
        <v>0</v>
      </c>
      <c r="AA114">
        <f t="shared" ca="1" si="24"/>
        <v>0</v>
      </c>
      <c r="AB114" s="94">
        <f t="shared" si="25"/>
        <v>0</v>
      </c>
      <c r="AC114">
        <f>AB114*D114*10000*VLOOKUP(A114,[1]kcal!$A$2:$C$49,3,FALSE)/1000000000000</f>
        <v>0</v>
      </c>
    </row>
    <row r="115" spans="1:29" x14ac:dyDescent="0.25">
      <c r="A115" s="171" t="str">
        <f t="shared" si="36"/>
        <v>Grøntsager</v>
      </c>
      <c r="B115" s="171" t="str">
        <f t="shared" si="37"/>
        <v/>
      </c>
      <c r="C115" s="171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0</v>
      </c>
      <c r="D115" s="171">
        <f t="shared" si="21"/>
        <v>1</v>
      </c>
      <c r="E115" s="171">
        <f t="shared" si="38"/>
        <v>2050</v>
      </c>
      <c r="F115" t="s">
        <v>23</v>
      </c>
      <c r="G115" s="94">
        <f>IF(F115="Vestdanmark",SUMIFS(IF(E115=År1,'Resultater - Vestdanmark'!H$3:H$504,IF(E115=År2,'Resultater - Vestdanmark'!I$3:I$504,'Resultater - Vestdanmark'!J$3:J$504)),'Resultater - Vestdanmark'!$F$3:$F$504,$A115,IF(E115=År1,'Resultater - Vestdanmark'!H$3:H$504,IF(E115=År2,'Resultater - Vestdanmark'!I$3:I$504,'Resultater - Vestdanmark'!J$3:J$504)),"&gt;0"),SUMIFS(IF(E115=År1,'Resultater - Østdanmark'!H$3:H$504,IF(E115=År2,'Resultater - Østdanmark'!I$3:I$504,'Resultater - Østdanmark'!J$3:J$504)),'Resultater - Østdanmark'!$F$3:$F$504,$A115,IF(E115=År1,'Resultater - Østdanmark'!H$3:H$504,IF(E115=År2,'Resultater - Østdanmark'!I$3:I$504,'Resultater - Østdanmark'!J$3:J$504)),"&gt;0"))</f>
        <v>182765.86123576926</v>
      </c>
      <c r="H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forbrug'!H$3,'Forbrug af biomasse'!$B$2:$B$425,$F115)</f>
        <v>0</v>
      </c>
      <c r="I115">
        <f>IF(F115="Vestdanmark",-IF(A115="Halm",SUMIFS(IF(E115=År1,'Resultater - Vestdanmark'!H$3:H$504,IF(E115=År2,'Resultater - Vestdanmark'!I$3:I$504,'Resultater - Vestdanmark'!J$3:J$504)),'Resultater - Vestdanmark'!$F$3:$F$504,$A115,'Resultater - Vestdanmark'!H$3:H$504,"&lt;0"),0),-IF(A115="Halm",SUMIFS(IF(E115=År1,'Resultater - Østdanmark'!H$3:H$504,IF(E115=År2,'Resultater - Østdanmark'!I$3:I$504,'Resultater - Østdanmark'!J$3:J$504)),'Resultater - Østdanmark'!$F$3:$F$504,$A115,'Resultater - Østdanmark'!H$3:H$504,"&lt;0"),0))</f>
        <v>0</v>
      </c>
      <c r="J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forbrug'!J$3,'Forbrug af biomasse'!$B$2:$B$425,$F115)</f>
        <v>280672.65868343826</v>
      </c>
      <c r="K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forbrug'!K$3,'Forbrug af biomasse'!$B$2:$B$425,$F115)</f>
        <v>0</v>
      </c>
      <c r="L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forbrug'!L$3,'Forbrug af biomasse'!$B$2:$B$425,$F115)</f>
        <v>0</v>
      </c>
      <c r="M115" s="94">
        <f>IF(A115&lt;&gt;"Biogas",SUMIFS('Forbrug af biomasse'!$E$2:$E$425,'Forbrug af biomasse'!$C$2:$C$425,'Resultat-Produktion &amp; forbrug'!$A115,'Forbrug af biomasse'!$D$2:$D$425,'Resultat-Produktion &amp; forbrug'!$E115,'Forbrug af biomasse'!$A$2:$A$425,'Resultat-Produktion &amp; forbrug'!M$3,'Forbrug af biomasse'!$B$2:$B$425,$F115),G115)</f>
        <v>0</v>
      </c>
      <c r="N115" s="94">
        <f>SUMIFS('Forbrug af biomasse'!E:E,'Forbrug af biomasse'!C:C,'Resultat-Produktion &amp; forbrug'!$A115,'Forbrug af biomasse'!D:D,'Resultat-Produktion &amp; forbrug'!$E115,'Forbrug af biomasse'!G:G,1,'Forbrug af biomasse'!B:B,$F115)</f>
        <v>0</v>
      </c>
      <c r="O115" s="179">
        <f t="shared" si="26"/>
        <v>-97906.797447669</v>
      </c>
      <c r="P115" s="94">
        <f t="shared" si="22"/>
        <v>0</v>
      </c>
      <c r="Q115" s="180">
        <f t="shared" si="27"/>
        <v>0</v>
      </c>
      <c r="R115">
        <f>IFERROR(VLOOKUP(A115,[1]Energiindhold!$A$2:$C$11,3,FALSE),IFERROR(VLOOKUP(A115,[1]Biogasudbytte!$A$2:$B$18,2,FALSE)*[1]Energiindhold!$C$10,0))*P115</f>
        <v>0</v>
      </c>
      <c r="S115">
        <f>IF(A115&lt;&gt;"Biogas",IFERROR(VLOOKUP(A115,[1]Biogasudbytte!$A$2:$B$18,2,FALSE)*[1]Energiindhold!$C$10,0)*K115*IFERROR(VLOOKUP(A115,Biogasanlæg!$F$3:$G$8,2,FALSE),1)+IFERROR(VLOOKUP(A115,[1]Energiindhold!$A$2:$C$11,3,FALSE),0)*M115+IF(E115&lt;&gt;År1,R115,0),0)</f>
        <v>0</v>
      </c>
      <c r="T115">
        <f>IFERROR(VLOOKUP(A115,[1]Biogasudbytte!$A$2:$B$18,2,FALSE)*[1]Energiindhold!$C$10,0)*K115*IFERROR(VLOOKUP(A115,Biogasanlæg!$F$3:$G$8,2,FALSE),1)</f>
        <v>0</v>
      </c>
      <c r="U115" s="170">
        <f t="shared" si="28"/>
        <v>0</v>
      </c>
      <c r="V115" s="169">
        <f>P115*IFERROR(VLOOKUP(A115,[1]Tørstofindhold!A$2:B$24,2,FALSE),0)</f>
        <v>0</v>
      </c>
      <c r="W115">
        <f>IF(E115=År1,Q115,SUM(P115,Q115))*IFERROR(VLOOKUP(A115,[1]Tørstofindhold!A$2:B$24,2,FALSE),0)</f>
        <v>0</v>
      </c>
      <c r="X115">
        <f>K115*IFERROR(VLOOKUP(A115,[1]Tørstofindhold!A$2:B$24,2,FALSE),0)</f>
        <v>0</v>
      </c>
      <c r="Y115" s="170">
        <f t="shared" si="29"/>
        <v>0</v>
      </c>
      <c r="Z115">
        <f t="shared" si="23"/>
        <v>1</v>
      </c>
      <c r="AA115">
        <f t="shared" si="24"/>
        <v>0</v>
      </c>
      <c r="AB115" s="94">
        <f t="shared" si="25"/>
        <v>182765.86123576926</v>
      </c>
      <c r="AC115">
        <f>AB115*D115*10000*VLOOKUP(A115,[1]kcal!$A$2:$C$49,3,FALSE)/1000000000000</f>
        <v>7.1278685881950007E-2</v>
      </c>
    </row>
    <row r="116" spans="1:29" x14ac:dyDescent="0.25">
      <c r="A116" s="171" t="str">
        <f t="shared" si="36"/>
        <v>Halm</v>
      </c>
      <c r="B116" s="171" t="str">
        <f t="shared" si="37"/>
        <v>Halm og strå</v>
      </c>
      <c r="C116" s="171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71">
        <f t="shared" si="21"/>
        <v>0</v>
      </c>
      <c r="E116" s="171">
        <f t="shared" si="38"/>
        <v>2050</v>
      </c>
      <c r="F116" t="s">
        <v>23</v>
      </c>
      <c r="G116" s="94">
        <f>IF(F116="Vestdanmark",SUMIFS(IF(E116=År1,'Resultater - Vestdanmark'!H$3:H$504,IF(E116=År2,'Resultater - Vestdanmark'!I$3:I$504,'Resultater - Vestdanmark'!J$3:J$504)),'Resultater - Vestdanmark'!$F$3:$F$504,$A116,IF(E116=År1,'Resultater - Vestdanmark'!H$3:H$504,IF(E116=År2,'Resultater - Vestdanmark'!I$3:I$504,'Resultater - Vestdanmark'!J$3:J$504)),"&gt;0"),SUMIFS(IF(E116=År1,'Resultater - Østdanmark'!H$3:H$504,IF(E116=År2,'Resultater - Østdanmark'!I$3:I$504,'Resultater - Østdanmark'!J$3:J$504)),'Resultater - Østdanmark'!$F$3:$F$504,$A116,IF(E116=År1,'Resultater - Østdanmark'!H$3:H$504,IF(E116=År2,'Resultater - Østdanmark'!I$3:I$504,'Resultater - Østdanmark'!J$3:J$504)),"&gt;0"))</f>
        <v>3995324.8119856864</v>
      </c>
      <c r="H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forbrug'!H$3,'Forbrug af biomasse'!$B$2:$B$425,$F116)</f>
        <v>719379.45387000521</v>
      </c>
      <c r="I116">
        <f>IF(F116="Vestdanmark",-IF(A116="Halm",SUMIFS(IF(E116=År1,'Resultater - Vestdanmark'!H$3:H$504,IF(E116=År2,'Resultater - Vestdanmark'!I$3:I$504,'Resultater - Vestdanmark'!J$3:J$504)),'Resultater - Vestdanmark'!$F$3:$F$504,$A116,'Resultater - Vestdanmark'!H$3:H$504,"&lt;0"),0),-IF(A116="Halm",SUMIFS(IF(E116=År1,'Resultater - Østdanmark'!H$3:H$504,IF(E116=År2,'Resultater - Østdanmark'!I$3:I$504,'Resultater - Østdanmark'!J$3:J$504)),'Resultater - Østdanmark'!$F$3:$F$504,$A116,'Resultater - Østdanmark'!H$3:H$504,"&lt;0"),0))</f>
        <v>654302.91213284992</v>
      </c>
      <c r="J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forbrug'!J$3,'Forbrug af biomasse'!$B$2:$B$425,$F116)</f>
        <v>0</v>
      </c>
      <c r="K116" s="94">
        <f ca="1">SUMIFS('Forbrug af biomasse'!$E$2:$E$425,'Forbrug af biomasse'!$C$2:$C$425,'Resultat-Produktion &amp; forbrug'!$A116,'Forbrug af biomasse'!$D$2:$D$425,'Resultat-Produktion &amp; forbrug'!$E116,'Forbrug af biomasse'!$A$2:$A$425,'Resultat-Produktion &amp; forbrug'!K$3,'Forbrug af biomasse'!$B$2:$B$425,$F116)</f>
        <v>0</v>
      </c>
      <c r="L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forbrug'!L$3,'Forbrug af biomasse'!$B$2:$B$425,$F116)</f>
        <v>0</v>
      </c>
      <c r="M116" s="94">
        <f ca="1">IF(A116&lt;&gt;"Biogas",SUMIFS('Forbrug af biomasse'!$E$2:$E$425,'Forbrug af biomasse'!$C$2:$C$425,'Resultat-Produktion &amp; forbrug'!$A116,'Forbrug af biomasse'!$D$2:$D$425,'Resultat-Produktion &amp; forbrug'!$E116,'Forbrug af biomasse'!$A$2:$A$425,'Resultat-Produktion &amp; forbrug'!M$3,'Forbrug af biomasse'!$B$2:$B$425,$F116),G116)</f>
        <v>2621642.4459828315</v>
      </c>
      <c r="N116" s="94">
        <f ca="1">SUMIFS('Forbrug af biomasse'!E:E,'Forbrug af biomasse'!C:C,'Resultat-Produktion &amp; forbrug'!$A116,'Forbrug af biomasse'!D:D,'Resultat-Produktion &amp; forbrug'!$E116,'Forbrug af biomasse'!G:G,1,'Forbrug af biomasse'!B:B,$F116)</f>
        <v>0</v>
      </c>
      <c r="O116" s="179">
        <f t="shared" ca="1" si="26"/>
        <v>0</v>
      </c>
      <c r="P116" s="94">
        <f t="shared" ca="1" si="22"/>
        <v>0</v>
      </c>
      <c r="Q116" s="180">
        <f t="shared" ca="1" si="27"/>
        <v>2621642.4459828315</v>
      </c>
      <c r="R116">
        <f ca="1">IFERROR(VLOOKUP(A116,[1]Energiindhold!$A$2:$C$11,3,FALSE),IFERROR(VLOOKUP(A116,[1]Biogasudbytte!$A$2:$B$18,2,FALSE)*[1]Energiindhold!$C$10,0))*P116</f>
        <v>0</v>
      </c>
      <c r="S116">
        <f ca="1">IF(A116&lt;&gt;"Biogas",IFERROR(VLOOKUP(A116,[1]Biogasudbytte!$A$2:$B$18,2,FALSE)*[1]Energiindhold!$C$10,0)*K116*IFERROR(VLOOKUP(A116,Biogasanlæg!$F$3:$G$8,2,FALSE),1)+IFERROR(VLOOKUP(A116,[1]Energiindhold!$A$2:$C$11,3,FALSE),0)*M116+IF(E116&lt;&gt;År1,R116,0),0)</f>
        <v>27.096788612133071</v>
      </c>
      <c r="T116">
        <f ca="1">IFERROR(VLOOKUP(A116,[1]Biogasudbytte!$A$2:$B$18,2,FALSE)*[1]Energiindhold!$C$10,0)*K116*IFERROR(VLOOKUP(A116,Biogasanlæg!$F$3:$G$8,2,FALSE),1)</f>
        <v>0</v>
      </c>
      <c r="U116" s="170">
        <f t="shared" ca="1" si="28"/>
        <v>27.096788612133071</v>
      </c>
      <c r="V116" s="169">
        <f ca="1">P116*IFERROR(VLOOKUP(A116,[1]Tørstofindhold!A$2:B$24,2,FALSE),0)</f>
        <v>0</v>
      </c>
      <c r="W116">
        <f ca="1">IF(E116=År1,Q116,SUM(P116,Q116))*IFERROR(VLOOKUP(A116,[1]Tørstofindhold!A$2:B$24,2,FALSE),0)</f>
        <v>2228396.0790854068</v>
      </c>
      <c r="X116">
        <f ca="1">K116*IFERROR(VLOOKUP(A116,[1]Tørstofindhold!A$2:B$24,2,FALSE),0)</f>
        <v>0</v>
      </c>
      <c r="Y116" s="170">
        <f t="shared" ca="1" si="29"/>
        <v>2228396.0790854068</v>
      </c>
      <c r="Z116">
        <f t="shared" ca="1" si="23"/>
        <v>0</v>
      </c>
      <c r="AA116">
        <f t="shared" ca="1" si="24"/>
        <v>0</v>
      </c>
      <c r="AB116" s="94">
        <f t="shared" ca="1" si="25"/>
        <v>2621642.4459828315</v>
      </c>
      <c r="AC116">
        <f ca="1">AB116*D116*10000*VLOOKUP(A116,[1]kcal!$A$2:$C$49,3,FALSE)/1000000000000</f>
        <v>0</v>
      </c>
    </row>
    <row r="117" spans="1:29" x14ac:dyDescent="0.25">
      <c r="A117" s="171" t="str">
        <f t="shared" si="36"/>
        <v>Have/parkaffald</v>
      </c>
      <c r="B117" s="171" t="str">
        <f t="shared" si="37"/>
        <v>Bionedbrydeligt affald</v>
      </c>
      <c r="C117" s="171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1</v>
      </c>
      <c r="D117" s="171">
        <f t="shared" ref="D117:D180" si="39">D69</f>
        <v>0</v>
      </c>
      <c r="E117" s="171">
        <f t="shared" si="38"/>
        <v>2050</v>
      </c>
      <c r="F117" t="s">
        <v>23</v>
      </c>
      <c r="G117" s="94">
        <f>IF(F117="Vestdanmark",SUMIFS(IF(E117=År1,'Resultater - Vestdanmark'!H$3:H$504,IF(E117=År2,'Resultater - Vestdanmark'!I$3:I$504,'Resultater - Vestdanmark'!J$3:J$504)),'Resultater - Vestdanmark'!$F$3:$F$504,$A117,IF(E117=År1,'Resultater - Vestdanmark'!H$3:H$504,IF(E117=År2,'Resultater - Vestdanmark'!I$3:I$504,'Resultater - Vestdanmark'!J$3:J$504)),"&gt;0"),SUMIFS(IF(E117=År1,'Resultater - Østdanmark'!H$3:H$504,IF(E117=År2,'Resultater - Østdanmark'!I$3:I$504,'Resultater - Østdanmark'!J$3:J$504)),'Resultater - Østdanmark'!$F$3:$F$504,$A117,IF(E117=År1,'Resultater - Østdanmark'!H$3:H$504,IF(E117=År2,'Resultater - Østdanmark'!I$3:I$504,'Resultater - Østdanmark'!J$3:J$504)),"&gt;0"))</f>
        <v>524881.97503939818</v>
      </c>
      <c r="H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forbrug'!H$3,'Forbrug af biomasse'!$B$2:$B$425,$F117)</f>
        <v>0</v>
      </c>
      <c r="I117">
        <f>IF(F117="Vestdanmark",-IF(A117="Halm",SUMIFS(IF(E117=År1,'Resultater - Vestdanmark'!H$3:H$504,IF(E117=År2,'Resultater - Vestdanmark'!I$3:I$504,'Resultater - Vestdanmark'!J$3:J$504)),'Resultater - Vestdanmark'!$F$3:$F$504,$A117,'Resultater - Vestdanmark'!H$3:H$504,"&lt;0"),0),-IF(A117="Halm",SUMIFS(IF(E117=År1,'Resultater - Østdanmark'!H$3:H$504,IF(E117=År2,'Resultater - Østdanmark'!I$3:I$504,'Resultater - Østdanmark'!J$3:J$504)),'Resultater - Østdanmark'!$F$3:$F$504,$A117,'Resultater - Østdanmark'!H$3:H$504,"&lt;0"),0))</f>
        <v>0</v>
      </c>
      <c r="J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forbrug'!J$3,'Forbrug af biomasse'!$B$2:$B$425,$F117)</f>
        <v>0</v>
      </c>
      <c r="K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forbrug'!K$3,'Forbrug af biomasse'!$B$2:$B$425,$F117)</f>
        <v>523381.79192356829</v>
      </c>
      <c r="L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forbrug'!L$3,'Forbrug af biomasse'!$B$2:$B$425,$F117)</f>
        <v>0</v>
      </c>
      <c r="M117" s="94">
        <f>IF(A117&lt;&gt;"Biogas",SUMIFS('Forbrug af biomasse'!$E$2:$E$425,'Forbrug af biomasse'!$C$2:$C$425,'Resultat-Produktion &amp; forbrug'!$A117,'Forbrug af biomasse'!$D$2:$D$425,'Resultat-Produktion &amp; forbrug'!$E117,'Forbrug af biomasse'!$A$2:$A$425,'Resultat-Produktion &amp; forbrug'!M$3,'Forbrug af biomasse'!$B$2:$B$425,$F117),G117)</f>
        <v>1500.1831158298883</v>
      </c>
      <c r="N117" s="94">
        <f>SUMIFS('Forbrug af biomasse'!E:E,'Forbrug af biomasse'!C:C,'Resultat-Produktion &amp; forbrug'!$A117,'Forbrug af biomasse'!D:D,'Resultat-Produktion &amp; forbrug'!$E117,'Forbrug af biomasse'!G:G,1,'Forbrug af biomasse'!B:B,$F117)</f>
        <v>0</v>
      </c>
      <c r="O117" s="179">
        <f t="shared" si="26"/>
        <v>0</v>
      </c>
      <c r="P117" s="94">
        <f t="shared" si="22"/>
        <v>0</v>
      </c>
      <c r="Q117" s="180">
        <f t="shared" si="27"/>
        <v>524881.97503939818</v>
      </c>
      <c r="R117">
        <f>IFERROR(VLOOKUP(A117,[1]Energiindhold!$A$2:$C$11,3,FALSE),IFERROR(VLOOKUP(A117,[1]Biogasudbytte!$A$2:$B$18,2,FALSE)*[1]Energiindhold!$C$10,0))*P117</f>
        <v>0</v>
      </c>
      <c r="S117">
        <f>IF(A117&lt;&gt;"Biogas",IFERROR(VLOOKUP(A117,[1]Biogasudbytte!$A$2:$B$18,2,FALSE)*[1]Energiindhold!$C$10,0)*K117*IFERROR(VLOOKUP(A117,Biogasanlæg!$F$3:$G$8,2,FALSE),1)+IFERROR(VLOOKUP(A117,[1]Energiindhold!$A$2:$C$11,3,FALSE),0)*M117+IF(E117&lt;&gt;År1,R117,0),0)</f>
        <v>0.91552051921684041</v>
      </c>
      <c r="T117">
        <f>IFERROR(VLOOKUP(A117,[1]Biogasudbytte!$A$2:$B$18,2,FALSE)*[1]Energiindhold!$C$10,0)*K117*IFERROR(VLOOKUP(A117,Biogasanlæg!$F$3:$G$8,2,FALSE),1)</f>
        <v>0.88873891941165373</v>
      </c>
      <c r="U117" s="170">
        <f t="shared" si="28"/>
        <v>2.6781599805186684E-2</v>
      </c>
      <c r="V117" s="169">
        <f>P117*IFERROR(VLOOKUP(A117,[1]Tørstofindhold!A$2:B$24,2,FALSE),0)</f>
        <v>0</v>
      </c>
      <c r="W117">
        <f>IF(E117=År1,Q117,SUM(P117,Q117))*IFERROR(VLOOKUP(A117,[1]Tørstofindhold!A$2:B$24,2,FALSE),0)</f>
        <v>157464.59251181944</v>
      </c>
      <c r="X117">
        <f>K117*IFERROR(VLOOKUP(A117,[1]Tørstofindhold!A$2:B$24,2,FALSE),0)</f>
        <v>157014.53757707047</v>
      </c>
      <c r="Y117" s="170">
        <f t="shared" si="29"/>
        <v>450.0549347489723</v>
      </c>
      <c r="Z117">
        <f t="shared" si="23"/>
        <v>0</v>
      </c>
      <c r="AA117">
        <f t="shared" si="24"/>
        <v>0</v>
      </c>
      <c r="AB117" s="94">
        <f t="shared" si="25"/>
        <v>1500.1831158298883</v>
      </c>
      <c r="AC117">
        <f>AB117*D117*10000*VLOOKUP(A117,[1]kcal!$A$2:$C$49,3,FALSE)/1000000000000</f>
        <v>0</v>
      </c>
    </row>
    <row r="118" spans="1:29" x14ac:dyDescent="0.25">
      <c r="A118" s="171" t="str">
        <f t="shared" si="36"/>
        <v>Import af foder</v>
      </c>
      <c r="B118" s="171" t="str">
        <f t="shared" si="37"/>
        <v/>
      </c>
      <c r="C118" s="171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0</v>
      </c>
      <c r="D118" s="171">
        <f t="shared" si="39"/>
        <v>1</v>
      </c>
      <c r="E118" s="171">
        <f t="shared" si="38"/>
        <v>2050</v>
      </c>
      <c r="F118" t="s">
        <v>23</v>
      </c>
      <c r="G118" s="94">
        <f>IF(F118="Vestdanmark",SUMIFS(IF(E118=År1,'Resultater - Vestdanmark'!H$3:H$504,IF(E118=År2,'Resultater - Vestdanmark'!I$3:I$504,'Resultater - Vestdanmark'!J$3:J$504)),'Resultater - Vestdanmark'!$F$3:$F$504,$A118,IF(E118=År1,'Resultater - Vestdanmark'!H$3:H$504,IF(E118=År2,'Resultater - Vestdanmark'!I$3:I$504,'Resultater - Vestdanmark'!J$3:J$504)),"&gt;0"),SUMIFS(IF(E118=År1,'Resultater - Østdanmark'!H$3:H$504,IF(E118=År2,'Resultater - Østdanmark'!I$3:I$504,'Resultater - Østdanmark'!J$3:J$504)),'Resultater - Østdanmark'!$F$3:$F$504,$A118,IF(E118=År1,'Resultater - Østdanmark'!H$3:H$504,IF(E118=År2,'Resultater - Østdanmark'!I$3:I$504,'Resultater - Østdanmark'!J$3:J$504)),"&gt;0"))</f>
        <v>0</v>
      </c>
      <c r="H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forbrug'!H$3,'Forbrug af biomasse'!$B$2:$B$425,$F118)</f>
        <v>4492995.6620617937</v>
      </c>
      <c r="I118">
        <f>IF(F118="Vestdanmark",-IF(A118="Halm",SUMIFS(IF(E118=År1,'Resultater - Vestdanmark'!H$3:H$504,IF(E118=År2,'Resultater - Vestdanmark'!I$3:I$504,'Resultater - Vestdanmark'!J$3:J$504)),'Resultater - Vestdanmark'!$F$3:$F$504,$A118,'Resultater - Vestdanmark'!H$3:H$504,"&lt;0"),0),-IF(A118="Halm",SUMIFS(IF(E118=År1,'Resultater - Østdanmark'!H$3:H$504,IF(E118=År2,'Resultater - Østdanmark'!I$3:I$504,'Resultater - Østdanmark'!J$3:J$504)),'Resultater - Østdanmark'!$F$3:$F$504,$A118,'Resultater - Østdanmark'!H$3:H$504,"&lt;0"),0))</f>
        <v>0</v>
      </c>
      <c r="J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forbrug'!J$3,'Forbrug af biomasse'!$B$2:$B$425,$F118)</f>
        <v>0</v>
      </c>
      <c r="K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forbrug'!K$3,'Forbrug af biomasse'!$B$2:$B$425,$F118)</f>
        <v>0</v>
      </c>
      <c r="L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forbrug'!L$3,'Forbrug af biomasse'!$B$2:$B$425,$F118)</f>
        <v>0</v>
      </c>
      <c r="M118" s="94">
        <f>IF(A118&lt;&gt;"Biogas",SUMIFS('Forbrug af biomasse'!$E$2:$E$425,'Forbrug af biomasse'!$C$2:$C$425,'Resultat-Produktion &amp; forbrug'!$A118,'Forbrug af biomasse'!$D$2:$D$425,'Resultat-Produktion &amp; forbrug'!$E118,'Forbrug af biomasse'!$A$2:$A$425,'Resultat-Produktion &amp; forbrug'!M$3,'Forbrug af biomasse'!$B$2:$B$425,$F118),G118)</f>
        <v>0</v>
      </c>
      <c r="N118" s="94">
        <f>SUMIFS('Forbrug af biomasse'!E:E,'Forbrug af biomasse'!C:C,'Resultat-Produktion &amp; forbrug'!$A118,'Forbrug af biomasse'!D:D,'Resultat-Produktion &amp; forbrug'!$E118,'Forbrug af biomasse'!G:G,1,'Forbrug af biomasse'!B:B,$F118)</f>
        <v>0</v>
      </c>
      <c r="O118" s="179">
        <f t="shared" si="26"/>
        <v>-4492995.6620617937</v>
      </c>
      <c r="P118" s="94">
        <f t="shared" si="22"/>
        <v>0</v>
      </c>
      <c r="Q118" s="180">
        <f t="shared" si="27"/>
        <v>0</v>
      </c>
      <c r="R118">
        <f>IFERROR(VLOOKUP(A118,[1]Energiindhold!$A$2:$C$11,3,FALSE),IFERROR(VLOOKUP(A118,[1]Biogasudbytte!$A$2:$B$18,2,FALSE)*[1]Energiindhold!$C$10,0))*P118</f>
        <v>0</v>
      </c>
      <c r="S118">
        <f>IF(A118&lt;&gt;"Biogas",IFERROR(VLOOKUP(A118,[1]Biogasudbytte!$A$2:$B$18,2,FALSE)*[1]Energiindhold!$C$10,0)*K118*IFERROR(VLOOKUP(A118,Biogasanlæg!$F$3:$G$8,2,FALSE),1)+IFERROR(VLOOKUP(A118,[1]Energiindhold!$A$2:$C$11,3,FALSE),0)*M118+IF(E118&lt;&gt;År1,R118,0),0)</f>
        <v>0</v>
      </c>
      <c r="T118">
        <f>IFERROR(VLOOKUP(A118,[1]Biogasudbytte!$A$2:$B$18,2,FALSE)*[1]Energiindhold!$C$10,0)*K118*IFERROR(VLOOKUP(A118,Biogasanlæg!$F$3:$G$8,2,FALSE),1)</f>
        <v>0</v>
      </c>
      <c r="U118" s="170">
        <f t="shared" si="28"/>
        <v>0</v>
      </c>
      <c r="V118" s="169">
        <f>P118*IFERROR(VLOOKUP(A118,[1]Tørstofindhold!A$2:B$24,2,FALSE),0)</f>
        <v>0</v>
      </c>
      <c r="W118">
        <f>IF(E118=År1,Q118,SUM(P118,Q118))*IFERROR(VLOOKUP(A118,[1]Tørstofindhold!A$2:B$24,2,FALSE),0)</f>
        <v>0</v>
      </c>
      <c r="X118">
        <f>K118*IFERROR(VLOOKUP(A118,[1]Tørstofindhold!A$2:B$24,2,FALSE),0)</f>
        <v>0</v>
      </c>
      <c r="Y118" s="170">
        <f t="shared" si="29"/>
        <v>0</v>
      </c>
      <c r="Z118">
        <f t="shared" ca="1" si="23"/>
        <v>1</v>
      </c>
      <c r="AA118">
        <f t="shared" ca="1" si="24"/>
        <v>0</v>
      </c>
      <c r="AB118" s="94">
        <f t="shared" si="25"/>
        <v>-4492995.6620617937</v>
      </c>
      <c r="AC118">
        <f>AB118*D118*10000*VLOOKUP(A118,[1]kcal!$A$2:$C$49,3,FALSE)/1000000000000</f>
        <v>-2.5610075273752222</v>
      </c>
    </row>
    <row r="119" spans="1:29" x14ac:dyDescent="0.25">
      <c r="A119" s="171" t="str">
        <f t="shared" si="36"/>
        <v>Industriaffald</v>
      </c>
      <c r="B119" s="171" t="str">
        <f t="shared" si="37"/>
        <v>Bionedbrydeligt affald</v>
      </c>
      <c r="C119" s="171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1</v>
      </c>
      <c r="D119" s="171">
        <f t="shared" si="39"/>
        <v>0</v>
      </c>
      <c r="E119" s="171">
        <f t="shared" si="38"/>
        <v>2050</v>
      </c>
      <c r="F119" t="s">
        <v>23</v>
      </c>
      <c r="G119" s="94">
        <f>IF(F119="Vestdanmark",SUMIFS(IF(E119=År1,'Resultater - Vestdanmark'!H$3:H$504,IF(E119=År2,'Resultater - Vestdanmark'!I$3:I$504,'Resultater - Vestdanmark'!J$3:J$504)),'Resultater - Vestdanmark'!$F$3:$F$504,$A119,IF(E119=År1,'Resultater - Vestdanmark'!H$3:H$504,IF(E119=År2,'Resultater - Vestdanmark'!I$3:I$504,'Resultater - Vestdanmark'!J$3:J$504)),"&gt;0"),SUMIFS(IF(E119=År1,'Resultater - Østdanmark'!H$3:H$504,IF(E119=År2,'Resultater - Østdanmark'!I$3:I$504,'Resultater - Østdanmark'!J$3:J$504)),'Resultater - Østdanmark'!$F$3:$F$504,$A119,IF(E119=År1,'Resultater - Østdanmark'!H$3:H$504,IF(E119=År2,'Resultater - Østdanmark'!I$3:I$504,'Resultater - Østdanmark'!J$3:J$504)),"&gt;0"))</f>
        <v>500298.07400383818</v>
      </c>
      <c r="H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forbrug'!H$3,'Forbrug af biomasse'!$B$2:$B$425,$F119)</f>
        <v>0</v>
      </c>
      <c r="I119">
        <f>IF(F119="Vestdanmark",-IF(A119="Halm",SUMIFS(IF(E119=År1,'Resultater - Vestdanmark'!H$3:H$504,IF(E119=År2,'Resultater - Vestdanmark'!I$3:I$504,'Resultater - Vestdanmark'!J$3:J$504)),'Resultater - Vestdanmark'!$F$3:$F$504,$A119,'Resultater - Vestdanmark'!H$3:H$504,"&lt;0"),0),-IF(A119="Halm",SUMIFS(IF(E119=År1,'Resultater - Østdanmark'!H$3:H$504,IF(E119=År2,'Resultater - Østdanmark'!I$3:I$504,'Resultater - Østdanmark'!J$3:J$504)),'Resultater - Østdanmark'!$F$3:$F$504,$A119,'Resultater - Østdanmark'!H$3:H$504,"&lt;0"),0))</f>
        <v>0</v>
      </c>
      <c r="J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forbrug'!J$3,'Forbrug af biomasse'!$B$2:$B$425,$F119)</f>
        <v>0</v>
      </c>
      <c r="K119" s="94">
        <f ca="1">SUMIFS('Forbrug af biomasse'!$E$2:$E$425,'Forbrug af biomasse'!$C$2:$C$425,'Resultat-Produktion &amp; forbrug'!$A119,'Forbrug af biomasse'!$D$2:$D$425,'Resultat-Produktion &amp; forbrug'!$E119,'Forbrug af biomasse'!$A$2:$A$425,'Resultat-Produktion &amp; forbrug'!K$3,'Forbrug af biomasse'!$B$2:$B$425,$F119)</f>
        <v>0</v>
      </c>
      <c r="L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forbrug'!L$3,'Forbrug af biomasse'!$B$2:$B$425,$F119)</f>
        <v>0</v>
      </c>
      <c r="M119" s="94">
        <f>IF(A119&lt;&gt;"Biogas",SUMIFS('Forbrug af biomasse'!$E$2:$E$425,'Forbrug af biomasse'!$C$2:$C$425,'Resultat-Produktion &amp; forbrug'!$A119,'Forbrug af biomasse'!$D$2:$D$425,'Resultat-Produktion &amp; forbrug'!$E119,'Forbrug af biomasse'!$A$2:$A$425,'Resultat-Produktion &amp; forbrug'!M$3,'Forbrug af biomasse'!$B$2:$B$425,$F119),G119)</f>
        <v>0</v>
      </c>
      <c r="N119" s="94">
        <f>SUMIFS('Forbrug af biomasse'!E:E,'Forbrug af biomasse'!C:C,'Resultat-Produktion &amp; forbrug'!$A119,'Forbrug af biomasse'!D:D,'Resultat-Produktion &amp; forbrug'!$E119,'Forbrug af biomasse'!G:G,1,'Forbrug af biomasse'!B:B,$F119)</f>
        <v>0</v>
      </c>
      <c r="O119" s="179">
        <f t="shared" ca="1" si="26"/>
        <v>500298.07400383818</v>
      </c>
      <c r="P119" s="94">
        <f t="shared" ca="1" si="22"/>
        <v>500298.07400383818</v>
      </c>
      <c r="Q119" s="180">
        <f t="shared" ca="1" si="27"/>
        <v>0</v>
      </c>
      <c r="R119">
        <f ca="1">IFERROR(VLOOKUP(A119,[1]Energiindhold!$A$2:$C$11,3,FALSE),IFERROR(VLOOKUP(A119,[1]Biogasudbytte!$A$2:$B$18,2,FALSE)*[1]Energiindhold!$C$10,0))*P119</f>
        <v>2.1678565934082514</v>
      </c>
      <c r="S119">
        <f ca="1">IF(A119&lt;&gt;"Biogas",IFERROR(VLOOKUP(A119,[1]Biogasudbytte!$A$2:$B$18,2,FALSE)*[1]Energiindhold!$C$10,0)*K119*IFERROR(VLOOKUP(A119,Biogasanlæg!$F$3:$G$8,2,FALSE),1)+IFERROR(VLOOKUP(A119,[1]Energiindhold!$A$2:$C$11,3,FALSE),0)*M119+IF(E119&lt;&gt;År1,R119,0),0)</f>
        <v>2.1678565934082514</v>
      </c>
      <c r="T119">
        <f ca="1">IFERROR(VLOOKUP(A119,[1]Biogasudbytte!$A$2:$B$18,2,FALSE)*[1]Energiindhold!$C$10,0)*K119*IFERROR(VLOOKUP(A119,Biogasanlæg!$F$3:$G$8,2,FALSE),1)</f>
        <v>0</v>
      </c>
      <c r="U119" s="170">
        <f t="shared" ca="1" si="28"/>
        <v>2.1678565934082514</v>
      </c>
      <c r="V119" s="169">
        <f ca="1">P119*IFERROR(VLOOKUP(A119,[1]Tørstofindhold!A$2:B$24,2,FALSE),0)</f>
        <v>210125.19108161202</v>
      </c>
      <c r="W119">
        <f ca="1">IF(E119=År1,Q119,SUM(P119,Q119))*IFERROR(VLOOKUP(A119,[1]Tørstofindhold!A$2:B$24,2,FALSE),0)</f>
        <v>210125.19108161202</v>
      </c>
      <c r="X119">
        <f ca="1">K119*IFERROR(VLOOKUP(A119,[1]Tørstofindhold!A$2:B$24,2,FALSE),0)</f>
        <v>0</v>
      </c>
      <c r="Y119" s="170">
        <f t="shared" ca="1" si="29"/>
        <v>210125.19108161202</v>
      </c>
      <c r="Z119">
        <f t="shared" ca="1" si="23"/>
        <v>0</v>
      </c>
      <c r="AA119">
        <f t="shared" ca="1" si="24"/>
        <v>1</v>
      </c>
      <c r="AB119" s="94">
        <f t="shared" ca="1" si="25"/>
        <v>500298.07400383818</v>
      </c>
      <c r="AC119">
        <f ca="1">AB119*D119*10000*VLOOKUP(A119,[1]kcal!$A$2:$C$49,3,FALSE)/1000000000000</f>
        <v>0</v>
      </c>
    </row>
    <row r="120" spans="1:29" x14ac:dyDescent="0.25">
      <c r="A120" s="171" t="str">
        <f t="shared" si="36"/>
        <v>Juletræer</v>
      </c>
      <c r="B120" s="171" t="str">
        <f t="shared" si="37"/>
        <v/>
      </c>
      <c r="C120" s="171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71">
        <f t="shared" si="39"/>
        <v>0</v>
      </c>
      <c r="E120" s="171">
        <f t="shared" si="38"/>
        <v>2050</v>
      </c>
      <c r="F120" t="s">
        <v>23</v>
      </c>
      <c r="G120" s="94">
        <f>IF(F120="Vestdanmark",SUMIFS(IF(E120=År1,'Resultater - Vestdanmark'!H$3:H$504,IF(E120=År2,'Resultater - Vestdanmark'!I$3:I$504,'Resultater - Vestdanmark'!J$3:J$504)),'Resultater - Vestdanmark'!$F$3:$F$504,$A120,IF(E120=År1,'Resultater - Vestdanmark'!H$3:H$504,IF(E120=År2,'Resultater - Vestdanmark'!I$3:I$504,'Resultater - Vestdanmark'!J$3:J$504)),"&gt;0"),SUMIFS(IF(E120=År1,'Resultater - Østdanmark'!H$3:H$504,IF(E120=År2,'Resultater - Østdanmark'!I$3:I$504,'Resultater - Østdanmark'!J$3:J$504)),'Resultater - Østdanmark'!$F$3:$F$504,$A120,IF(E120=År1,'Resultater - Østdanmark'!H$3:H$504,IF(E120=År2,'Resultater - Østdanmark'!I$3:I$504,'Resultater - Østdanmark'!J$3:J$504)),"&gt;0"))</f>
        <v>736287.78133601486</v>
      </c>
      <c r="H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forbrug'!H$3,'Forbrug af biomasse'!$B$2:$B$425,$F120)</f>
        <v>0</v>
      </c>
      <c r="I120">
        <f>IF(F120="Vestdanmark",-IF(A120="Halm",SUMIFS(IF(E120=År1,'Resultater - Vestdanmark'!H$3:H$504,IF(E120=År2,'Resultater - Vestdanmark'!I$3:I$504,'Resultater - Vestdanmark'!J$3:J$504)),'Resultater - Vestdanmark'!$F$3:$F$504,$A120,'Resultater - Vestdanmark'!H$3:H$504,"&lt;0"),0),-IF(A120="Halm",SUMIFS(IF(E120=År1,'Resultater - Østdanmark'!H$3:H$504,IF(E120=År2,'Resultater - Østdanmark'!I$3:I$504,'Resultater - Østdanmark'!J$3:J$504)),'Resultater - Østdanmark'!$F$3:$F$504,$A120,'Resultater - Østdanmark'!H$3:H$504,"&lt;0"),0))</f>
        <v>0</v>
      </c>
      <c r="J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forbrug'!J$3,'Forbrug af biomasse'!$B$2:$B$425,$F120)</f>
        <v>0</v>
      </c>
      <c r="K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forbrug'!K$3,'Forbrug af biomasse'!$B$2:$B$425,$F120)</f>
        <v>0</v>
      </c>
      <c r="L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forbrug'!L$3,'Forbrug af biomasse'!$B$2:$B$425,$F120)</f>
        <v>0</v>
      </c>
      <c r="M120" s="94">
        <f>IF(A120&lt;&gt;"Biogas",SUMIFS('Forbrug af biomasse'!$E$2:$E$425,'Forbrug af biomasse'!$C$2:$C$425,'Resultat-Produktion &amp; forbrug'!$A120,'Forbrug af biomasse'!$D$2:$D$425,'Resultat-Produktion &amp; forbrug'!$E120,'Forbrug af biomasse'!$A$2:$A$425,'Resultat-Produktion &amp; forbrug'!M$3,'Forbrug af biomasse'!$B$2:$B$425,$F120),G120)</f>
        <v>0</v>
      </c>
      <c r="N120" s="94">
        <f>SUMIFS('Forbrug af biomasse'!E:E,'Forbrug af biomasse'!C:C,'Resultat-Produktion &amp; forbrug'!$A120,'Forbrug af biomasse'!D:D,'Resultat-Produktion &amp; forbrug'!$E120,'Forbrug af biomasse'!G:G,1,'Forbrug af biomasse'!B:B,$F120)</f>
        <v>0</v>
      </c>
      <c r="O120" s="179">
        <f t="shared" si="26"/>
        <v>736287.78133601486</v>
      </c>
      <c r="P120" s="94">
        <f t="shared" si="22"/>
        <v>0</v>
      </c>
      <c r="Q120" s="180">
        <f t="shared" si="27"/>
        <v>0</v>
      </c>
      <c r="R120">
        <f>IFERROR(VLOOKUP(A120,[1]Energiindhold!$A$2:$C$11,3,FALSE),IFERROR(VLOOKUP(A120,[1]Biogasudbytte!$A$2:$B$18,2,FALSE)*[1]Energiindhold!$C$10,0))*P120</f>
        <v>0</v>
      </c>
      <c r="S120">
        <f>IF(A120&lt;&gt;"Biogas",IFERROR(VLOOKUP(A120,[1]Biogasudbytte!$A$2:$B$18,2,FALSE)*[1]Energiindhold!$C$10,0)*K120*IFERROR(VLOOKUP(A120,Biogasanlæg!$F$3:$G$8,2,FALSE),1)+IFERROR(VLOOKUP(A120,[1]Energiindhold!$A$2:$C$11,3,FALSE),0)*M120+IF(E120&lt;&gt;År1,R120,0),0)</f>
        <v>0</v>
      </c>
      <c r="T120">
        <f>IFERROR(VLOOKUP(A120,[1]Biogasudbytte!$A$2:$B$18,2,FALSE)*[1]Energiindhold!$C$10,0)*K120*IFERROR(VLOOKUP(A120,Biogasanlæg!$F$3:$G$8,2,FALSE),1)</f>
        <v>0</v>
      </c>
      <c r="U120" s="170">
        <f t="shared" si="28"/>
        <v>0</v>
      </c>
      <c r="V120" s="169">
        <f>P120*IFERROR(VLOOKUP(A120,[1]Tørstofindhold!A$2:B$24,2,FALSE),0)</f>
        <v>0</v>
      </c>
      <c r="W120">
        <f>IF(E120=År1,Q120,SUM(P120,Q120))*IFERROR(VLOOKUP(A120,[1]Tørstofindhold!A$2:B$24,2,FALSE),0)</f>
        <v>0</v>
      </c>
      <c r="X120">
        <f>K120*IFERROR(VLOOKUP(A120,[1]Tørstofindhold!A$2:B$24,2,FALSE),0)</f>
        <v>0</v>
      </c>
      <c r="Y120" s="170">
        <f t="shared" si="29"/>
        <v>0</v>
      </c>
      <c r="Z120">
        <f t="shared" si="23"/>
        <v>0</v>
      </c>
      <c r="AA120">
        <f t="shared" si="24"/>
        <v>1</v>
      </c>
      <c r="AB120" s="94">
        <f t="shared" si="25"/>
        <v>736287.78133601486</v>
      </c>
      <c r="AC120">
        <f>AB120*D120*10000*VLOOKUP(A120,[1]kcal!$A$2:$C$49,3,FALSE)/1000000000000</f>
        <v>0</v>
      </c>
    </row>
    <row r="121" spans="1:29" x14ac:dyDescent="0.25">
      <c r="A121" s="171" t="str">
        <f t="shared" si="36"/>
        <v>Kartofler</v>
      </c>
      <c r="B121" s="171" t="str">
        <f t="shared" si="37"/>
        <v/>
      </c>
      <c r="C121" s="171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0</v>
      </c>
      <c r="D121" s="171">
        <f t="shared" si="39"/>
        <v>1</v>
      </c>
      <c r="E121" s="171">
        <f t="shared" si="38"/>
        <v>2050</v>
      </c>
      <c r="F121" t="s">
        <v>23</v>
      </c>
      <c r="G121" s="94">
        <f>IF(F121="Vestdanmark",SUMIFS(IF(E121=År1,'Resultater - Vestdanmark'!H$3:H$504,IF(E121=År2,'Resultater - Vestdanmark'!I$3:I$504,'Resultater - Vestdanmark'!J$3:J$504)),'Resultater - Vestdanmark'!$F$3:$F$504,$A121,IF(E121=År1,'Resultater - Vestdanmark'!H$3:H$504,IF(E121=År2,'Resultater - Vestdanmark'!I$3:I$504,'Resultater - Vestdanmark'!J$3:J$504)),"&gt;0"),SUMIFS(IF(E121=År1,'Resultater - Østdanmark'!H$3:H$504,IF(E121=År2,'Resultater - Østdanmark'!I$3:I$504,'Resultater - Østdanmark'!J$3:J$504)),'Resultater - Østdanmark'!$F$3:$F$504,$A121,IF(E121=År1,'Resultater - Østdanmark'!H$3:H$504,IF(E121=År2,'Resultater - Østdanmark'!I$3:I$504,'Resultater - Østdanmark'!J$3:J$504)),"&gt;0"))</f>
        <v>2034058.7589381256</v>
      </c>
      <c r="H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forbrug'!H$3,'Forbrug af biomasse'!$B$2:$B$425,$F121)</f>
        <v>0</v>
      </c>
      <c r="I121">
        <f>IF(F121="Vestdanmark",-IF(A121="Halm",SUMIFS(IF(E121=År1,'Resultater - Vestdanmark'!H$3:H$504,IF(E121=År2,'Resultater - Vestdanmark'!I$3:I$504,'Resultater - Vestdanmark'!J$3:J$504)),'Resultater - Vestdanmark'!$F$3:$F$504,$A121,'Resultater - Vestdanmark'!H$3:H$504,"&lt;0"),0),-IF(A121="Halm",SUMIFS(IF(E121=År1,'Resultater - Østdanmark'!H$3:H$504,IF(E121=År2,'Resultater - Østdanmark'!I$3:I$504,'Resultater - Østdanmark'!J$3:J$504)),'Resultater - Østdanmark'!$F$3:$F$504,$A121,'Resultater - Østdanmark'!H$3:H$504,"&lt;0"),0))</f>
        <v>0</v>
      </c>
      <c r="J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forbrug'!J$3,'Forbrug af biomasse'!$B$2:$B$425,$F121)</f>
        <v>128347.79869443661</v>
      </c>
      <c r="K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forbrug'!K$3,'Forbrug af biomasse'!$B$2:$B$425,$F121)</f>
        <v>0</v>
      </c>
      <c r="L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forbrug'!L$3,'Forbrug af biomasse'!$B$2:$B$425,$F121)</f>
        <v>0</v>
      </c>
      <c r="M121" s="94">
        <f>IF(A121&lt;&gt;"Biogas",SUMIFS('Forbrug af biomasse'!$E$2:$E$425,'Forbrug af biomasse'!$C$2:$C$425,'Resultat-Produktion &amp; forbrug'!$A121,'Forbrug af biomasse'!$D$2:$D$425,'Resultat-Produktion &amp; forbrug'!$E121,'Forbrug af biomasse'!$A$2:$A$425,'Resultat-Produktion &amp; forbrug'!M$3,'Forbrug af biomasse'!$B$2:$B$425,$F121),G121)</f>
        <v>0</v>
      </c>
      <c r="N121" s="94">
        <f>SUMIFS('Forbrug af biomasse'!E:E,'Forbrug af biomasse'!C:C,'Resultat-Produktion &amp; forbrug'!$A121,'Forbrug af biomasse'!D:D,'Resultat-Produktion &amp; forbrug'!$E121,'Forbrug af biomasse'!G:G,1,'Forbrug af biomasse'!B:B,$F121)</f>
        <v>0</v>
      </c>
      <c r="O121" s="179">
        <f t="shared" si="26"/>
        <v>1905710.9602436889</v>
      </c>
      <c r="P121" s="94">
        <f t="shared" si="22"/>
        <v>0</v>
      </c>
      <c r="Q121" s="180">
        <f t="shared" si="27"/>
        <v>0</v>
      </c>
      <c r="R121">
        <f>IFERROR(VLOOKUP(A121,[1]Energiindhold!$A$2:$C$11,3,FALSE),IFERROR(VLOOKUP(A121,[1]Biogasudbytte!$A$2:$B$18,2,FALSE)*[1]Energiindhold!$C$10,0))*P121</f>
        <v>0</v>
      </c>
      <c r="S121">
        <f>IF(A121&lt;&gt;"Biogas",IFERROR(VLOOKUP(A121,[1]Biogasudbytte!$A$2:$B$18,2,FALSE)*[1]Energiindhold!$C$10,0)*K121*IFERROR(VLOOKUP(A121,Biogasanlæg!$F$3:$G$8,2,FALSE),1)+IFERROR(VLOOKUP(A121,[1]Energiindhold!$A$2:$C$11,3,FALSE),0)*M121+IF(E121&lt;&gt;År1,R121,0),0)</f>
        <v>0</v>
      </c>
      <c r="T121">
        <f>IFERROR(VLOOKUP(A121,[1]Biogasudbytte!$A$2:$B$18,2,FALSE)*[1]Energiindhold!$C$10,0)*K121*IFERROR(VLOOKUP(A121,Biogasanlæg!$F$3:$G$8,2,FALSE),1)</f>
        <v>0</v>
      </c>
      <c r="U121" s="170">
        <f t="shared" si="28"/>
        <v>0</v>
      </c>
      <c r="V121" s="169">
        <f>P121*IFERROR(VLOOKUP(A121,[1]Tørstofindhold!A$2:B$24,2,FALSE),0)</f>
        <v>0</v>
      </c>
      <c r="W121">
        <f>IF(E121=År1,Q121,SUM(P121,Q121))*IFERROR(VLOOKUP(A121,[1]Tørstofindhold!A$2:B$24,2,FALSE),0)</f>
        <v>0</v>
      </c>
      <c r="X121">
        <f>K121*IFERROR(VLOOKUP(A121,[1]Tørstofindhold!A$2:B$24,2,FALSE),0)</f>
        <v>0</v>
      </c>
      <c r="Y121" s="170">
        <f t="shared" si="29"/>
        <v>0</v>
      </c>
      <c r="Z121">
        <f t="shared" ca="1" si="23"/>
        <v>0</v>
      </c>
      <c r="AA121">
        <f t="shared" ca="1" si="24"/>
        <v>1</v>
      </c>
      <c r="AB121" s="94">
        <f t="shared" si="25"/>
        <v>2034058.7589381256</v>
      </c>
      <c r="AC121">
        <f>AB121*D121*10000*VLOOKUP(A121,[1]kcal!$A$2:$C$49,3,FALSE)/1000000000000</f>
        <v>1.5865658319717379</v>
      </c>
    </row>
    <row r="122" spans="1:29" x14ac:dyDescent="0.25">
      <c r="A122" s="171" t="str">
        <f t="shared" si="36"/>
        <v>Korn</v>
      </c>
      <c r="B122" s="171" t="str">
        <f t="shared" si="37"/>
        <v>Halm og strå</v>
      </c>
      <c r="C122" s="171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1</v>
      </c>
      <c r="D122" s="171">
        <f t="shared" si="39"/>
        <v>1</v>
      </c>
      <c r="E122" s="171">
        <f t="shared" si="38"/>
        <v>2050</v>
      </c>
      <c r="F122" t="s">
        <v>23</v>
      </c>
      <c r="G122" s="94">
        <f>IF(F122="Vestdanmark",SUMIFS(IF(E122=År1,'Resultater - Vestdanmark'!H$3:H$504,IF(E122=År2,'Resultater - Vestdanmark'!I$3:I$504,'Resultater - Vestdanmark'!J$3:J$504)),'Resultater - Vestdanmark'!$F$3:$F$504,$A122,IF(E122=År1,'Resultater - Vestdanmark'!H$3:H$504,IF(E122=År2,'Resultater - Vestdanmark'!I$3:I$504,'Resultater - Vestdanmark'!J$3:J$504)),"&gt;0"),SUMIFS(IF(E122=År1,'Resultater - Østdanmark'!H$3:H$504,IF(E122=År2,'Resultater - Østdanmark'!I$3:I$504,'Resultater - Østdanmark'!J$3:J$504)),'Resultater - Østdanmark'!$F$3:$F$504,$A122,IF(E122=År1,'Resultater - Østdanmark'!H$3:H$504,IF(E122=År2,'Resultater - Østdanmark'!I$3:I$504,'Resultater - Østdanmark'!J$3:J$504)),"&gt;0"))</f>
        <v>6657445.6000957079</v>
      </c>
      <c r="H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forbrug'!H$3,'Forbrug af biomasse'!$B$2:$B$425,$F122)</f>
        <v>5470784.8849928668</v>
      </c>
      <c r="I122">
        <f>IF(F122="Vestdanmark",-IF(A122="Halm",SUMIFS(IF(E122=År1,'Resultater - Vestdanmark'!H$3:H$504,IF(E122=År2,'Resultater - Vestdanmark'!I$3:I$504,'Resultater - Vestdanmark'!J$3:J$504)),'Resultater - Vestdanmark'!$F$3:$F$504,$A122,'Resultater - Vestdanmark'!H$3:H$504,"&lt;0"),0),-IF(A122="Halm",SUMIFS(IF(E122=År1,'Resultater - Østdanmark'!H$3:H$504,IF(E122=År2,'Resultater - Østdanmark'!I$3:I$504,'Resultater - Østdanmark'!J$3:J$504)),'Resultater - Østdanmark'!$F$3:$F$504,$A122,'Resultater - Østdanmark'!H$3:H$504,"&lt;0"),0))</f>
        <v>0</v>
      </c>
      <c r="J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forbrug'!J$3,'Forbrug af biomasse'!$B$2:$B$425,$F122)</f>
        <v>307470.55071854044</v>
      </c>
      <c r="K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forbrug'!K$3,'Forbrug af biomasse'!$B$2:$B$425,$F122)</f>
        <v>0</v>
      </c>
      <c r="L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forbrug'!L$3,'Forbrug af biomasse'!$B$2:$B$425,$F122)</f>
        <v>0</v>
      </c>
      <c r="M122" s="94">
        <f>IF(A122&lt;&gt;"Biogas",SUMIFS('Forbrug af biomasse'!$E$2:$E$425,'Forbrug af biomasse'!$C$2:$C$425,'Resultat-Produktion &amp; forbrug'!$A122,'Forbrug af biomasse'!$D$2:$D$425,'Resultat-Produktion &amp; forbrug'!$E122,'Forbrug af biomasse'!$A$2:$A$425,'Resultat-Produktion &amp; forbrug'!M$3,'Forbrug af biomasse'!$B$2:$B$425,$F122),G122)</f>
        <v>0</v>
      </c>
      <c r="N122" s="94">
        <f>SUMIFS('Forbrug af biomasse'!E:E,'Forbrug af biomasse'!C:C,'Resultat-Produktion &amp; forbrug'!$A122,'Forbrug af biomasse'!D:D,'Resultat-Produktion &amp; forbrug'!$E122,'Forbrug af biomasse'!G:G,1,'Forbrug af biomasse'!B:B,$F122)</f>
        <v>0</v>
      </c>
      <c r="O122" s="179">
        <f t="shared" si="26"/>
        <v>879190.16438430082</v>
      </c>
      <c r="P122" s="94">
        <f t="shared" ca="1" si="22"/>
        <v>879190.16438430082</v>
      </c>
      <c r="Q122" s="180">
        <f t="shared" si="27"/>
        <v>0</v>
      </c>
      <c r="R122">
        <f ca="1">IFERROR(VLOOKUP(A122,[1]Energiindhold!$A$2:$C$11,3,FALSE),IFERROR(VLOOKUP(A122,[1]Biogasudbytte!$A$2:$B$18,2,FALSE)*[1]Energiindhold!$C$10,0))*P122</f>
        <v>3.0111032263932169</v>
      </c>
      <c r="S122">
        <f ca="1">IF(A122&lt;&gt;"Biogas",IFERROR(VLOOKUP(A122,[1]Biogasudbytte!$A$2:$B$18,2,FALSE)*[1]Energiindhold!$C$10,0)*K122*IFERROR(VLOOKUP(A122,Biogasanlæg!$F$3:$G$8,2,FALSE),1)+IFERROR(VLOOKUP(A122,[1]Energiindhold!$A$2:$C$11,3,FALSE),0)*M122+IF(E122&lt;&gt;År1,R122,0),0)</f>
        <v>3.0111032263932169</v>
      </c>
      <c r="T122">
        <f>IFERROR(VLOOKUP(A122,[1]Biogasudbytte!$A$2:$B$18,2,FALSE)*[1]Energiindhold!$C$10,0)*K122*IFERROR(VLOOKUP(A122,Biogasanlæg!$F$3:$G$8,2,FALSE),1)</f>
        <v>0</v>
      </c>
      <c r="U122" s="170">
        <f t="shared" ca="1" si="28"/>
        <v>3.0111032263932169</v>
      </c>
      <c r="V122" s="169">
        <f ca="1">P122*IFERROR(VLOOKUP(A122,[1]Tørstofindhold!A$2:B$24,2,FALSE),0)</f>
        <v>272548.95095913328</v>
      </c>
      <c r="W122">
        <f ca="1">IF(E122=År1,Q122,SUM(P122,Q122))*IFERROR(VLOOKUP(A122,[1]Tørstofindhold!A$2:B$24,2,FALSE),0)</f>
        <v>272548.95095913328</v>
      </c>
      <c r="X122">
        <f>K122*IFERROR(VLOOKUP(A122,[1]Tørstofindhold!A$2:B$24,2,FALSE),0)</f>
        <v>0</v>
      </c>
      <c r="Y122" s="170">
        <f t="shared" ca="1" si="29"/>
        <v>272548.95095913328</v>
      </c>
      <c r="Z122">
        <f t="shared" ca="1" si="23"/>
        <v>0</v>
      </c>
      <c r="AA122">
        <f t="shared" ca="1" si="24"/>
        <v>1</v>
      </c>
      <c r="AB122" s="94">
        <f t="shared" si="25"/>
        <v>1186660.7151028411</v>
      </c>
      <c r="AC122">
        <f>AB122*D122*10000*VLOOKUP(A122,[1]kcal!$A$2:$C$49,3,FALSE)/1000000000000</f>
        <v>4.3431782172763986</v>
      </c>
    </row>
    <row r="123" spans="1:29" x14ac:dyDescent="0.25">
      <c r="A123" s="171" t="str">
        <f t="shared" si="36"/>
        <v>Kunstgødning</v>
      </c>
      <c r="B123" s="171" t="str">
        <f t="shared" si="37"/>
        <v/>
      </c>
      <c r="C123" s="171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0</v>
      </c>
      <c r="D123" s="171">
        <f t="shared" si="39"/>
        <v>0</v>
      </c>
      <c r="E123" s="171">
        <f t="shared" si="38"/>
        <v>2050</v>
      </c>
      <c r="F123" t="s">
        <v>23</v>
      </c>
      <c r="G123" s="94">
        <f>IF(F123="Vestdanmark",SUMIFS(IF(E123=År1,'Resultater - Vestdanmark'!H$3:H$504,IF(E123=År2,'Resultater - Vestdanmark'!I$3:I$504,'Resultater - Vestdanmark'!J$3:J$504)),'Resultater - Vestdanmark'!$F$3:$F$504,$A123,IF(E123=År1,'Resultater - Vestdanmark'!H$3:H$504,IF(E123=År2,'Resultater - Vestdanmark'!I$3:I$504,'Resultater - Vestdanmark'!J$3:J$504)),"&gt;0"),SUMIFS(IF(E123=År1,'Resultater - Østdanmark'!H$3:H$504,IF(E123=År2,'Resultater - Østdanmark'!I$3:I$504,'Resultater - Østdanmark'!J$3:J$504)),'Resultater - Østdanmark'!$F$3:$F$504,$A123,IF(E123=År1,'Resultater - Østdanmark'!H$3:H$504,IF(E123=År2,'Resultater - Østdanmark'!I$3:I$504,'Resultater - Østdanmark'!J$3:J$504)),"&gt;0"))</f>
        <v>0</v>
      </c>
      <c r="H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forbrug'!H$3,'Forbrug af biomasse'!$B$2:$B$425,$F123)</f>
        <v>0</v>
      </c>
      <c r="I123">
        <f>IF(F123="Vestdanmark",-IF(A123="Halm",SUMIFS(IF(E123=År1,'Resultater - Vestdanmark'!H$3:H$504,IF(E123=År2,'Resultater - Vestdanmark'!I$3:I$504,'Resultater - Vestdanmark'!J$3:J$504)),'Resultater - Vestdanmark'!$F$3:$F$504,$A123,'Resultater - Vestdanmark'!H$3:H$504,"&lt;0"),0),-IF(A123="Halm",SUMIFS(IF(E123=År1,'Resultater - Østdanmark'!H$3:H$504,IF(E123=År2,'Resultater - Østdanmark'!I$3:I$504,'Resultater - Østdanmark'!J$3:J$504)),'Resultater - Østdanmark'!$F$3:$F$504,$A123,'Resultater - Østdanmark'!H$3:H$504,"&lt;0"),0))</f>
        <v>0</v>
      </c>
      <c r="J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forbrug'!J$3,'Forbrug af biomasse'!$B$2:$B$425,$F123)</f>
        <v>0</v>
      </c>
      <c r="K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forbrug'!K$3,'Forbrug af biomasse'!$B$2:$B$425,$F123)</f>
        <v>0</v>
      </c>
      <c r="L123" s="94">
        <f ca="1">SUMIFS('Forbrug af biomasse'!$E$2:$E$425,'Forbrug af biomasse'!$C$2:$C$425,'Resultat-Produktion &amp; forbrug'!$A123,'Forbrug af biomasse'!$D$2:$D$425,'Resultat-Produktion &amp; forbrug'!$E123,'Forbrug af biomasse'!$A$2:$A$425,'Resultat-Produktion &amp; forbrug'!L$3,'Forbrug af biomasse'!$B$2:$B$425,$F123)</f>
        <v>475615.83979339601</v>
      </c>
      <c r="M123" s="94">
        <f>IF(A123&lt;&gt;"Biogas",SUMIFS('Forbrug af biomasse'!$E$2:$E$425,'Forbrug af biomasse'!$C$2:$C$425,'Resultat-Produktion &amp; forbrug'!$A123,'Forbrug af biomasse'!$D$2:$D$425,'Resultat-Produktion &amp; forbrug'!$E123,'Forbrug af biomasse'!$A$2:$A$425,'Resultat-Produktion &amp; forbrug'!M$3,'Forbrug af biomasse'!$B$2:$B$425,$F123),G123)</f>
        <v>0</v>
      </c>
      <c r="N123" s="94">
        <f>SUMIFS('Forbrug af biomasse'!E:E,'Forbrug af biomasse'!C:C,'Resultat-Produktion &amp; forbrug'!$A123,'Forbrug af biomasse'!D:D,'Resultat-Produktion &amp; forbrug'!$E123,'Forbrug af biomasse'!G:G,1,'Forbrug af biomasse'!B:B,$F123)</f>
        <v>0</v>
      </c>
      <c r="O123" s="179">
        <f t="shared" ca="1" si="26"/>
        <v>-475615.83979339601</v>
      </c>
      <c r="P123" s="94">
        <f t="shared" si="22"/>
        <v>0</v>
      </c>
      <c r="Q123" s="180">
        <f t="shared" si="27"/>
        <v>0</v>
      </c>
      <c r="R123">
        <f>IFERROR(VLOOKUP(A123,[1]Energiindhold!$A$2:$C$11,3,FALSE),IFERROR(VLOOKUP(A123,[1]Biogasudbytte!$A$2:$B$18,2,FALSE)*[1]Energiindhold!$C$10,0))*P123</f>
        <v>0</v>
      </c>
      <c r="S123">
        <f>IF(A123&lt;&gt;"Biogas",IFERROR(VLOOKUP(A123,[1]Biogasudbytte!$A$2:$B$18,2,FALSE)*[1]Energiindhold!$C$10,0)*K123*IFERROR(VLOOKUP(A123,Biogasanlæg!$F$3:$G$8,2,FALSE),1)+IFERROR(VLOOKUP(A123,[1]Energiindhold!$A$2:$C$11,3,FALSE),0)*M123+IF(E123&lt;&gt;År1,R123,0),0)</f>
        <v>0</v>
      </c>
      <c r="T123">
        <f>IFERROR(VLOOKUP(A123,[1]Biogasudbytte!$A$2:$B$18,2,FALSE)*[1]Energiindhold!$C$10,0)*K123*IFERROR(VLOOKUP(A123,Biogasanlæg!$F$3:$G$8,2,FALSE),1)</f>
        <v>0</v>
      </c>
      <c r="U123" s="170">
        <f t="shared" si="28"/>
        <v>0</v>
      </c>
      <c r="V123" s="169">
        <f>P123*IFERROR(VLOOKUP(A123,[1]Tørstofindhold!A$2:B$24,2,FALSE),0)</f>
        <v>0</v>
      </c>
      <c r="W123">
        <f>IF(E123=År1,Q123,SUM(P123,Q123))*IFERROR(VLOOKUP(A123,[1]Tørstofindhold!A$2:B$24,2,FALSE),0)</f>
        <v>0</v>
      </c>
      <c r="X123">
        <f>K123*IFERROR(VLOOKUP(A123,[1]Tørstofindhold!A$2:B$24,2,FALSE),0)</f>
        <v>0</v>
      </c>
      <c r="Y123" s="170">
        <f t="shared" si="29"/>
        <v>0</v>
      </c>
      <c r="Z123">
        <f t="shared" ca="1" si="23"/>
        <v>1</v>
      </c>
      <c r="AA123">
        <f t="shared" ca="1" si="24"/>
        <v>0</v>
      </c>
      <c r="AB123" s="94">
        <f t="shared" ca="1" si="25"/>
        <v>-475615.83979339601</v>
      </c>
      <c r="AC123">
        <f ca="1">AB123*D123*10000*VLOOKUP(A123,[1]kcal!$A$2:$C$49,3,FALSE)/1000000000000</f>
        <v>0</v>
      </c>
    </row>
    <row r="124" spans="1:29" x14ac:dyDescent="0.25">
      <c r="A124" s="171" t="str">
        <f t="shared" si="36"/>
        <v>Kvæggylle</v>
      </c>
      <c r="B124" s="171" t="str">
        <f t="shared" si="37"/>
        <v>Husdyrgødning</v>
      </c>
      <c r="C124" s="171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1</v>
      </c>
      <c r="D124" s="171">
        <f t="shared" si="39"/>
        <v>0</v>
      </c>
      <c r="E124" s="171">
        <f t="shared" si="38"/>
        <v>2050</v>
      </c>
      <c r="F124" t="s">
        <v>23</v>
      </c>
      <c r="G124" s="94">
        <f>IF(F124="Vestdanmark",SUMIFS(IF(E124=År1,'Resultater - Vestdanmark'!H$3:H$504,IF(E124=År2,'Resultater - Vestdanmark'!I$3:I$504,'Resultater - Vestdanmark'!J$3:J$504)),'Resultater - Vestdanmark'!$F$3:$F$504,$A124,IF(E124=År1,'Resultater - Vestdanmark'!H$3:H$504,IF(E124=År2,'Resultater - Vestdanmark'!I$3:I$504,'Resultater - Vestdanmark'!J$3:J$504)),"&gt;0"),SUMIFS(IF(E124=År1,'Resultater - Østdanmark'!H$3:H$504,IF(E124=År2,'Resultater - Østdanmark'!I$3:I$504,'Resultater - Østdanmark'!J$3:J$504)),'Resultater - Østdanmark'!$F$3:$F$504,$A124,IF(E124=År1,'Resultater - Østdanmark'!H$3:H$504,IF(E124=År2,'Resultater - Østdanmark'!I$3:I$504,'Resultater - Østdanmark'!J$3:J$504)),"&gt;0"))</f>
        <v>12735406.502549823</v>
      </c>
      <c r="H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forbrug'!H$3,'Forbrug af biomasse'!$B$2:$B$425,$F124)</f>
        <v>0</v>
      </c>
      <c r="I124">
        <f>IF(F124="Vestdanmark",-IF(A124="Halm",SUMIFS(IF(E124=År1,'Resultater - Vestdanmark'!H$3:H$504,IF(E124=År2,'Resultater - Vestdanmark'!I$3:I$504,'Resultater - Vestdanmark'!J$3:J$504)),'Resultater - Vestdanmark'!$F$3:$F$504,$A124,'Resultater - Vestdanmark'!H$3:H$504,"&lt;0"),0),-IF(A124="Halm",SUMIFS(IF(E124=År1,'Resultater - Østdanmark'!H$3:H$504,IF(E124=År2,'Resultater - Østdanmark'!I$3:I$504,'Resultater - Østdanmark'!J$3:J$504)),'Resultater - Østdanmark'!$F$3:$F$504,$A124,'Resultater - Østdanmark'!H$3:H$504,"&lt;0"),0))</f>
        <v>0</v>
      </c>
      <c r="J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forbrug'!J$3,'Forbrug af biomasse'!$B$2:$B$425,$F124)</f>
        <v>0</v>
      </c>
      <c r="K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forbrug'!K$3,'Forbrug af biomasse'!$B$2:$B$425,$F124)</f>
        <v>11461865.852294842</v>
      </c>
      <c r="L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forbrug'!L$3,'Forbrug af biomasse'!$B$2:$B$425,$F124)</f>
        <v>1273540.6502549821</v>
      </c>
      <c r="M124" s="94">
        <f>IF(A124&lt;&gt;"Biogas",SUMIFS('Forbrug af biomasse'!$E$2:$E$425,'Forbrug af biomasse'!$C$2:$C$425,'Resultat-Produktion &amp; forbrug'!$A124,'Forbrug af biomasse'!$D$2:$D$425,'Resultat-Produktion &amp; forbrug'!$E124,'Forbrug af biomasse'!$A$2:$A$425,'Resultat-Produktion &amp; forbrug'!M$3,'Forbrug af biomasse'!$B$2:$B$425,$F124),G124)</f>
        <v>0</v>
      </c>
      <c r="N124" s="94">
        <f>SUMIFS('Forbrug af biomasse'!E:E,'Forbrug af biomasse'!C:C,'Resultat-Produktion &amp; forbrug'!$A124,'Forbrug af biomasse'!D:D,'Resultat-Produktion &amp; forbrug'!$E124,'Forbrug af biomasse'!G:G,1,'Forbrug af biomasse'!B:B,$F124)</f>
        <v>0</v>
      </c>
      <c r="O124" s="179">
        <f t="shared" si="26"/>
        <v>0</v>
      </c>
      <c r="P124" s="94">
        <f t="shared" ca="1" si="22"/>
        <v>0</v>
      </c>
      <c r="Q124" s="180">
        <f t="shared" si="27"/>
        <v>11461865.852294842</v>
      </c>
      <c r="R124">
        <f ca="1">IFERROR(VLOOKUP(A124,[1]Energiindhold!$A$2:$C$11,3,FALSE),IFERROR(VLOOKUP(A124,[1]Biogasudbytte!$A$2:$B$18,2,FALSE)*[1]Energiindhold!$C$10,0))*P124</f>
        <v>0</v>
      </c>
      <c r="S124">
        <f ca="1">IF(A124&lt;&gt;"Biogas",IFERROR(VLOOKUP(A124,[1]Biogasudbytte!$A$2:$B$18,2,FALSE)*[1]Energiindhold!$C$10,0)*K124*IFERROR(VLOOKUP(A124,Biogasanlæg!$F$3:$G$8,2,FALSE),1)+IFERROR(VLOOKUP(A124,[1]Energiindhold!$A$2:$C$11,3,FALSE),0)*M124+IF(E124&lt;&gt;År1,R124,0),0)</f>
        <v>5.8018818757731268</v>
      </c>
      <c r="T124">
        <f>IFERROR(VLOOKUP(A124,[1]Biogasudbytte!$A$2:$B$18,2,FALSE)*[1]Energiindhold!$C$10,0)*K124*IFERROR(VLOOKUP(A124,Biogasanlæg!$F$3:$G$8,2,FALSE),1)</f>
        <v>5.8018818757731268</v>
      </c>
      <c r="U124" s="170">
        <f t="shared" ca="1" si="28"/>
        <v>0</v>
      </c>
      <c r="V124" s="169">
        <f ca="1">P124*IFERROR(VLOOKUP(A124,[1]Tørstofindhold!A$2:B$24,2,FALSE),0)</f>
        <v>0</v>
      </c>
      <c r="W124">
        <f ca="1">IF(E124=År1,Q124,SUM(P124,Q124))*IFERROR(VLOOKUP(A124,[1]Tørstofindhold!A$2:B$24,2,FALSE),0)</f>
        <v>871101.804774408</v>
      </c>
      <c r="X124">
        <f>K124*IFERROR(VLOOKUP(A124,[1]Tørstofindhold!A$2:B$24,2,FALSE),0)</f>
        <v>871101.804774408</v>
      </c>
      <c r="Y124" s="170">
        <f t="shared" ca="1" si="29"/>
        <v>0</v>
      </c>
      <c r="Z124">
        <f t="shared" ca="1" si="23"/>
        <v>0</v>
      </c>
      <c r="AA124">
        <f t="shared" ca="1" si="24"/>
        <v>0</v>
      </c>
      <c r="AB124" s="94">
        <f t="shared" si="25"/>
        <v>0</v>
      </c>
      <c r="AC124">
        <f>AB124*D124*10000*VLOOKUP(A124,[1]kcal!$A$2:$C$49,3,FALSE)/1000000000000</f>
        <v>0</v>
      </c>
    </row>
    <row r="125" spans="1:29" x14ac:dyDescent="0.25">
      <c r="A125" s="171" t="str">
        <f t="shared" si="36"/>
        <v>Mælk til foder</v>
      </c>
      <c r="B125" s="171" t="str">
        <f t="shared" si="37"/>
        <v/>
      </c>
      <c r="C125" s="171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0</v>
      </c>
      <c r="D125" s="171">
        <f t="shared" si="39"/>
        <v>0</v>
      </c>
      <c r="E125" s="171">
        <f t="shared" si="38"/>
        <v>2050</v>
      </c>
      <c r="F125" t="s">
        <v>23</v>
      </c>
      <c r="G125" s="94">
        <f>IF(F125="Vestdanmark",SUMIFS(IF(E125=År1,'Resultater - Vestdanmark'!H$3:H$504,IF(E125=År2,'Resultater - Vestdanmark'!I$3:I$504,'Resultater - Vestdanmark'!J$3:J$504)),'Resultater - Vestdanmark'!$F$3:$F$504,$A125,IF(E125=År1,'Resultater - Vestdanmark'!H$3:H$504,IF(E125=År2,'Resultater - Vestdanmark'!I$3:I$504,'Resultater - Vestdanmark'!J$3:J$504)),"&gt;0"),SUMIFS(IF(E125=År1,'Resultater - Østdanmark'!H$3:H$504,IF(E125=År2,'Resultater - Østdanmark'!I$3:I$504,'Resultater - Østdanmark'!J$3:J$504)),'Resultater - Østdanmark'!$F$3:$F$504,$A125,IF(E125=År1,'Resultater - Østdanmark'!H$3:H$504,IF(E125=År2,'Resultater - Østdanmark'!I$3:I$504,'Resultater - Østdanmark'!J$3:J$504)),"&gt;0"))</f>
        <v>1590883.4700780637</v>
      </c>
      <c r="H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forbrug'!H$3,'Forbrug af biomasse'!$B$2:$B$425,$F125)</f>
        <v>1410417.1911333126</v>
      </c>
      <c r="I125">
        <f>IF(F125="Vestdanmark",-IF(A125="Halm",SUMIFS(IF(E125=År1,'Resultater - Vestdanmark'!H$3:H$504,IF(E125=År2,'Resultater - Vestdanmark'!I$3:I$504,'Resultater - Vestdanmark'!J$3:J$504)),'Resultater - Vestdanmark'!$F$3:$F$504,$A125,'Resultater - Vestdanmark'!H$3:H$504,"&lt;0"),0),-IF(A125="Halm",SUMIFS(IF(E125=År1,'Resultater - Østdanmark'!H$3:H$504,IF(E125=År2,'Resultater - Østdanmark'!I$3:I$504,'Resultater - Østdanmark'!J$3:J$504)),'Resultater - Østdanmark'!$F$3:$F$504,$A125,'Resultater - Østdanmark'!H$3:H$504,"&lt;0"),0))</f>
        <v>0</v>
      </c>
      <c r="J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forbrug'!J$3,'Forbrug af biomasse'!$B$2:$B$425,$F125)</f>
        <v>0</v>
      </c>
      <c r="K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forbrug'!K$3,'Forbrug af biomasse'!$B$2:$B$425,$F125)</f>
        <v>0</v>
      </c>
      <c r="L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forbrug'!L$3,'Forbrug af biomasse'!$B$2:$B$425,$F125)</f>
        <v>0</v>
      </c>
      <c r="M125" s="94">
        <f>IF(A125&lt;&gt;"Biogas",SUMIFS('Forbrug af biomasse'!$E$2:$E$425,'Forbrug af biomasse'!$C$2:$C$425,'Resultat-Produktion &amp; forbrug'!$A125,'Forbrug af biomasse'!$D$2:$D$425,'Resultat-Produktion &amp; forbrug'!$E125,'Forbrug af biomasse'!$A$2:$A$425,'Resultat-Produktion &amp; forbrug'!M$3,'Forbrug af biomasse'!$B$2:$B$425,$F125),G125)</f>
        <v>0</v>
      </c>
      <c r="N125" s="94">
        <f>SUMIFS('Forbrug af biomasse'!E:E,'Forbrug af biomasse'!C:C,'Resultat-Produktion &amp; forbrug'!$A125,'Forbrug af biomasse'!D:D,'Resultat-Produktion &amp; forbrug'!$E125,'Forbrug af biomasse'!G:G,1,'Forbrug af biomasse'!B:B,$F125)</f>
        <v>0</v>
      </c>
      <c r="O125" s="179">
        <f t="shared" si="26"/>
        <v>180466.27894475101</v>
      </c>
      <c r="P125" s="94">
        <f t="shared" si="22"/>
        <v>0</v>
      </c>
      <c r="Q125" s="180">
        <f t="shared" si="27"/>
        <v>0</v>
      </c>
      <c r="R125">
        <f>IFERROR(VLOOKUP(A125,[1]Energiindhold!$A$2:$C$11,3,FALSE),IFERROR(VLOOKUP(A125,[1]Biogasudbytte!$A$2:$B$18,2,FALSE)*[1]Energiindhold!$C$10,0))*P125</f>
        <v>0</v>
      </c>
      <c r="S125">
        <f>IF(A125&lt;&gt;"Biogas",IFERROR(VLOOKUP(A125,[1]Biogasudbytte!$A$2:$B$18,2,FALSE)*[1]Energiindhold!$C$10,0)*K125*IFERROR(VLOOKUP(A125,Biogasanlæg!$F$3:$G$8,2,FALSE),1)+IFERROR(VLOOKUP(A125,[1]Energiindhold!$A$2:$C$11,3,FALSE),0)*M125+IF(E125&lt;&gt;År1,R125,0),0)</f>
        <v>0</v>
      </c>
      <c r="T125">
        <f>IFERROR(VLOOKUP(A125,[1]Biogasudbytte!$A$2:$B$18,2,FALSE)*[1]Energiindhold!$C$10,0)*K125*IFERROR(VLOOKUP(A125,Biogasanlæg!$F$3:$G$8,2,FALSE),1)</f>
        <v>0</v>
      </c>
      <c r="U125" s="170">
        <f t="shared" si="28"/>
        <v>0</v>
      </c>
      <c r="V125" s="169">
        <f>P125*IFERROR(VLOOKUP(A125,[1]Tørstofindhold!A$2:B$24,2,FALSE),0)</f>
        <v>0</v>
      </c>
      <c r="W125">
        <f>IF(E125=År1,Q125,SUM(P125,Q125))*IFERROR(VLOOKUP(A125,[1]Tørstofindhold!A$2:B$24,2,FALSE),0)</f>
        <v>0</v>
      </c>
      <c r="X125">
        <f>K125*IFERROR(VLOOKUP(A125,[1]Tørstofindhold!A$2:B$24,2,FALSE),0)</f>
        <v>0</v>
      </c>
      <c r="Y125" s="170">
        <f t="shared" si="29"/>
        <v>0</v>
      </c>
      <c r="Z125">
        <f t="shared" ca="1" si="23"/>
        <v>0</v>
      </c>
      <c r="AA125">
        <f t="shared" ca="1" si="24"/>
        <v>1</v>
      </c>
      <c r="AB125" s="94">
        <f t="shared" si="25"/>
        <v>180466.27894475101</v>
      </c>
      <c r="AC125">
        <f>AB125*D125*10000*VLOOKUP(A125,[1]kcal!$A$2:$C$49,3,FALSE)/1000000000000</f>
        <v>0</v>
      </c>
    </row>
    <row r="126" spans="1:29" x14ac:dyDescent="0.25">
      <c r="A126" s="171" t="str">
        <f t="shared" si="36"/>
        <v>Majs</v>
      </c>
      <c r="B126" s="171" t="str">
        <f t="shared" si="37"/>
        <v>Græs og urter</v>
      </c>
      <c r="C126" s="171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1</v>
      </c>
      <c r="D126" s="171">
        <f t="shared" si="39"/>
        <v>1</v>
      </c>
      <c r="E126" s="171">
        <f t="shared" si="38"/>
        <v>2050</v>
      </c>
      <c r="F126" t="s">
        <v>23</v>
      </c>
      <c r="G126" s="94">
        <f>IF(F126="Vestdanmark",SUMIFS(IF(E126=År1,'Resultater - Vestdanmark'!H$3:H$504,IF(E126=År2,'Resultater - Vestdanmark'!I$3:I$504,'Resultater - Vestdanmark'!J$3:J$504)),'Resultater - Vestdanmark'!$F$3:$F$504,$A126,IF(E126=År1,'Resultater - Vestdanmark'!H$3:H$504,IF(E126=År2,'Resultater - Vestdanmark'!I$3:I$504,'Resultater - Vestdanmark'!J$3:J$504)),"&gt;0"),SUMIFS(IF(E126=År1,'Resultater - Østdanmark'!H$3:H$504,IF(E126=År2,'Resultater - Østdanmark'!I$3:I$504,'Resultater - Østdanmark'!J$3:J$504)),'Resultater - Østdanmark'!$F$3:$F$504,$A126,IF(E126=År1,'Resultater - Østdanmark'!H$3:H$504,IF(E126=År2,'Resultater - Østdanmark'!I$3:I$504,'Resultater - Østdanmark'!J$3:J$504)),"&gt;0"))</f>
        <v>7480186.4136029035</v>
      </c>
      <c r="H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forbrug'!H$3,'Forbrug af biomasse'!$B$2:$B$425,$F126)</f>
        <v>5264057.0697440123</v>
      </c>
      <c r="I126">
        <f>IF(F126="Vestdanmark",-IF(A126="Halm",SUMIFS(IF(E126=År1,'Resultater - Vestdanmark'!H$3:H$504,IF(E126=År2,'Resultater - Vestdanmark'!I$3:I$504,'Resultater - Vestdanmark'!J$3:J$504)),'Resultater - Vestdanmark'!$F$3:$F$504,$A126,'Resultater - Vestdanmark'!H$3:H$504,"&lt;0"),0),-IF(A126="Halm",SUMIFS(IF(E126=År1,'Resultater - Østdanmark'!H$3:H$504,IF(E126=År2,'Resultater - Østdanmark'!I$3:I$504,'Resultater - Østdanmark'!J$3:J$504)),'Resultater - Østdanmark'!$F$3:$F$504,$A126,'Resultater - Østdanmark'!H$3:H$504,"&lt;0"),0))</f>
        <v>0</v>
      </c>
      <c r="J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forbrug'!J$3,'Forbrug af biomasse'!$B$2:$B$425,$F126)</f>
        <v>0</v>
      </c>
      <c r="K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forbrug'!K$3,'Forbrug af biomasse'!$B$2:$B$425,$F126)</f>
        <v>0</v>
      </c>
      <c r="L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forbrug'!L$3,'Forbrug af biomasse'!$B$2:$B$425,$F126)</f>
        <v>0</v>
      </c>
      <c r="M126" s="94">
        <f>IF(A126&lt;&gt;"Biogas",SUMIFS('Forbrug af biomasse'!$E$2:$E$425,'Forbrug af biomasse'!$C$2:$C$425,'Resultat-Produktion &amp; forbrug'!$A126,'Forbrug af biomasse'!$D$2:$D$425,'Resultat-Produktion &amp; forbrug'!$E126,'Forbrug af biomasse'!$A$2:$A$425,'Resultat-Produktion &amp; forbrug'!M$3,'Forbrug af biomasse'!$B$2:$B$425,$F126),G126)</f>
        <v>0</v>
      </c>
      <c r="N126" s="94">
        <f>SUMIFS('Forbrug af biomasse'!E:E,'Forbrug af biomasse'!C:C,'Resultat-Produktion &amp; forbrug'!$A126,'Forbrug af biomasse'!D:D,'Resultat-Produktion &amp; forbrug'!$E126,'Forbrug af biomasse'!G:G,1,'Forbrug af biomasse'!B:B,$F126)</f>
        <v>0</v>
      </c>
      <c r="O126" s="179">
        <f t="shared" si="26"/>
        <v>2216129.3438588912</v>
      </c>
      <c r="P126" s="94">
        <f t="shared" ca="1" si="22"/>
        <v>1964071.9525106091</v>
      </c>
      <c r="Q126" s="180">
        <f t="shared" si="27"/>
        <v>0</v>
      </c>
      <c r="R126">
        <f ca="1">IFERROR(VLOOKUP(A126,[1]Energiindhold!$A$2:$C$11,3,FALSE),IFERROR(VLOOKUP(A126,[1]Biogasudbytte!$A$2:$B$18,2,FALSE)*[1]Energiindhold!$C$10,0))*P126</f>
        <v>7.0510183095130872</v>
      </c>
      <c r="S126">
        <f ca="1">IF(A126&lt;&gt;"Biogas",IFERROR(VLOOKUP(A126,[1]Biogasudbytte!$A$2:$B$18,2,FALSE)*[1]Energiindhold!$C$10,0)*K126*IFERROR(VLOOKUP(A126,Biogasanlæg!$F$3:$G$8,2,FALSE),1)+IFERROR(VLOOKUP(A126,[1]Energiindhold!$A$2:$C$11,3,FALSE),0)*M126+IF(E126&lt;&gt;År1,R126,0),0)</f>
        <v>7.0510183095130872</v>
      </c>
      <c r="T126">
        <f>IFERROR(VLOOKUP(A126,[1]Biogasudbytte!$A$2:$B$18,2,FALSE)*[1]Energiindhold!$C$10,0)*K126*IFERROR(VLOOKUP(A126,Biogasanlæg!$F$3:$G$8,2,FALSE),1)</f>
        <v>0</v>
      </c>
      <c r="U126" s="170">
        <f t="shared" ca="1" si="28"/>
        <v>7.0510183095130872</v>
      </c>
      <c r="V126" s="169">
        <f ca="1">P126*IFERROR(VLOOKUP(A126,[1]Tørstofindhold!A$2:B$24,2,FALSE),0)</f>
        <v>589221.58575318265</v>
      </c>
      <c r="W126">
        <f ca="1">IF(E126=År1,Q126,SUM(P126,Q126))*IFERROR(VLOOKUP(A126,[1]Tørstofindhold!A$2:B$24,2,FALSE),0)</f>
        <v>589221.58575318265</v>
      </c>
      <c r="X126">
        <f>K126*IFERROR(VLOOKUP(A126,[1]Tørstofindhold!A$2:B$24,2,FALSE),0)</f>
        <v>0</v>
      </c>
      <c r="Y126" s="170">
        <f t="shared" ca="1" si="29"/>
        <v>589221.58575318265</v>
      </c>
      <c r="Z126">
        <f t="shared" ca="1" si="23"/>
        <v>0</v>
      </c>
      <c r="AA126">
        <f t="shared" ca="1" si="24"/>
        <v>1</v>
      </c>
      <c r="AB126" s="94">
        <f t="shared" si="25"/>
        <v>2216129.3438588912</v>
      </c>
      <c r="AC126">
        <f>AB126*D126*10000*VLOOKUP(A126,[1]kcal!$A$2:$C$49,3,FALSE)/1000000000000</f>
        <v>2.0166777029115912</v>
      </c>
    </row>
    <row r="127" spans="1:29" x14ac:dyDescent="0.25">
      <c r="A127" s="171" t="str">
        <f t="shared" si="36"/>
        <v>Mejeriprodukter</v>
      </c>
      <c r="B127" s="171" t="str">
        <f t="shared" si="37"/>
        <v/>
      </c>
      <c r="C127" s="171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0</v>
      </c>
      <c r="D127" s="171">
        <f t="shared" si="39"/>
        <v>1</v>
      </c>
      <c r="E127" s="171">
        <f t="shared" si="38"/>
        <v>2050</v>
      </c>
      <c r="F127" t="s">
        <v>23</v>
      </c>
      <c r="G127" s="94">
        <f>IF(F127="Vestdanmark",SUMIFS(IF(E127=År1,'Resultater - Vestdanmark'!H$3:H$504,IF(E127=År2,'Resultater - Vestdanmark'!I$3:I$504,'Resultater - Vestdanmark'!J$3:J$504)),'Resultater - Vestdanmark'!$F$3:$F$504,$A127,IF(E127=År1,'Resultater - Vestdanmark'!H$3:H$504,IF(E127=År2,'Resultater - Vestdanmark'!I$3:I$504,'Resultater - Vestdanmark'!J$3:J$504)),"&gt;0"),SUMIFS(IF(E127=År1,'Resultater - Østdanmark'!H$3:H$504,IF(E127=År2,'Resultater - Østdanmark'!I$3:I$504,'Resultater - Østdanmark'!J$3:J$504)),'Resultater - Østdanmark'!$F$3:$F$504,$A127,IF(E127=År1,'Resultater - Østdanmark'!H$3:H$504,IF(E127=År2,'Resultater - Østdanmark'!I$3:I$504,'Resultater - Østdanmark'!J$3:J$504)),"&gt;0"))</f>
        <v>3069579.4456842686</v>
      </c>
      <c r="H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forbrug'!H$3,'Forbrug af biomasse'!$B$2:$B$425,$F127)</f>
        <v>0</v>
      </c>
      <c r="I127">
        <f>IF(F127="Vestdanmark",-IF(A127="Halm",SUMIFS(IF(E127=År1,'Resultater - Vestdanmark'!H$3:H$504,IF(E127=År2,'Resultater - Vestdanmark'!I$3:I$504,'Resultater - Vestdanmark'!J$3:J$504)),'Resultater - Vestdanmark'!$F$3:$F$504,$A127,'Resultater - Vestdanmark'!H$3:H$504,"&lt;0"),0),-IF(A127="Halm",SUMIFS(IF(E127=År1,'Resultater - Østdanmark'!H$3:H$504,IF(E127=År2,'Resultater - Østdanmark'!I$3:I$504,'Resultater - Østdanmark'!J$3:J$504)),'Resultater - Østdanmark'!$F$3:$F$504,$A127,'Resultater - Østdanmark'!H$3:H$504,"&lt;0"),0))</f>
        <v>0</v>
      </c>
      <c r="J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forbrug'!J$3,'Forbrug af biomasse'!$B$2:$B$425,$F127)</f>
        <v>490824.54885344987</v>
      </c>
      <c r="K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forbrug'!K$3,'Forbrug af biomasse'!$B$2:$B$425,$F127)</f>
        <v>0</v>
      </c>
      <c r="L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forbrug'!L$3,'Forbrug af biomasse'!$B$2:$B$425,$F127)</f>
        <v>0</v>
      </c>
      <c r="M127" s="94">
        <f>IF(A127&lt;&gt;"Biogas",SUMIFS('Forbrug af biomasse'!$E$2:$E$425,'Forbrug af biomasse'!$C$2:$C$425,'Resultat-Produktion &amp; forbrug'!$A127,'Forbrug af biomasse'!$D$2:$D$425,'Resultat-Produktion &amp; forbrug'!$E127,'Forbrug af biomasse'!$A$2:$A$425,'Resultat-Produktion &amp; forbrug'!M$3,'Forbrug af biomasse'!$B$2:$B$425,$F127),G127)</f>
        <v>0</v>
      </c>
      <c r="N127" s="94">
        <f>SUMIFS('Forbrug af biomasse'!E:E,'Forbrug af biomasse'!C:C,'Resultat-Produktion &amp; forbrug'!$A127,'Forbrug af biomasse'!D:D,'Resultat-Produktion &amp; forbrug'!$E127,'Forbrug af biomasse'!G:G,1,'Forbrug af biomasse'!B:B,$F127)</f>
        <v>0</v>
      </c>
      <c r="O127" s="179">
        <f t="shared" si="26"/>
        <v>2578754.8968308186</v>
      </c>
      <c r="P127" s="94">
        <f t="shared" si="22"/>
        <v>0</v>
      </c>
      <c r="Q127" s="180">
        <f t="shared" si="27"/>
        <v>0</v>
      </c>
      <c r="R127">
        <f>IFERROR(VLOOKUP(A127,[1]Energiindhold!$A$2:$C$11,3,FALSE),IFERROR(VLOOKUP(A127,[1]Biogasudbytte!$A$2:$B$18,2,FALSE)*[1]Energiindhold!$C$10,0))*P127</f>
        <v>0</v>
      </c>
      <c r="S127">
        <f>IF(A127&lt;&gt;"Biogas",IFERROR(VLOOKUP(A127,[1]Biogasudbytte!$A$2:$B$18,2,FALSE)*[1]Energiindhold!$C$10,0)*K127*IFERROR(VLOOKUP(A127,Biogasanlæg!$F$3:$G$8,2,FALSE),1)+IFERROR(VLOOKUP(A127,[1]Energiindhold!$A$2:$C$11,3,FALSE),0)*M127+IF(E127&lt;&gt;År1,R127,0),0)</f>
        <v>0</v>
      </c>
      <c r="T127">
        <f>IFERROR(VLOOKUP(A127,[1]Biogasudbytte!$A$2:$B$18,2,FALSE)*[1]Energiindhold!$C$10,0)*K127*IFERROR(VLOOKUP(A127,Biogasanlæg!$F$3:$G$8,2,FALSE),1)</f>
        <v>0</v>
      </c>
      <c r="U127" s="170">
        <f t="shared" si="28"/>
        <v>0</v>
      </c>
      <c r="V127" s="169">
        <f>P127*IFERROR(VLOOKUP(A127,[1]Tørstofindhold!A$2:B$24,2,FALSE),0)</f>
        <v>0</v>
      </c>
      <c r="W127">
        <f>IF(E127=År1,Q127,SUM(P127,Q127))*IFERROR(VLOOKUP(A127,[1]Tørstofindhold!A$2:B$24,2,FALSE),0)</f>
        <v>0</v>
      </c>
      <c r="X127">
        <f>K127*IFERROR(VLOOKUP(A127,[1]Tørstofindhold!A$2:B$24,2,FALSE),0)</f>
        <v>0</v>
      </c>
      <c r="Y127" s="170">
        <f t="shared" si="29"/>
        <v>0</v>
      </c>
      <c r="Z127">
        <f t="shared" ca="1" si="23"/>
        <v>0</v>
      </c>
      <c r="AA127">
        <f t="shared" ca="1" si="24"/>
        <v>1</v>
      </c>
      <c r="AB127" s="94">
        <f t="shared" si="25"/>
        <v>3069579.4456842686</v>
      </c>
      <c r="AC127">
        <f>AB127*D127*10000*VLOOKUP(A127,[1]kcal!$A$2:$C$49,3,FALSE)/1000000000000</f>
        <v>1.9338350507810891</v>
      </c>
    </row>
    <row r="128" spans="1:29" x14ac:dyDescent="0.25">
      <c r="A128" s="171" t="str">
        <f t="shared" si="36"/>
        <v>Muslinger</v>
      </c>
      <c r="B128" s="171" t="str">
        <f t="shared" si="37"/>
        <v>Havbiomasse</v>
      </c>
      <c r="C128" s="171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1</v>
      </c>
      <c r="D128" s="171">
        <f t="shared" si="39"/>
        <v>1</v>
      </c>
      <c r="E128" s="171">
        <f t="shared" si="38"/>
        <v>2050</v>
      </c>
      <c r="F128" t="s">
        <v>23</v>
      </c>
      <c r="G128" s="94">
        <f>IF(F128="Vestdanmark",SUMIFS(IF(E128=År1,'Resultater - Vestdanmark'!H$3:H$504,IF(E128=År2,'Resultater - Vestdanmark'!I$3:I$504,'Resultater - Vestdanmark'!J$3:J$504)),'Resultater - Vestdanmark'!$F$3:$F$504,$A128,IF(E128=År1,'Resultater - Vestdanmark'!H$3:H$504,IF(E128=År2,'Resultater - Vestdanmark'!I$3:I$504,'Resultater - Vestdanmark'!J$3:J$504)),"&gt;0"),SUMIFS(IF(E128=År1,'Resultater - Østdanmark'!H$3:H$504,IF(E128=År2,'Resultater - Østdanmark'!I$3:I$504,'Resultater - Østdanmark'!J$3:J$504)),'Resultater - Østdanmark'!$F$3:$F$504,$A128,IF(E128=År1,'Resultater - Østdanmark'!H$3:H$504,IF(E128=År2,'Resultater - Østdanmark'!I$3:I$504,'Resultater - Østdanmark'!J$3:J$504)),"&gt;0"))</f>
        <v>878.90231344976178</v>
      </c>
      <c r="H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forbrug'!H$3,'Forbrug af biomasse'!$B$2:$B$425,$F128)</f>
        <v>0</v>
      </c>
      <c r="I128">
        <f>IF(F128="Vestdanmark",-IF(A128="Halm",SUMIFS(IF(E128=År1,'Resultater - Vestdanmark'!H$3:H$504,IF(E128=År2,'Resultater - Vestdanmark'!I$3:I$504,'Resultater - Vestdanmark'!J$3:J$504)),'Resultater - Vestdanmark'!$F$3:$F$504,$A128,'Resultater - Vestdanmark'!H$3:H$504,"&lt;0"),0),-IF(A128="Halm",SUMIFS(IF(E128=År1,'Resultater - Østdanmark'!H$3:H$504,IF(E128=År2,'Resultater - Østdanmark'!I$3:I$504,'Resultater - Østdanmark'!J$3:J$504)),'Resultater - Østdanmark'!$F$3:$F$504,$A128,'Resultater - Østdanmark'!H$3:H$504,"&lt;0"),0))</f>
        <v>0</v>
      </c>
      <c r="J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forbrug'!J$3,'Forbrug af biomasse'!$B$2:$B$425,$F128)</f>
        <v>0</v>
      </c>
      <c r="K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forbrug'!K$3,'Forbrug af biomasse'!$B$2:$B$425,$F128)</f>
        <v>0</v>
      </c>
      <c r="L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forbrug'!L$3,'Forbrug af biomasse'!$B$2:$B$425,$F128)</f>
        <v>0</v>
      </c>
      <c r="M128" s="94">
        <f>IF(A128&lt;&gt;"Biogas",SUMIFS('Forbrug af biomasse'!$E$2:$E$425,'Forbrug af biomasse'!$C$2:$C$425,'Resultat-Produktion &amp; forbrug'!$A128,'Forbrug af biomasse'!$D$2:$D$425,'Resultat-Produktion &amp; forbrug'!$E128,'Forbrug af biomasse'!$A$2:$A$425,'Resultat-Produktion &amp; forbrug'!M$3,'Forbrug af biomasse'!$B$2:$B$425,$F128),G128)</f>
        <v>0</v>
      </c>
      <c r="N128" s="94">
        <f>SUMIFS('Forbrug af biomasse'!E:E,'Forbrug af biomasse'!C:C,'Resultat-Produktion &amp; forbrug'!$A128,'Forbrug af biomasse'!D:D,'Resultat-Produktion &amp; forbrug'!$E128,'Forbrug af biomasse'!G:G,1,'Forbrug af biomasse'!B:B,$F128)</f>
        <v>0</v>
      </c>
      <c r="O128" s="179">
        <f t="shared" si="26"/>
        <v>878.90231344976178</v>
      </c>
      <c r="P128" s="94">
        <f t="shared" ca="1" si="22"/>
        <v>878.90231344976178</v>
      </c>
      <c r="Q128" s="180">
        <f t="shared" si="27"/>
        <v>0</v>
      </c>
      <c r="R128">
        <f ca="1">IFERROR(VLOOKUP(A128,[1]Energiindhold!$A$2:$C$11,3,FALSE),IFERROR(VLOOKUP(A128,[1]Biogasudbytte!$A$2:$B$18,2,FALSE)*[1]Energiindhold!$C$10,0))*P128</f>
        <v>7.8881482632116122E-4</v>
      </c>
      <c r="S128">
        <f ca="1">IF(A128&lt;&gt;"Biogas",IFERROR(VLOOKUP(A128,[1]Biogasudbytte!$A$2:$B$18,2,FALSE)*[1]Energiindhold!$C$10,0)*K128*IFERROR(VLOOKUP(A128,Biogasanlæg!$F$3:$G$8,2,FALSE),1)+IFERROR(VLOOKUP(A128,[1]Energiindhold!$A$2:$C$11,3,FALSE),0)*M128+IF(E128&lt;&gt;År1,R128,0),0)</f>
        <v>7.8881482632116122E-4</v>
      </c>
      <c r="T128">
        <f>IFERROR(VLOOKUP(A128,[1]Biogasudbytte!$A$2:$B$18,2,FALSE)*[1]Energiindhold!$C$10,0)*K128*IFERROR(VLOOKUP(A128,Biogasanlæg!$F$3:$G$8,2,FALSE),1)</f>
        <v>0</v>
      </c>
      <c r="U128" s="170">
        <f t="shared" ca="1" si="28"/>
        <v>7.8881482632116122E-4</v>
      </c>
      <c r="V128" s="169">
        <f ca="1">P128*IFERROR(VLOOKUP(A128,[1]Tørstofindhold!A$2:B$24,2,FALSE),0)</f>
        <v>131.83534701746427</v>
      </c>
      <c r="W128">
        <f ca="1">IF(E128=År1,Q128,SUM(P128,Q128))*IFERROR(VLOOKUP(A128,[1]Tørstofindhold!A$2:B$24,2,FALSE),0)</f>
        <v>131.83534701746427</v>
      </c>
      <c r="X128">
        <f>K128*IFERROR(VLOOKUP(A128,[1]Tørstofindhold!A$2:B$24,2,FALSE),0)</f>
        <v>0</v>
      </c>
      <c r="Y128" s="170">
        <f t="shared" ca="1" si="29"/>
        <v>131.83534701746427</v>
      </c>
      <c r="Z128">
        <f t="shared" ca="1" si="23"/>
        <v>0</v>
      </c>
      <c r="AA128">
        <f t="shared" ca="1" si="24"/>
        <v>1</v>
      </c>
      <c r="AB128" s="94">
        <f t="shared" si="25"/>
        <v>878.90231344976178</v>
      </c>
      <c r="AC128">
        <f>AB128*D128*10000*VLOOKUP(A128,[1]kcal!$A$2:$C$49,3,FALSE)/1000000000000</f>
        <v>7.2948892016330225E-4</v>
      </c>
    </row>
    <row r="129" spans="1:29" x14ac:dyDescent="0.25">
      <c r="A129" s="171" t="str">
        <f t="shared" si="36"/>
        <v>Oksekød</v>
      </c>
      <c r="B129" s="171" t="str">
        <f t="shared" si="37"/>
        <v/>
      </c>
      <c r="C129" s="171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71">
        <f t="shared" si="39"/>
        <v>1</v>
      </c>
      <c r="E129" s="171">
        <f t="shared" si="38"/>
        <v>2050</v>
      </c>
      <c r="F129" t="s">
        <v>23</v>
      </c>
      <c r="G129" s="94">
        <f>IF(F129="Vestdanmark",SUMIFS(IF(E129=År1,'Resultater - Vestdanmark'!H$3:H$504,IF(E129=År2,'Resultater - Vestdanmark'!I$3:I$504,'Resultater - Vestdanmark'!J$3:J$504)),'Resultater - Vestdanmark'!$F$3:$F$504,$A129,IF(E129=År1,'Resultater - Vestdanmark'!H$3:H$504,IF(E129=År2,'Resultater - Vestdanmark'!I$3:I$504,'Resultater - Vestdanmark'!J$3:J$504)),"&gt;0"),SUMIFS(IF(E129=År1,'Resultater - Østdanmark'!H$3:H$504,IF(E129=År2,'Resultater - Østdanmark'!I$3:I$504,'Resultater - Østdanmark'!J$3:J$504)),'Resultater - Østdanmark'!$F$3:$F$504,$A129,IF(E129=År1,'Resultater - Østdanmark'!H$3:H$504,IF(E129=År2,'Resultater - Østdanmark'!I$3:I$504,'Resultater - Østdanmark'!J$3:J$504)),"&gt;0"))</f>
        <v>102788.11573768182</v>
      </c>
      <c r="H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forbrug'!H$3,'Forbrug af biomasse'!$B$2:$B$425,$F129)</f>
        <v>0</v>
      </c>
      <c r="I129">
        <f>IF(F129="Vestdanmark",-IF(A129="Halm",SUMIFS(IF(E129=År1,'Resultater - Vestdanmark'!H$3:H$504,IF(E129=År2,'Resultater - Vestdanmark'!I$3:I$504,'Resultater - Vestdanmark'!J$3:J$504)),'Resultater - Vestdanmark'!$F$3:$F$504,$A129,'Resultater - Vestdanmark'!H$3:H$504,"&lt;0"),0),-IF(A129="Halm",SUMIFS(IF(E129=År1,'Resultater - Østdanmark'!H$3:H$504,IF(E129=År2,'Resultater - Østdanmark'!I$3:I$504,'Resultater - Østdanmark'!J$3:J$504)),'Resultater - Østdanmark'!$F$3:$F$504,$A129,'Resultater - Østdanmark'!H$3:H$504,"&lt;0"),0))</f>
        <v>0</v>
      </c>
      <c r="J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forbrug'!J$3,'Forbrug af biomasse'!$B$2:$B$425,$F129)</f>
        <v>62368.567673274578</v>
      </c>
      <c r="K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forbrug'!K$3,'Forbrug af biomasse'!$B$2:$B$425,$F129)</f>
        <v>0</v>
      </c>
      <c r="L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forbrug'!L$3,'Forbrug af biomasse'!$B$2:$B$425,$F129)</f>
        <v>0</v>
      </c>
      <c r="M129" s="94">
        <f>IF(A129&lt;&gt;"Biogas",SUMIFS('Forbrug af biomasse'!$E$2:$E$425,'Forbrug af biomasse'!$C$2:$C$425,'Resultat-Produktion &amp; forbrug'!$A129,'Forbrug af biomasse'!$D$2:$D$425,'Resultat-Produktion &amp; forbrug'!$E129,'Forbrug af biomasse'!$A$2:$A$425,'Resultat-Produktion &amp; forbrug'!M$3,'Forbrug af biomasse'!$B$2:$B$425,$F129),G129)</f>
        <v>0</v>
      </c>
      <c r="N129" s="94">
        <f>SUMIFS('Forbrug af biomasse'!E:E,'Forbrug af biomasse'!C:C,'Resultat-Produktion &amp; forbrug'!$A129,'Forbrug af biomasse'!D:D,'Resultat-Produktion &amp; forbrug'!$E129,'Forbrug af biomasse'!G:G,1,'Forbrug af biomasse'!B:B,$F129)</f>
        <v>0</v>
      </c>
      <c r="O129" s="179">
        <f t="shared" si="26"/>
        <v>40419.548064407238</v>
      </c>
      <c r="P129" s="94">
        <f t="shared" si="22"/>
        <v>0</v>
      </c>
      <c r="Q129" s="180">
        <f t="shared" si="27"/>
        <v>0</v>
      </c>
      <c r="R129">
        <f>IFERROR(VLOOKUP(A129,[1]Energiindhold!$A$2:$C$11,3,FALSE),IFERROR(VLOOKUP(A129,[1]Biogasudbytte!$A$2:$B$18,2,FALSE)*[1]Energiindhold!$C$10,0))*P129</f>
        <v>0</v>
      </c>
      <c r="S129">
        <f>IF(A129&lt;&gt;"Biogas",IFERROR(VLOOKUP(A129,[1]Biogasudbytte!$A$2:$B$18,2,FALSE)*[1]Energiindhold!$C$10,0)*K129*IFERROR(VLOOKUP(A129,Biogasanlæg!$F$3:$G$8,2,FALSE),1)+IFERROR(VLOOKUP(A129,[1]Energiindhold!$A$2:$C$11,3,FALSE),0)*M129+IF(E129&lt;&gt;År1,R129,0),0)</f>
        <v>0</v>
      </c>
      <c r="T129">
        <f>IFERROR(VLOOKUP(A129,[1]Biogasudbytte!$A$2:$B$18,2,FALSE)*[1]Energiindhold!$C$10,0)*K129*IFERROR(VLOOKUP(A129,Biogasanlæg!$F$3:$G$8,2,FALSE),1)</f>
        <v>0</v>
      </c>
      <c r="U129" s="170">
        <f t="shared" si="28"/>
        <v>0</v>
      </c>
      <c r="V129" s="169">
        <f>P129*IFERROR(VLOOKUP(A129,[1]Tørstofindhold!A$2:B$24,2,FALSE),0)</f>
        <v>0</v>
      </c>
      <c r="W129">
        <f>IF(E129=År1,Q129,SUM(P129,Q129))*IFERROR(VLOOKUP(A129,[1]Tørstofindhold!A$2:B$24,2,FALSE),0)</f>
        <v>0</v>
      </c>
      <c r="X129">
        <f>K129*IFERROR(VLOOKUP(A129,[1]Tørstofindhold!A$2:B$24,2,FALSE),0)</f>
        <v>0</v>
      </c>
      <c r="Y129" s="170">
        <f t="shared" si="29"/>
        <v>0</v>
      </c>
      <c r="Z129">
        <f t="shared" ca="1" si="23"/>
        <v>1</v>
      </c>
      <c r="AA129">
        <f t="shared" ca="1" si="24"/>
        <v>0</v>
      </c>
      <c r="AB129" s="94">
        <f t="shared" si="25"/>
        <v>102788.11573768182</v>
      </c>
      <c r="AC129">
        <f>AB129*D129*10000*VLOOKUP(A129,[1]kcal!$A$2:$C$49,3,FALSE)/1000000000000</f>
        <v>0.20043682568847956</v>
      </c>
    </row>
    <row r="130" spans="1:29" x14ac:dyDescent="0.25">
      <c r="A130" s="171" t="str">
        <f t="shared" si="36"/>
        <v>Øvrige</v>
      </c>
      <c r="B130" s="171" t="str">
        <f t="shared" si="37"/>
        <v/>
      </c>
      <c r="C130" s="171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0</v>
      </c>
      <c r="D130" s="171">
        <f t="shared" si="39"/>
        <v>1</v>
      </c>
      <c r="E130" s="171">
        <f t="shared" si="38"/>
        <v>2050</v>
      </c>
      <c r="F130" t="s">
        <v>23</v>
      </c>
      <c r="G130" s="94">
        <f>IF(F130="Vestdanmark",SUMIFS(IF(E130=År1,'Resultater - Vestdanmark'!H$3:H$504,IF(E130=År2,'Resultater - Vestdanmark'!I$3:I$504,'Resultater - Vestdanmark'!J$3:J$504)),'Resultater - Vestdanmark'!$F$3:$F$504,$A130,IF(E130=År1,'Resultater - Vestdanmark'!H$3:H$504,IF(E130=År2,'Resultater - Vestdanmark'!I$3:I$504,'Resultater - Vestdanmark'!J$3:J$504)),"&gt;0"),SUMIFS(IF(E130=År1,'Resultater - Østdanmark'!H$3:H$504,IF(E130=År2,'Resultater - Østdanmark'!I$3:I$504,'Resultater - Østdanmark'!J$3:J$504)),'Resultater - Østdanmark'!$F$3:$F$504,$A130,IF(E130=År1,'Resultater - Østdanmark'!H$3:H$504,IF(E130=År2,'Resultater - Østdanmark'!I$3:I$504,'Resultater - Østdanmark'!J$3:J$504)),"&gt;0"))</f>
        <v>1547190.8284741363</v>
      </c>
      <c r="H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forbrug'!H$3,'Forbrug af biomasse'!$B$2:$B$425,$F130)</f>
        <v>0</v>
      </c>
      <c r="I130">
        <f>IF(F130="Vestdanmark",-IF(A130="Halm",SUMIFS(IF(E130=År1,'Resultater - Vestdanmark'!H$3:H$504,IF(E130=År2,'Resultater - Vestdanmark'!I$3:I$504,'Resultater - Vestdanmark'!J$3:J$504)),'Resultater - Vestdanmark'!$F$3:$F$504,$A130,'Resultater - Vestdanmark'!H$3:H$504,"&lt;0"),0),-IF(A130="Halm",SUMIFS(IF(E130=År1,'Resultater - Østdanmark'!H$3:H$504,IF(E130=År2,'Resultater - Østdanmark'!I$3:I$504,'Resultater - Østdanmark'!J$3:J$504)),'Resultater - Østdanmark'!$F$3:$F$504,$A130,'Resultater - Østdanmark'!H$3:H$504,"&lt;0"),0))</f>
        <v>0</v>
      </c>
      <c r="J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forbrug'!J$3,'Forbrug af biomasse'!$B$2:$B$425,$F130)</f>
        <v>0</v>
      </c>
      <c r="K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forbrug'!K$3,'Forbrug af biomasse'!$B$2:$B$425,$F130)</f>
        <v>0</v>
      </c>
      <c r="L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forbrug'!L$3,'Forbrug af biomasse'!$B$2:$B$425,$F130)</f>
        <v>0</v>
      </c>
      <c r="M130" s="94">
        <f>IF(A130&lt;&gt;"Biogas",SUMIFS('Forbrug af biomasse'!$E$2:$E$425,'Forbrug af biomasse'!$C$2:$C$425,'Resultat-Produktion &amp; forbrug'!$A130,'Forbrug af biomasse'!$D$2:$D$425,'Resultat-Produktion &amp; forbrug'!$E130,'Forbrug af biomasse'!$A$2:$A$425,'Resultat-Produktion &amp; forbrug'!M$3,'Forbrug af biomasse'!$B$2:$B$425,$F130),G130)</f>
        <v>0</v>
      </c>
      <c r="N130" s="94">
        <f>SUMIFS('Forbrug af biomasse'!E:E,'Forbrug af biomasse'!C:C,'Resultat-Produktion &amp; forbrug'!$A130,'Forbrug af biomasse'!D:D,'Resultat-Produktion &amp; forbrug'!$E130,'Forbrug af biomasse'!G:G,1,'Forbrug af biomasse'!B:B,$F130)</f>
        <v>0</v>
      </c>
      <c r="O130" s="179">
        <f t="shared" si="26"/>
        <v>1547190.8284741363</v>
      </c>
      <c r="P130" s="94">
        <f t="shared" si="22"/>
        <v>0</v>
      </c>
      <c r="Q130" s="180">
        <f t="shared" si="27"/>
        <v>0</v>
      </c>
      <c r="R130">
        <f>IFERROR(VLOOKUP(A130,[1]Energiindhold!$A$2:$C$11,3,FALSE),IFERROR(VLOOKUP(A130,[1]Biogasudbytte!$A$2:$B$18,2,FALSE)*[1]Energiindhold!$C$10,0))*P130</f>
        <v>0</v>
      </c>
      <c r="S130">
        <f>IF(A130&lt;&gt;"Biogas",IFERROR(VLOOKUP(A130,[1]Biogasudbytte!$A$2:$B$18,2,FALSE)*[1]Energiindhold!$C$10,0)*K130*IFERROR(VLOOKUP(A130,Biogasanlæg!$F$3:$G$8,2,FALSE),1)+IFERROR(VLOOKUP(A130,[1]Energiindhold!$A$2:$C$11,3,FALSE),0)*M130+IF(E130&lt;&gt;År1,R130,0),0)</f>
        <v>0</v>
      </c>
      <c r="T130">
        <f>IFERROR(VLOOKUP(A130,[1]Biogasudbytte!$A$2:$B$18,2,FALSE)*[1]Energiindhold!$C$10,0)*K130*IFERROR(VLOOKUP(A130,Biogasanlæg!$F$3:$G$8,2,FALSE),1)</f>
        <v>0</v>
      </c>
      <c r="U130" s="170">
        <f t="shared" si="28"/>
        <v>0</v>
      </c>
      <c r="V130" s="169">
        <f>P130*IFERROR(VLOOKUP(A130,[1]Tørstofindhold!A$2:B$24,2,FALSE),0)</f>
        <v>0</v>
      </c>
      <c r="W130">
        <f>IF(E130=År1,Q130,SUM(P130,Q130))*IFERROR(VLOOKUP(A130,[1]Tørstofindhold!A$2:B$24,2,FALSE),0)</f>
        <v>0</v>
      </c>
      <c r="X130">
        <f>K130*IFERROR(VLOOKUP(A130,[1]Tørstofindhold!A$2:B$24,2,FALSE),0)</f>
        <v>0</v>
      </c>
      <c r="Y130" s="170">
        <f t="shared" si="29"/>
        <v>0</v>
      </c>
      <c r="Z130">
        <f t="shared" si="23"/>
        <v>0</v>
      </c>
      <c r="AA130">
        <f t="shared" si="24"/>
        <v>1</v>
      </c>
      <c r="AB130" s="94">
        <f t="shared" si="25"/>
        <v>1547190.8284741363</v>
      </c>
      <c r="AC130">
        <f>AB130*D130*10000*VLOOKUP(A130,[1]kcal!$A$2:$C$49,3,FALSE)/1000000000000</f>
        <v>0.60340442310491316</v>
      </c>
    </row>
    <row r="131" spans="1:29" x14ac:dyDescent="0.25">
      <c r="A131" s="171" t="str">
        <f t="shared" si="36"/>
        <v>Pil &amp; poppel</v>
      </c>
      <c r="B131" s="171" t="str">
        <f t="shared" si="37"/>
        <v>Vedmasse</v>
      </c>
      <c r="C131" s="171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71">
        <f t="shared" si="39"/>
        <v>0</v>
      </c>
      <c r="E131" s="171">
        <f t="shared" si="38"/>
        <v>2050</v>
      </c>
      <c r="F131" t="s">
        <v>23</v>
      </c>
      <c r="G131" s="94">
        <f>IF(F131="Vestdanmark",SUMIFS(IF(E131=År1,'Resultater - Vestdanmark'!H$3:H$504,IF(E131=År2,'Resultater - Vestdanmark'!I$3:I$504,'Resultater - Vestdanmark'!J$3:J$504)),'Resultater - Vestdanmark'!$F$3:$F$504,$A131,IF(E131=År1,'Resultater - Vestdanmark'!H$3:H$504,IF(E131=År2,'Resultater - Vestdanmark'!I$3:I$504,'Resultater - Vestdanmark'!J$3:J$504)),"&gt;0"),SUMIFS(IF(E131=År1,'Resultater - Østdanmark'!H$3:H$504,IF(E131=År2,'Resultater - Østdanmark'!I$3:I$504,'Resultater - Østdanmark'!J$3:J$504)),'Resultater - Østdanmark'!$F$3:$F$504,$A131,IF(E131=År1,'Resultater - Østdanmark'!H$3:H$504,IF(E131=År2,'Resultater - Østdanmark'!I$3:I$504,'Resultater - Østdanmark'!J$3:J$504)),"&gt;0"))</f>
        <v>146472.78733520172</v>
      </c>
      <c r="H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forbrug'!H$3,'Forbrug af biomasse'!$B$2:$B$425,$F131)</f>
        <v>0</v>
      </c>
      <c r="I131">
        <f>IF(F131="Vestdanmark",-IF(A131="Halm",SUMIFS(IF(E131=År1,'Resultater - Vestdanmark'!H$3:H$504,IF(E131=År2,'Resultater - Vestdanmark'!I$3:I$504,'Resultater - Vestdanmark'!J$3:J$504)),'Resultater - Vestdanmark'!$F$3:$F$504,$A131,'Resultater - Vestdanmark'!H$3:H$504,"&lt;0"),0),-IF(A131="Halm",SUMIFS(IF(E131=År1,'Resultater - Østdanmark'!H$3:H$504,IF(E131=År2,'Resultater - Østdanmark'!I$3:I$504,'Resultater - Østdanmark'!J$3:J$504)),'Resultater - Østdanmark'!$F$3:$F$504,$A131,'Resultater - Østdanmark'!H$3:H$504,"&lt;0"),0))</f>
        <v>0</v>
      </c>
      <c r="J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forbrug'!J$3,'Forbrug af biomasse'!$B$2:$B$425,$F131)</f>
        <v>0</v>
      </c>
      <c r="K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forbrug'!K$3,'Forbrug af biomasse'!$B$2:$B$425,$F131)</f>
        <v>0</v>
      </c>
      <c r="L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forbrug'!L$3,'Forbrug af biomasse'!$B$2:$B$425,$F131)</f>
        <v>0</v>
      </c>
      <c r="M131" s="94">
        <f>IF(A131&lt;&gt;"Biogas",SUMIFS('Forbrug af biomasse'!$E$2:$E$425,'Forbrug af biomasse'!$C$2:$C$425,'Resultat-Produktion &amp; forbrug'!$A131,'Forbrug af biomasse'!$D$2:$D$425,'Resultat-Produktion &amp; forbrug'!$E131,'Forbrug af biomasse'!$A$2:$A$425,'Resultat-Produktion &amp; forbrug'!M$3,'Forbrug af biomasse'!$B$2:$B$425,$F131),G131)</f>
        <v>146472.78733520172</v>
      </c>
      <c r="N131" s="94">
        <f>SUMIFS('Forbrug af biomasse'!E:E,'Forbrug af biomasse'!C:C,'Resultat-Produktion &amp; forbrug'!$A131,'Forbrug af biomasse'!D:D,'Resultat-Produktion &amp; forbrug'!$E131,'Forbrug af biomasse'!G:G,1,'Forbrug af biomasse'!B:B,$F131)</f>
        <v>0</v>
      </c>
      <c r="O131" s="179">
        <f t="shared" si="26"/>
        <v>0</v>
      </c>
      <c r="P131" s="94">
        <f t="shared" si="22"/>
        <v>0</v>
      </c>
      <c r="Q131" s="180">
        <f t="shared" si="27"/>
        <v>146472.78733520172</v>
      </c>
      <c r="R131">
        <f>IFERROR(VLOOKUP(A131,[1]Energiindhold!$A$2:$C$11,3,FALSE),IFERROR(VLOOKUP(A131,[1]Biogasudbytte!$A$2:$B$18,2,FALSE)*[1]Energiindhold!$C$10,0))*P131</f>
        <v>0</v>
      </c>
      <c r="S131">
        <f>IF(A131&lt;&gt;"Biogas",IFERROR(VLOOKUP(A131,[1]Biogasudbytte!$A$2:$B$18,2,FALSE)*[1]Energiindhold!$C$10,0)*K131*IFERROR(VLOOKUP(A131,Biogasanlæg!$F$3:$G$8,2,FALSE),1)+IFERROR(VLOOKUP(A131,[1]Energiindhold!$A$2:$C$11,3,FALSE),0)*M131+IF(E131&lt;&gt;År1,R131,0),0)</f>
        <v>2.6950992869677113</v>
      </c>
      <c r="T131">
        <f>IFERROR(VLOOKUP(A131,[1]Biogasudbytte!$A$2:$B$18,2,FALSE)*[1]Energiindhold!$C$10,0)*K131*IFERROR(VLOOKUP(A131,Biogasanlæg!$F$3:$G$8,2,FALSE),1)</f>
        <v>0</v>
      </c>
      <c r="U131" s="170">
        <f t="shared" si="28"/>
        <v>2.6950992869677113</v>
      </c>
      <c r="V131" s="169">
        <f>P131*IFERROR(VLOOKUP(A131,[1]Tørstofindhold!A$2:B$24,2,FALSE),0)</f>
        <v>0</v>
      </c>
      <c r="W131">
        <f>IF(E131=År1,Q131,SUM(P131,Q131))*IFERROR(VLOOKUP(A131,[1]Tørstofindhold!A$2:B$24,2,FALSE),0)</f>
        <v>60786.20674410872</v>
      </c>
      <c r="X131">
        <f>K131*IFERROR(VLOOKUP(A131,[1]Tørstofindhold!A$2:B$24,2,FALSE),0)</f>
        <v>0</v>
      </c>
      <c r="Y131" s="170">
        <f t="shared" si="29"/>
        <v>60786.20674410872</v>
      </c>
      <c r="Z131">
        <f t="shared" si="23"/>
        <v>0</v>
      </c>
      <c r="AA131">
        <f t="shared" si="24"/>
        <v>0</v>
      </c>
      <c r="AB131" s="94">
        <f t="shared" si="25"/>
        <v>146472.78733520172</v>
      </c>
      <c r="AC131">
        <f>AB131*D131*10000*VLOOKUP(A131,[1]kcal!$A$2:$C$49,3,FALSE)/1000000000000</f>
        <v>0</v>
      </c>
    </row>
    <row r="132" spans="1:29" x14ac:dyDescent="0.25">
      <c r="A132" s="171" t="str">
        <f t="shared" ref="A132:A133" si="40">A84</f>
        <v>Pyrolysegas</v>
      </c>
      <c r="B132" s="171" t="str">
        <f t="shared" ref="B132:B133" si="41">IF(B84&lt;&gt;"",B84,"")</f>
        <v>Pyrolyseprodukter</v>
      </c>
      <c r="C132" s="171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71">
        <f t="shared" si="39"/>
        <v>0</v>
      </c>
      <c r="E132" s="171">
        <f t="shared" si="38"/>
        <v>2050</v>
      </c>
      <c r="F132" t="s">
        <v>23</v>
      </c>
      <c r="G132" s="94">
        <f ca="1">IF(F132="Vestdanmark",SUMIFS(IF(E132=År1,'Resultater - Vestdanmark'!H$3:H$504,IF(E132=År2,'Resultater - Vestdanmark'!I$3:I$504,'Resultater - Vestdanmark'!J$3:J$504)),'Resultater - Vestdanmark'!$F$3:$F$504,$A132,IF(E132=År1,'Resultater - Vestdanmark'!H$3:H$504,IF(E132=År2,'Resultater - Vestdanmark'!I$3:I$504,'Resultater - Vestdanmark'!J$3:J$504)),"&gt;0"),SUMIFS(IF(E132=År1,'Resultater - Østdanmark'!H$3:H$504,IF(E132=År2,'Resultater - Østdanmark'!I$3:I$504,'Resultater - Østdanmark'!J$3:J$504)),'Resultater - Østdanmark'!$F$3:$F$504,$A132,IF(E132=År1,'Resultater - Østdanmark'!H$3:H$504,IF(E132=År2,'Resultater - Østdanmark'!I$3:I$504,'Resultater - Østdanmark'!J$3:J$504)),"&gt;0"))</f>
        <v>0</v>
      </c>
      <c r="H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forbrug'!H$3,'Forbrug af biomasse'!$B$2:$B$425,$F132)</f>
        <v>0</v>
      </c>
      <c r="I132">
        <f>IF(F132="Vestdanmark",-IF(A132="Halm",SUMIFS(IF(E132=År1,'Resultater - Vestdanmark'!H$3:H$504,IF(E132=År2,'Resultater - Vestdanmark'!I$3:I$504,'Resultater - Vestdanmark'!J$3:J$504)),'Resultater - Vestdanmark'!$F$3:$F$504,$A132,'Resultater - Vestdanmark'!H$3:H$504,"&lt;0"),0),-IF(A132="Halm",SUMIFS(IF(E132=År1,'Resultater - Østdanmark'!H$3:H$504,IF(E132=År2,'Resultater - Østdanmark'!I$3:I$504,'Resultater - Østdanmark'!J$3:J$504)),'Resultater - Østdanmark'!$F$3:$F$504,$A132,'Resultater - Østdanmark'!H$3:H$504,"&lt;0"),0))</f>
        <v>0</v>
      </c>
      <c r="J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forbrug'!J$3,'Forbrug af biomasse'!$B$2:$B$425,$F132)</f>
        <v>0</v>
      </c>
      <c r="K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forbrug'!K$3,'Forbrug af biomasse'!$B$2:$B$425,$F132)</f>
        <v>0</v>
      </c>
      <c r="L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forbrug'!L$3,'Forbrug af biomasse'!$B$2:$B$425,$F132)</f>
        <v>0</v>
      </c>
      <c r="M132" s="94">
        <f ca="1">IF(A132&lt;&gt;"Biogas",SUMIFS('Forbrug af biomasse'!$E$2:$E$425,'Forbrug af biomasse'!$C$2:$C$425,'Resultat-Produktion &amp; forbrug'!$A132,'Forbrug af biomasse'!$D$2:$D$425,'Resultat-Produktion &amp; forbrug'!$E132,'Forbrug af biomasse'!$A$2:$A$425,'Resultat-Produktion &amp; forbrug'!M$3,'Forbrug af biomasse'!$B$2:$B$425,$F132),G132)</f>
        <v>0</v>
      </c>
      <c r="N132" s="94">
        <f>SUMIFS('Forbrug af biomasse'!E:E,'Forbrug af biomasse'!C:C,'Resultat-Produktion &amp; forbrug'!$A132,'Forbrug af biomasse'!D:D,'Resultat-Produktion &amp; forbrug'!$E132,'Forbrug af biomasse'!G:G,1,'Forbrug af biomasse'!B:B,$F132)</f>
        <v>0</v>
      </c>
      <c r="O132" s="179">
        <f t="shared" ref="O132:O133" ca="1" si="42">G132-SUM(H132:N132)</f>
        <v>0</v>
      </c>
      <c r="P132" s="94">
        <f t="shared" ref="P132:P195" ca="1" si="43">IF(C132=1,IF(O132+IF(SUMIFS($O$4:$O$291,$A$4:$A$291,A132,$E$4:$E$291,E132,$F$4:$F$291,"&lt;&gt;"&amp;F132)&lt;0,SUMIFS($O$4:$O$291,$A$4:$A$291,A132,$E$4:$E$291,E132,$F$4:$F$291,"&lt;&gt;"&amp;F132),0)&gt;0,O132+IF(SUMIFS($O$4:$O$291,$A$4:$A$291,A132,$E$4:$E$291,E132,$F$4:$F$291,"&lt;&gt;"&amp;F132)&lt;0,SUMIFS($O$4:$O$291,$A$4:$A$291,A132,$E$4:$E$291,E132,$F$4:$F$291,"&lt;&gt;"&amp;F132),0),0),0)</f>
        <v>0</v>
      </c>
      <c r="Q132" s="180">
        <f t="shared" ref="Q132:Q133" ca="1" si="44">SUM(K132,M132)</f>
        <v>0</v>
      </c>
      <c r="R132">
        <f ca="1">IFERROR(VLOOKUP(A132,[1]Energiindhold!$A$2:$C$11,3,FALSE),IFERROR(VLOOKUP(A132,[1]Biogasudbytte!$A$2:$B$18,2,FALSE)*[1]Energiindhold!$C$10,0))*P132</f>
        <v>0</v>
      </c>
      <c r="S132">
        <f ca="1">IF(A132&lt;&gt;"Biogas",IFERROR(VLOOKUP(A132,[1]Biogasudbytte!$A$2:$B$18,2,FALSE)*[1]Energiindhold!$C$10,0)*K132*IFERROR(VLOOKUP(A132,Biogasanlæg!$F$3:$G$8,2,FALSE),1)+IFERROR(VLOOKUP(A132,[1]Energiindhold!$A$2:$C$11,3,FALSE),0)*M132+IF(E132&lt;&gt;År1,R132,0),0)</f>
        <v>0</v>
      </c>
      <c r="T132">
        <f>IFERROR(VLOOKUP(A132,[1]Biogasudbytte!$A$2:$B$18,2,FALSE)*[1]Energiindhold!$C$10,0)*K132*IFERROR(VLOOKUP(A132,Biogasanlæg!$F$3:$G$8,2,FALSE),1)</f>
        <v>0</v>
      </c>
      <c r="U132" s="170">
        <f t="shared" ref="U132:U133" ca="1" si="45">S132-T132</f>
        <v>0</v>
      </c>
      <c r="V132" s="169">
        <f ca="1">P132*IFERROR(VLOOKUP(A132,[1]Tørstofindhold!A$2:B$24,2,FALSE),0)</f>
        <v>0</v>
      </c>
      <c r="W132">
        <f ca="1">IF(E132=År1,Q132,SUM(P132,Q132))*IFERROR(VLOOKUP(A132,[1]Tørstofindhold!A$2:B$24,2,FALSE),0)</f>
        <v>0</v>
      </c>
      <c r="X132">
        <f>K132*IFERROR(VLOOKUP(A132,[1]Tørstofindhold!A$2:B$24,2,FALSE),0)</f>
        <v>0</v>
      </c>
      <c r="Y132" s="170">
        <f t="shared" ref="Y132:Y133" ca="1" si="46">W132-X132</f>
        <v>0</v>
      </c>
      <c r="Z132">
        <f t="shared" ref="Z132:Z195" ca="1" si="47">IF(SUMIFS($O$4:$O$291,$A$4:$A$291,A132,$E$4:$E$291,E132)&lt;0,1,0)</f>
        <v>0</v>
      </c>
      <c r="AA132">
        <f t="shared" ref="AA132:AA195" ca="1" si="48">IF(SUMIFS($O$4:$O$291,$A$4:$A$291,A132,$E$4:$E$291,E132)&gt;0,1,0)</f>
        <v>0</v>
      </c>
      <c r="AB132" s="94">
        <f t="shared" ca="1" si="25"/>
        <v>0</v>
      </c>
      <c r="AC132">
        <f ca="1">AB132*D132*10000*VLOOKUP(A132,[1]kcal!$A$2:$C$49,3,FALSE)/1000000000000</f>
        <v>0</v>
      </c>
    </row>
    <row r="133" spans="1:29" x14ac:dyDescent="0.25">
      <c r="A133" s="171" t="str">
        <f t="shared" si="40"/>
        <v>Pyrolyseolie</v>
      </c>
      <c r="B133" s="171" t="str">
        <f t="shared" si="41"/>
        <v>Pyrolyseprodukter</v>
      </c>
      <c r="C133" s="171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1</v>
      </c>
      <c r="D133" s="171">
        <f t="shared" si="39"/>
        <v>0</v>
      </c>
      <c r="E133" s="171">
        <f t="shared" si="38"/>
        <v>2050</v>
      </c>
      <c r="F133" t="s">
        <v>23</v>
      </c>
      <c r="G133" s="94">
        <f ca="1">IF(F133="Vestdanmark",SUMIFS(IF(E133=År1,'Resultater - Vestdanmark'!H$3:H$504,IF(E133=År2,'Resultater - Vestdanmark'!I$3:I$504,'Resultater - Vestdanmark'!J$3:J$504)),'Resultater - Vestdanmark'!$F$3:$F$504,$A133,IF(E133=År1,'Resultater - Vestdanmark'!H$3:H$504,IF(E133=År2,'Resultater - Vestdanmark'!I$3:I$504,'Resultater - Vestdanmark'!J$3:J$504)),"&gt;0"),SUMIFS(IF(E133=År1,'Resultater - Østdanmark'!H$3:H$504,IF(E133=År2,'Resultater - Østdanmark'!I$3:I$504,'Resultater - Østdanmark'!J$3:J$504)),'Resultater - Østdanmark'!$F$3:$F$504,$A133,IF(E133=År1,'Resultater - Østdanmark'!H$3:H$504,IF(E133=År2,'Resultater - Østdanmark'!I$3:I$504,'Resultater - Østdanmark'!J$3:J$504)),"&gt;0"))</f>
        <v>0</v>
      </c>
      <c r="H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forbrug'!H$3,'Forbrug af biomasse'!$B$2:$B$425,$F133)</f>
        <v>0</v>
      </c>
      <c r="I133">
        <f>IF(F133="Vestdanmark",-IF(A133="Halm",SUMIFS(IF(E133=År1,'Resultater - Vestdanmark'!H$3:H$504,IF(E133=År2,'Resultater - Vestdanmark'!I$3:I$504,'Resultater - Vestdanmark'!J$3:J$504)),'Resultater - Vestdanmark'!$F$3:$F$504,$A133,'Resultater - Vestdanmark'!H$3:H$504,"&lt;0"),0),-IF(A133="Halm",SUMIFS(IF(E133=År1,'Resultater - Østdanmark'!H$3:H$504,IF(E133=År2,'Resultater - Østdanmark'!I$3:I$504,'Resultater - Østdanmark'!J$3:J$504)),'Resultater - Østdanmark'!$F$3:$F$504,$A133,'Resultater - Østdanmark'!H$3:H$504,"&lt;0"),0))</f>
        <v>0</v>
      </c>
      <c r="J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forbrug'!J$3,'Forbrug af biomasse'!$B$2:$B$425,$F133)</f>
        <v>0</v>
      </c>
      <c r="K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forbrug'!K$3,'Forbrug af biomasse'!$B$2:$B$425,$F133)</f>
        <v>0</v>
      </c>
      <c r="L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forbrug'!L$3,'Forbrug af biomasse'!$B$2:$B$425,$F133)</f>
        <v>0</v>
      </c>
      <c r="M133" s="94">
        <f ca="1">IF(A133&lt;&gt;"Biogas",SUMIFS('Forbrug af biomasse'!$E$2:$E$425,'Forbrug af biomasse'!$C$2:$C$425,'Resultat-Produktion &amp; forbrug'!$A133,'Forbrug af biomasse'!$D$2:$D$425,'Resultat-Produktion &amp; forbrug'!$E133,'Forbrug af biomasse'!$A$2:$A$425,'Resultat-Produktion &amp; forbrug'!M$3,'Forbrug af biomasse'!$B$2:$B$425,$F133),G133)</f>
        <v>0</v>
      </c>
      <c r="N133" s="94">
        <f>SUMIFS('Forbrug af biomasse'!E:E,'Forbrug af biomasse'!C:C,'Resultat-Produktion &amp; forbrug'!$A133,'Forbrug af biomasse'!D:D,'Resultat-Produktion &amp; forbrug'!$E133,'Forbrug af biomasse'!G:G,1,'Forbrug af biomasse'!B:B,$F133)</f>
        <v>0</v>
      </c>
      <c r="O133" s="179">
        <f t="shared" ca="1" si="42"/>
        <v>0</v>
      </c>
      <c r="P133" s="94">
        <f t="shared" ca="1" si="43"/>
        <v>0</v>
      </c>
      <c r="Q133" s="180">
        <f t="shared" ca="1" si="44"/>
        <v>0</v>
      </c>
      <c r="R133">
        <f ca="1">IFERROR(VLOOKUP(A133,[1]Energiindhold!$A$2:$C$11,3,FALSE),IFERROR(VLOOKUP(A133,[1]Biogasudbytte!$A$2:$B$18,2,FALSE)*[1]Energiindhold!$C$10,0))*P133</f>
        <v>0</v>
      </c>
      <c r="S133">
        <f ca="1">IF(A133&lt;&gt;"Biogas",IFERROR(VLOOKUP(A133,[1]Biogasudbytte!$A$2:$B$18,2,FALSE)*[1]Energiindhold!$C$10,0)*K133*IFERROR(VLOOKUP(A133,Biogasanlæg!$F$3:$G$8,2,FALSE),1)+IFERROR(VLOOKUP(A133,[1]Energiindhold!$A$2:$C$11,3,FALSE),0)*M133+IF(E133&lt;&gt;År1,R133,0),0)</f>
        <v>0</v>
      </c>
      <c r="T133">
        <f>IFERROR(VLOOKUP(A133,[1]Biogasudbytte!$A$2:$B$18,2,FALSE)*[1]Energiindhold!$C$10,0)*K133*IFERROR(VLOOKUP(A133,Biogasanlæg!$F$3:$G$8,2,FALSE),1)</f>
        <v>0</v>
      </c>
      <c r="U133" s="170">
        <f t="shared" ca="1" si="45"/>
        <v>0</v>
      </c>
      <c r="V133" s="169">
        <f ca="1">P133*IFERROR(VLOOKUP(A133,[1]Tørstofindhold!A$2:B$24,2,FALSE),0)</f>
        <v>0</v>
      </c>
      <c r="W133">
        <f ca="1">IF(E133=År1,Q133,SUM(P133,Q133))*IFERROR(VLOOKUP(A133,[1]Tørstofindhold!A$2:B$24,2,FALSE),0)</f>
        <v>0</v>
      </c>
      <c r="X133">
        <f>K133*IFERROR(VLOOKUP(A133,[1]Tørstofindhold!A$2:B$24,2,FALSE),0)</f>
        <v>0</v>
      </c>
      <c r="Y133" s="170">
        <f t="shared" ca="1" si="46"/>
        <v>0</v>
      </c>
      <c r="Z133">
        <f t="shared" ca="1" si="47"/>
        <v>0</v>
      </c>
      <c r="AA133">
        <f t="shared" ca="1" si="48"/>
        <v>0</v>
      </c>
      <c r="AB133" s="94">
        <f t="shared" ref="AB133:AB196" ca="1" si="49">G133-SUMPRODUCT($H$2:$N$2,H133:N133)</f>
        <v>0</v>
      </c>
      <c r="AC133">
        <f ca="1">AB133*D133*10000*VLOOKUP(A133,[1]kcal!$A$2:$C$49,3,FALSE)/1000000000000</f>
        <v>0</v>
      </c>
    </row>
    <row r="134" spans="1:29" x14ac:dyDescent="0.25">
      <c r="A134" s="171" t="str">
        <f t="shared" ref="A134:A147" si="50">A86</f>
        <v>Råmælk</v>
      </c>
      <c r="B134" s="171" t="str">
        <f t="shared" ref="B134:B147" si="51">IF(B86&lt;&gt;"",B86,"")</f>
        <v/>
      </c>
      <c r="C134" s="171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71">
        <f t="shared" si="39"/>
        <v>0</v>
      </c>
      <c r="E134" s="171">
        <f t="shared" si="38"/>
        <v>2050</v>
      </c>
      <c r="F134" t="s">
        <v>23</v>
      </c>
      <c r="G134" s="94">
        <f>IF(F134="Vestdanmark",SUMIFS(IF(E134=År1,'Resultater - Vestdanmark'!H$3:H$504,IF(E134=År2,'Resultater - Vestdanmark'!I$3:I$504,'Resultater - Vestdanmark'!J$3:J$504)),'Resultater - Vestdanmark'!$F$3:$F$504,$A134,IF(E134=År1,'Resultater - Vestdanmark'!H$3:H$504,IF(E134=År2,'Resultater - Vestdanmark'!I$3:I$504,'Resultater - Vestdanmark'!J$3:J$504)),"&gt;0"),SUMIFS(IF(E134=År1,'Resultater - Østdanmark'!H$3:H$504,IF(E134=År2,'Resultater - Østdanmark'!I$3:I$504,'Resultater - Østdanmark'!J$3:J$504)),'Resultater - Østdanmark'!$F$3:$F$504,$A134,IF(E134=År1,'Resultater - Østdanmark'!H$3:H$504,IF(E134=År2,'Resultater - Østdanmark'!I$3:I$504,'Resultater - Østdanmark'!J$3:J$504)),"&gt;0"))</f>
        <v>4779961.9648844432</v>
      </c>
      <c r="H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forbrug'!H$3,'Forbrug af biomasse'!$B$2:$B$425,$F134)</f>
        <v>0</v>
      </c>
      <c r="I134">
        <f>IF(F134="Vestdanmark",-IF(A134="Halm",SUMIFS(IF(E134=År1,'Resultater - Vestdanmark'!H$3:H$504,IF(E134=År2,'Resultater - Vestdanmark'!I$3:I$504,'Resultater - Vestdanmark'!J$3:J$504)),'Resultater - Vestdanmark'!$F$3:$F$504,$A134,'Resultater - Vestdanmark'!H$3:H$504,"&lt;0"),0),-IF(A134="Halm",SUMIFS(IF(E134=År1,'Resultater - Østdanmark'!H$3:H$504,IF(E134=År2,'Resultater - Østdanmark'!I$3:I$504,'Resultater - Østdanmark'!J$3:J$504)),'Resultater - Østdanmark'!$F$3:$F$504,$A134,'Resultater - Østdanmark'!H$3:H$504,"&lt;0"),0))</f>
        <v>0</v>
      </c>
      <c r="J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forbrug'!J$3,'Forbrug af biomasse'!$B$2:$B$425,$F134)</f>
        <v>0</v>
      </c>
      <c r="K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forbrug'!K$3,'Forbrug af biomasse'!$B$2:$B$425,$F134)</f>
        <v>0</v>
      </c>
      <c r="L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forbrug'!L$3,'Forbrug af biomasse'!$B$2:$B$425,$F134)</f>
        <v>0</v>
      </c>
      <c r="M134" s="94">
        <f>IF(A134&lt;&gt;"Biogas",SUMIFS('Forbrug af biomasse'!$E$2:$E$425,'Forbrug af biomasse'!$C$2:$C$425,'Resultat-Produktion &amp; forbrug'!$A134,'Forbrug af biomasse'!$D$2:$D$425,'Resultat-Produktion &amp; forbrug'!$E134,'Forbrug af biomasse'!$A$2:$A$425,'Resultat-Produktion &amp; forbrug'!M$3,'Forbrug af biomasse'!$B$2:$B$425,$F134),G134)</f>
        <v>0</v>
      </c>
      <c r="N134" s="94">
        <f>SUMIFS('Forbrug af biomasse'!E:E,'Forbrug af biomasse'!C:C,'Resultat-Produktion &amp; forbrug'!$A134,'Forbrug af biomasse'!D:D,'Resultat-Produktion &amp; forbrug'!$E134,'Forbrug af biomasse'!G:G,1,'Forbrug af biomasse'!B:B,$F134)</f>
        <v>0</v>
      </c>
      <c r="O134" s="179">
        <f t="shared" si="26"/>
        <v>4779961.9648844432</v>
      </c>
      <c r="P134" s="94">
        <f t="shared" si="43"/>
        <v>0</v>
      </c>
      <c r="Q134" s="180">
        <f t="shared" si="27"/>
        <v>0</v>
      </c>
      <c r="R134">
        <f>IFERROR(VLOOKUP(A134,[1]Energiindhold!$A$2:$C$11,3,FALSE),IFERROR(VLOOKUP(A134,[1]Biogasudbytte!$A$2:$B$18,2,FALSE)*[1]Energiindhold!$C$10,0))*P134</f>
        <v>0</v>
      </c>
      <c r="S134">
        <f>IF(A134&lt;&gt;"Biogas",IFERROR(VLOOKUP(A134,[1]Biogasudbytte!$A$2:$B$18,2,FALSE)*[1]Energiindhold!$C$10,0)*K134*IFERROR(VLOOKUP(A134,Biogasanlæg!$F$3:$G$8,2,FALSE),1)+IFERROR(VLOOKUP(A134,[1]Energiindhold!$A$2:$C$11,3,FALSE),0)*M134+IF(E134&lt;&gt;År1,R134,0),0)</f>
        <v>0</v>
      </c>
      <c r="T134">
        <f>IFERROR(VLOOKUP(A134,[1]Biogasudbytte!$A$2:$B$18,2,FALSE)*[1]Energiindhold!$C$10,0)*K134*IFERROR(VLOOKUP(A134,Biogasanlæg!$F$3:$G$8,2,FALSE),1)</f>
        <v>0</v>
      </c>
      <c r="U134" s="170">
        <f t="shared" si="28"/>
        <v>0</v>
      </c>
      <c r="V134" s="169">
        <f>P134*IFERROR(VLOOKUP(A134,[1]Tørstofindhold!A$2:B$24,2,FALSE),0)</f>
        <v>0</v>
      </c>
      <c r="W134">
        <f>IF(E134=År1,Q134,SUM(P134,Q134))*IFERROR(VLOOKUP(A134,[1]Tørstofindhold!A$2:B$24,2,FALSE),0)</f>
        <v>0</v>
      </c>
      <c r="X134">
        <f>K134*IFERROR(VLOOKUP(A134,[1]Tørstofindhold!A$2:B$24,2,FALSE),0)</f>
        <v>0</v>
      </c>
      <c r="Y134" s="170">
        <f t="shared" si="29"/>
        <v>0</v>
      </c>
      <c r="Z134">
        <f t="shared" ca="1" si="47"/>
        <v>0</v>
      </c>
      <c r="AA134">
        <f t="shared" ca="1" si="48"/>
        <v>1</v>
      </c>
      <c r="AB134" s="94">
        <f t="shared" si="49"/>
        <v>4779961.9648844432</v>
      </c>
      <c r="AC134">
        <f>AB134*D134*10000*VLOOKUP(A134,[1]kcal!$A$2:$C$49,3,FALSE)/1000000000000</f>
        <v>0</v>
      </c>
    </row>
    <row r="135" spans="1:29" x14ac:dyDescent="0.25">
      <c r="A135" s="171" t="str">
        <f t="shared" si="50"/>
        <v>Raps</v>
      </c>
      <c r="B135" s="171" t="str">
        <f t="shared" si="51"/>
        <v/>
      </c>
      <c r="C135" s="171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71">
        <f t="shared" si="39"/>
        <v>0</v>
      </c>
      <c r="E135" s="171">
        <f t="shared" si="38"/>
        <v>2050</v>
      </c>
      <c r="F135" t="s">
        <v>23</v>
      </c>
      <c r="G135" s="94">
        <f>IF(F135="Vestdanmark",SUMIFS(IF(E135=År1,'Resultater - Vestdanmark'!H$3:H$504,IF(E135=År2,'Resultater - Vestdanmark'!I$3:I$504,'Resultater - Vestdanmark'!J$3:J$504)),'Resultater - Vestdanmark'!$F$3:$F$504,$A135,IF(E135=År1,'Resultater - Vestdanmark'!H$3:H$504,IF(E135=År2,'Resultater - Vestdanmark'!I$3:I$504,'Resultater - Vestdanmark'!J$3:J$504)),"&gt;0"),SUMIFS(IF(E135=År1,'Resultater - Østdanmark'!H$3:H$504,IF(E135=År2,'Resultater - Østdanmark'!I$3:I$504,'Resultater - Østdanmark'!J$3:J$504)),'Resultater - Østdanmark'!$F$3:$F$504,$A135,IF(E135=År1,'Resultater - Østdanmark'!H$3:H$504,IF(E135=År2,'Resultater - Østdanmark'!I$3:I$504,'Resultater - Østdanmark'!J$3:J$504)),"&gt;0"))</f>
        <v>471962.43365815014</v>
      </c>
      <c r="H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forbrug'!H$3,'Forbrug af biomasse'!$B$2:$B$425,$F135)</f>
        <v>0</v>
      </c>
      <c r="I135">
        <f>IF(F135="Vestdanmark",-IF(A135="Halm",SUMIFS(IF(E135=År1,'Resultater - Vestdanmark'!H$3:H$504,IF(E135=År2,'Resultater - Vestdanmark'!I$3:I$504,'Resultater - Vestdanmark'!J$3:J$504)),'Resultater - Vestdanmark'!$F$3:$F$504,$A135,'Resultater - Vestdanmark'!H$3:H$504,"&lt;0"),0),-IF(A135="Halm",SUMIFS(IF(E135=År1,'Resultater - Østdanmark'!H$3:H$504,IF(E135=År2,'Resultater - Østdanmark'!I$3:I$504,'Resultater - Østdanmark'!J$3:J$504)),'Resultater - Østdanmark'!$F$3:$F$504,$A135,'Resultater - Østdanmark'!H$3:H$504,"&lt;0"),0))</f>
        <v>0</v>
      </c>
      <c r="J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forbrug'!J$3,'Forbrug af biomasse'!$B$2:$B$425,$F135)</f>
        <v>0</v>
      </c>
      <c r="K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forbrug'!K$3,'Forbrug af biomasse'!$B$2:$B$425,$F135)</f>
        <v>0</v>
      </c>
      <c r="L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forbrug'!L$3,'Forbrug af biomasse'!$B$2:$B$425,$F135)</f>
        <v>0</v>
      </c>
      <c r="M135" s="94">
        <f>IF(A135&lt;&gt;"Biogas",SUMIFS('Forbrug af biomasse'!$E$2:$E$425,'Forbrug af biomasse'!$C$2:$C$425,'Resultat-Produktion &amp; forbrug'!$A135,'Forbrug af biomasse'!$D$2:$D$425,'Resultat-Produktion &amp; forbrug'!$E135,'Forbrug af biomasse'!$A$2:$A$425,'Resultat-Produktion &amp; forbrug'!M$3,'Forbrug af biomasse'!$B$2:$B$425,$F135),G135)</f>
        <v>0</v>
      </c>
      <c r="N135" s="94">
        <f>SUMIFS('Forbrug af biomasse'!E:E,'Forbrug af biomasse'!C:C,'Resultat-Produktion &amp; forbrug'!$A135,'Forbrug af biomasse'!D:D,'Resultat-Produktion &amp; forbrug'!$E135,'Forbrug af biomasse'!G:G,1,'Forbrug af biomasse'!B:B,$F135)</f>
        <v>471962.43365815014</v>
      </c>
      <c r="O135" s="179">
        <f t="shared" si="26"/>
        <v>0</v>
      </c>
      <c r="P135" s="94">
        <f t="shared" si="43"/>
        <v>0</v>
      </c>
      <c r="Q135" s="180">
        <f t="shared" si="27"/>
        <v>0</v>
      </c>
      <c r="R135">
        <f>IFERROR(VLOOKUP(A135,[1]Energiindhold!$A$2:$C$11,3,FALSE),IFERROR(VLOOKUP(A135,[1]Biogasudbytte!$A$2:$B$18,2,FALSE)*[1]Energiindhold!$C$10,0))*P135</f>
        <v>0</v>
      </c>
      <c r="S135">
        <f>IF(A135&lt;&gt;"Biogas",IFERROR(VLOOKUP(A135,[1]Biogasudbytte!$A$2:$B$18,2,FALSE)*[1]Energiindhold!$C$10,0)*K135*IFERROR(VLOOKUP(A135,Biogasanlæg!$F$3:$G$8,2,FALSE),1)+IFERROR(VLOOKUP(A135,[1]Energiindhold!$A$2:$C$11,3,FALSE),0)*M135+IF(E135&lt;&gt;År1,R135,0),0)</f>
        <v>0</v>
      </c>
      <c r="T135">
        <f>IFERROR(VLOOKUP(A135,[1]Biogasudbytte!$A$2:$B$18,2,FALSE)*[1]Energiindhold!$C$10,0)*K135*IFERROR(VLOOKUP(A135,Biogasanlæg!$F$3:$G$8,2,FALSE),1)</f>
        <v>0</v>
      </c>
      <c r="U135" s="170">
        <f t="shared" si="28"/>
        <v>0</v>
      </c>
      <c r="V135" s="169">
        <f>P135*IFERROR(VLOOKUP(A135,[1]Tørstofindhold!A$2:B$24,2,FALSE),0)</f>
        <v>0</v>
      </c>
      <c r="W135">
        <f>IF(E135=År1,Q135,SUM(P135,Q135))*IFERROR(VLOOKUP(A135,[1]Tørstofindhold!A$2:B$24,2,FALSE),0)</f>
        <v>0</v>
      </c>
      <c r="X135">
        <f>K135*IFERROR(VLOOKUP(A135,[1]Tørstofindhold!A$2:B$24,2,FALSE),0)</f>
        <v>0</v>
      </c>
      <c r="Y135" s="170">
        <f t="shared" si="29"/>
        <v>0</v>
      </c>
      <c r="Z135">
        <f t="shared" si="47"/>
        <v>0</v>
      </c>
      <c r="AA135">
        <f t="shared" si="48"/>
        <v>0</v>
      </c>
      <c r="AB135" s="94">
        <f t="shared" si="49"/>
        <v>471962.43365815014</v>
      </c>
      <c r="AC135">
        <f>AB135*D135*10000*VLOOKUP(A135,[1]kcal!$A$2:$C$49,3,FALSE)/1000000000000</f>
        <v>0</v>
      </c>
    </row>
    <row r="136" spans="1:29" x14ac:dyDescent="0.25">
      <c r="A136" s="171" t="str">
        <f t="shared" si="50"/>
        <v>Rapskage</v>
      </c>
      <c r="B136" s="171" t="str">
        <f t="shared" si="51"/>
        <v/>
      </c>
      <c r="C136" s="171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0</v>
      </c>
      <c r="D136" s="171">
        <f t="shared" si="39"/>
        <v>0</v>
      </c>
      <c r="E136" s="171">
        <f t="shared" si="38"/>
        <v>2050</v>
      </c>
      <c r="F136" t="s">
        <v>23</v>
      </c>
      <c r="G136" s="94">
        <f>IF(F136="Vestdanmark",SUMIFS(IF(E136=År1,'Resultater - Vestdanmark'!H$3:H$504,IF(E136=År2,'Resultater - Vestdanmark'!I$3:I$504,'Resultater - Vestdanmark'!J$3:J$504)),'Resultater - Vestdanmark'!$F$3:$F$504,$A136,IF(E136=År1,'Resultater - Vestdanmark'!H$3:H$504,IF(E136=År2,'Resultater - Vestdanmark'!I$3:I$504,'Resultater - Vestdanmark'!J$3:J$504)),"&gt;0"),SUMIFS(IF(E136=År1,'Resultater - Østdanmark'!H$3:H$504,IF(E136=År2,'Resultater - Østdanmark'!I$3:I$504,'Resultater - Østdanmark'!J$3:J$504)),'Resultater - Østdanmark'!$F$3:$F$504,$A136,IF(E136=År1,'Resultater - Østdanmark'!H$3:H$504,IF(E136=År2,'Resultater - Østdanmark'!I$3:I$504,'Resultater - Østdanmark'!J$3:J$504)),"&gt;0"))</f>
        <v>235981.21682907507</v>
      </c>
      <c r="H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forbrug'!H$3,'Forbrug af biomasse'!$B$2:$B$425,$F136)</f>
        <v>199225.59614708141</v>
      </c>
      <c r="I136">
        <f>IF(F136="Vestdanmark",-IF(A136="Halm",SUMIFS(IF(E136=År1,'Resultater - Vestdanmark'!H$3:H$504,IF(E136=År2,'Resultater - Vestdanmark'!I$3:I$504,'Resultater - Vestdanmark'!J$3:J$504)),'Resultater - Vestdanmark'!$F$3:$F$504,$A136,'Resultater - Vestdanmark'!H$3:H$504,"&lt;0"),0),-IF(A136="Halm",SUMIFS(IF(E136=År1,'Resultater - Østdanmark'!H$3:H$504,IF(E136=År2,'Resultater - Østdanmark'!I$3:I$504,'Resultater - Østdanmark'!J$3:J$504)),'Resultater - Østdanmark'!$F$3:$F$504,$A136,'Resultater - Østdanmark'!H$3:H$504,"&lt;0"),0))</f>
        <v>0</v>
      </c>
      <c r="J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forbrug'!J$3,'Forbrug af biomasse'!$B$2:$B$425,$F136)</f>
        <v>0</v>
      </c>
      <c r="K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forbrug'!K$3,'Forbrug af biomasse'!$B$2:$B$425,$F136)</f>
        <v>0</v>
      </c>
      <c r="L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forbrug'!L$3,'Forbrug af biomasse'!$B$2:$B$425,$F136)</f>
        <v>0</v>
      </c>
      <c r="M136" s="94">
        <f>IF(A136&lt;&gt;"Biogas",SUMIFS('Forbrug af biomasse'!$E$2:$E$425,'Forbrug af biomasse'!$C$2:$C$425,'Resultat-Produktion &amp; forbrug'!$A136,'Forbrug af biomasse'!$D$2:$D$425,'Resultat-Produktion &amp; forbrug'!$E136,'Forbrug af biomasse'!$A$2:$A$425,'Resultat-Produktion &amp; forbrug'!M$3,'Forbrug af biomasse'!$B$2:$B$425,$F136),G136)</f>
        <v>0</v>
      </c>
      <c r="N136" s="94">
        <f>SUMIFS('Forbrug af biomasse'!E:E,'Forbrug af biomasse'!C:C,'Resultat-Produktion &amp; forbrug'!$A136,'Forbrug af biomasse'!D:D,'Resultat-Produktion &amp; forbrug'!$E136,'Forbrug af biomasse'!G:G,1,'Forbrug af biomasse'!B:B,$F136)</f>
        <v>0</v>
      </c>
      <c r="O136" s="179">
        <f t="shared" si="26"/>
        <v>36755.620681993663</v>
      </c>
      <c r="P136" s="94">
        <f t="shared" si="43"/>
        <v>0</v>
      </c>
      <c r="Q136" s="180">
        <f t="shared" si="27"/>
        <v>0</v>
      </c>
      <c r="R136">
        <f>IFERROR(VLOOKUP(A136,[1]Energiindhold!$A$2:$C$11,3,FALSE),IFERROR(VLOOKUP(A136,[1]Biogasudbytte!$A$2:$B$18,2,FALSE)*[1]Energiindhold!$C$10,0))*P136</f>
        <v>0</v>
      </c>
      <c r="S136">
        <f>IF(A136&lt;&gt;"Biogas",IFERROR(VLOOKUP(A136,[1]Biogasudbytte!$A$2:$B$18,2,FALSE)*[1]Energiindhold!$C$10,0)*K136*IFERROR(VLOOKUP(A136,Biogasanlæg!$F$3:$G$8,2,FALSE),1)+IFERROR(VLOOKUP(A136,[1]Energiindhold!$A$2:$C$11,3,FALSE),0)*M136+IF(E136&lt;&gt;År1,R136,0),0)</f>
        <v>0</v>
      </c>
      <c r="T136">
        <f>IFERROR(VLOOKUP(A136,[1]Biogasudbytte!$A$2:$B$18,2,FALSE)*[1]Energiindhold!$C$10,0)*K136*IFERROR(VLOOKUP(A136,Biogasanlæg!$F$3:$G$8,2,FALSE),1)</f>
        <v>0</v>
      </c>
      <c r="U136" s="170">
        <f t="shared" si="28"/>
        <v>0</v>
      </c>
      <c r="V136" s="169">
        <f>P136*IFERROR(VLOOKUP(A136,[1]Tørstofindhold!A$2:B$24,2,FALSE),0)</f>
        <v>0</v>
      </c>
      <c r="W136">
        <f>IF(E136=År1,Q136,SUM(P136,Q136))*IFERROR(VLOOKUP(A136,[1]Tørstofindhold!A$2:B$24,2,FALSE),0)</f>
        <v>0</v>
      </c>
      <c r="X136">
        <f>K136*IFERROR(VLOOKUP(A136,[1]Tørstofindhold!A$2:B$24,2,FALSE),0)</f>
        <v>0</v>
      </c>
      <c r="Y136" s="170">
        <f t="shared" si="29"/>
        <v>0</v>
      </c>
      <c r="Z136">
        <f t="shared" ca="1" si="47"/>
        <v>0</v>
      </c>
      <c r="AA136">
        <f t="shared" ca="1" si="48"/>
        <v>1</v>
      </c>
      <c r="AB136" s="94">
        <f t="shared" si="49"/>
        <v>36755.620681993663</v>
      </c>
      <c r="AC136">
        <f>AB136*D136*10000*VLOOKUP(A136,[1]kcal!$A$2:$C$49,3,FALSE)/1000000000000</f>
        <v>0</v>
      </c>
    </row>
    <row r="137" spans="1:29" x14ac:dyDescent="0.25">
      <c r="A137" s="171" t="str">
        <f t="shared" si="50"/>
        <v>Rapsolie</v>
      </c>
      <c r="B137" s="171" t="str">
        <f t="shared" si="51"/>
        <v>Rapsolie</v>
      </c>
      <c r="C137" s="171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71">
        <f t="shared" si="39"/>
        <v>1</v>
      </c>
      <c r="E137" s="171">
        <f t="shared" si="38"/>
        <v>2050</v>
      </c>
      <c r="F137" t="s">
        <v>23</v>
      </c>
      <c r="G137" s="94">
        <f>IF(F137="Vestdanmark",SUMIFS(IF(E137=År1,'Resultater - Vestdanmark'!H$3:H$504,IF(E137=År2,'Resultater - Vestdanmark'!I$3:I$504,'Resultater - Vestdanmark'!J$3:J$504)),'Resultater - Vestdanmark'!$F$3:$F$504,$A137,IF(E137=År1,'Resultater - Vestdanmark'!H$3:H$504,IF(E137=År2,'Resultater - Vestdanmark'!I$3:I$504,'Resultater - Vestdanmark'!J$3:J$504)),"&gt;0"),SUMIFS(IF(E137=År1,'Resultater - Østdanmark'!H$3:H$504,IF(E137=År2,'Resultater - Østdanmark'!I$3:I$504,'Resultater - Østdanmark'!J$3:J$504)),'Resultater - Østdanmark'!$F$3:$F$504,$A137,IF(E137=År1,'Resultater - Østdanmark'!H$3:H$504,IF(E137=År2,'Resultater - Østdanmark'!I$3:I$504,'Resultater - Østdanmark'!J$3:J$504)),"&gt;0"))</f>
        <v>151027.97877060805</v>
      </c>
      <c r="H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forbrug'!H$3,'Forbrug af biomasse'!$B$2:$B$425,$F137)</f>
        <v>0</v>
      </c>
      <c r="I137">
        <f>IF(F137="Vestdanmark",-IF(A137="Halm",SUMIFS(IF(E137=År1,'Resultater - Vestdanmark'!H$3:H$504,IF(E137=År2,'Resultater - Vestdanmark'!I$3:I$504,'Resultater - Vestdanmark'!J$3:J$504)),'Resultater - Vestdanmark'!$F$3:$F$504,$A137,'Resultater - Vestdanmark'!H$3:H$504,"&lt;0"),0),-IF(A137="Halm",SUMIFS(IF(E137=År1,'Resultater - Østdanmark'!H$3:H$504,IF(E137=År2,'Resultater - Østdanmark'!I$3:I$504,'Resultater - Østdanmark'!J$3:J$504)),'Resultater - Østdanmark'!$F$3:$F$504,$A137,'Resultater - Østdanmark'!H$3:H$504,"&lt;0"),0))</f>
        <v>0</v>
      </c>
      <c r="J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forbrug'!J$3,'Forbrug af biomasse'!$B$2:$B$425,$F137)</f>
        <v>0</v>
      </c>
      <c r="K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forbrug'!K$3,'Forbrug af biomasse'!$B$2:$B$425,$F137)</f>
        <v>0</v>
      </c>
      <c r="L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forbrug'!L$3,'Forbrug af biomasse'!$B$2:$B$425,$F137)</f>
        <v>0</v>
      </c>
      <c r="M137" s="94">
        <f>IF(A137&lt;&gt;"Biogas",SUMIFS('Forbrug af biomasse'!$E$2:$E$425,'Forbrug af biomasse'!$C$2:$C$425,'Resultat-Produktion &amp; forbrug'!$A137,'Forbrug af biomasse'!$D$2:$D$425,'Resultat-Produktion &amp; forbrug'!$E137,'Forbrug af biomasse'!$A$2:$A$425,'Resultat-Produktion &amp; forbrug'!M$3,'Forbrug af biomasse'!$B$2:$B$425,$F137),G137)</f>
        <v>151027.97877060805</v>
      </c>
      <c r="N137" s="94">
        <f>SUMIFS('Forbrug af biomasse'!E:E,'Forbrug af biomasse'!C:C,'Resultat-Produktion &amp; forbrug'!$A137,'Forbrug af biomasse'!D:D,'Resultat-Produktion &amp; forbrug'!$E137,'Forbrug af biomasse'!G:G,1,'Forbrug af biomasse'!B:B,$F137)</f>
        <v>0</v>
      </c>
      <c r="O137" s="179">
        <f t="shared" si="26"/>
        <v>0</v>
      </c>
      <c r="P137" s="94">
        <f t="shared" si="43"/>
        <v>0</v>
      </c>
      <c r="Q137" s="180">
        <f t="shared" si="27"/>
        <v>151027.97877060805</v>
      </c>
      <c r="R137">
        <f>IFERROR(VLOOKUP(A137,[1]Energiindhold!$A$2:$C$11,3,FALSE),IFERROR(VLOOKUP(A137,[1]Biogasudbytte!$A$2:$B$18,2,FALSE)*[1]Energiindhold!$C$10,0))*P137</f>
        <v>0</v>
      </c>
      <c r="S137">
        <f>IF(A137&lt;&gt;"Biogas",IFERROR(VLOOKUP(A137,[1]Biogasudbytte!$A$2:$B$18,2,FALSE)*[1]Energiindhold!$C$10,0)*K137*IFERROR(VLOOKUP(A137,Biogasanlæg!$F$3:$G$8,2,FALSE),1)+IFERROR(VLOOKUP(A137,[1]Energiindhold!$A$2:$C$11,3,FALSE),0)*M137+IF(E137&lt;&gt;År1,R137,0),0)</f>
        <v>5.2859792569712818</v>
      </c>
      <c r="T137">
        <f>IFERROR(VLOOKUP(A137,[1]Biogasudbytte!$A$2:$B$18,2,FALSE)*[1]Energiindhold!$C$10,0)*K137*IFERROR(VLOOKUP(A137,Biogasanlæg!$F$3:$G$8,2,FALSE),1)</f>
        <v>0</v>
      </c>
      <c r="U137" s="170">
        <f t="shared" si="28"/>
        <v>5.2859792569712818</v>
      </c>
      <c r="V137" s="169">
        <f>P137*IFERROR(VLOOKUP(A137,[1]Tørstofindhold!A$2:B$24,2,FALSE),0)</f>
        <v>0</v>
      </c>
      <c r="W137">
        <f>IF(E137=År1,Q137,SUM(P137,Q137))*IFERROR(VLOOKUP(A137,[1]Tørstofindhold!A$2:B$24,2,FALSE),0)</f>
        <v>0</v>
      </c>
      <c r="X137">
        <f>K137*IFERROR(VLOOKUP(A137,[1]Tørstofindhold!A$2:B$24,2,FALSE),0)</f>
        <v>0</v>
      </c>
      <c r="Y137" s="170">
        <f t="shared" si="29"/>
        <v>0</v>
      </c>
      <c r="Z137">
        <f t="shared" si="47"/>
        <v>0</v>
      </c>
      <c r="AA137">
        <f t="shared" si="48"/>
        <v>0</v>
      </c>
      <c r="AB137" s="94">
        <f t="shared" si="49"/>
        <v>151027.97877060805</v>
      </c>
      <c r="AC137">
        <f>AB137*D137*10000*VLOOKUP(A137,[1]kcal!$A$2:$C$49,3,FALSE)/1000000000000</f>
        <v>1.3592518089354724</v>
      </c>
    </row>
    <row r="138" spans="1:29" x14ac:dyDescent="0.25">
      <c r="A138" s="171" t="str">
        <f t="shared" si="50"/>
        <v>Roer</v>
      </c>
      <c r="B138" s="171" t="str">
        <f t="shared" si="51"/>
        <v>Græs og urter</v>
      </c>
      <c r="C138" s="171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1</v>
      </c>
      <c r="D138" s="171">
        <f t="shared" si="39"/>
        <v>1</v>
      </c>
      <c r="E138" s="171">
        <f t="shared" si="38"/>
        <v>2050</v>
      </c>
      <c r="F138" t="s">
        <v>23</v>
      </c>
      <c r="G138" s="94">
        <f>IF(F138="Vestdanmark",SUMIFS(IF(E138=År1,'Resultater - Vestdanmark'!H$3:H$504,IF(E138=År2,'Resultater - Vestdanmark'!I$3:I$504,'Resultater - Vestdanmark'!J$3:J$504)),'Resultater - Vestdanmark'!$F$3:$F$504,$A138,IF(E138=År1,'Resultater - Vestdanmark'!H$3:H$504,IF(E138=År2,'Resultater - Vestdanmark'!I$3:I$504,'Resultater - Vestdanmark'!J$3:J$504)),"&gt;0"),SUMIFS(IF(E138=År1,'Resultater - Østdanmark'!H$3:H$504,IF(E138=År2,'Resultater - Østdanmark'!I$3:I$504,'Resultater - Østdanmark'!J$3:J$504)),'Resultater - Østdanmark'!$F$3:$F$504,$A138,IF(E138=År1,'Resultater - Østdanmark'!H$3:H$504,IF(E138=År2,'Resultater - Østdanmark'!I$3:I$504,'Resultater - Østdanmark'!J$3:J$504)),"&gt;0"))</f>
        <v>370630.07456563454</v>
      </c>
      <c r="H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forbrug'!H$3,'Forbrug af biomasse'!$B$2:$B$425,$F138)</f>
        <v>782731.52628497675</v>
      </c>
      <c r="I138">
        <f>IF(F138="Vestdanmark",-IF(A138="Halm",SUMIFS(IF(E138=År1,'Resultater - Vestdanmark'!H$3:H$504,IF(E138=År2,'Resultater - Vestdanmark'!I$3:I$504,'Resultater - Vestdanmark'!J$3:J$504)),'Resultater - Vestdanmark'!$F$3:$F$504,$A138,'Resultater - Vestdanmark'!H$3:H$504,"&lt;0"),0),-IF(A138="Halm",SUMIFS(IF(E138=År1,'Resultater - Østdanmark'!H$3:H$504,IF(E138=År2,'Resultater - Østdanmark'!I$3:I$504,'Resultater - Østdanmark'!J$3:J$504)),'Resultater - Østdanmark'!$F$3:$F$504,$A138,'Resultater - Østdanmark'!H$3:H$504,"&lt;0"),0))</f>
        <v>0</v>
      </c>
      <c r="J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forbrug'!J$3,'Forbrug af biomasse'!$B$2:$B$425,$F138)</f>
        <v>0</v>
      </c>
      <c r="K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forbrug'!K$3,'Forbrug af biomasse'!$B$2:$B$425,$F138)</f>
        <v>0</v>
      </c>
      <c r="L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forbrug'!L$3,'Forbrug af biomasse'!$B$2:$B$425,$F138)</f>
        <v>0</v>
      </c>
      <c r="M138" s="94">
        <f>IF(A138&lt;&gt;"Biogas",SUMIFS('Forbrug af biomasse'!$E$2:$E$425,'Forbrug af biomasse'!$C$2:$C$425,'Resultat-Produktion &amp; forbrug'!$A138,'Forbrug af biomasse'!$D$2:$D$425,'Resultat-Produktion &amp; forbrug'!$E138,'Forbrug af biomasse'!$A$2:$A$425,'Resultat-Produktion &amp; forbrug'!M$3,'Forbrug af biomasse'!$B$2:$B$425,$F138),G138)</f>
        <v>0</v>
      </c>
      <c r="N138" s="94">
        <f>SUMIFS('Forbrug af biomasse'!E:E,'Forbrug af biomasse'!C:C,'Resultat-Produktion &amp; forbrug'!$A138,'Forbrug af biomasse'!D:D,'Resultat-Produktion &amp; forbrug'!$E138,'Forbrug af biomasse'!G:G,1,'Forbrug af biomasse'!B:B,$F138)</f>
        <v>0</v>
      </c>
      <c r="O138" s="179">
        <f t="shared" si="26"/>
        <v>-412101.45171934221</v>
      </c>
      <c r="P138" s="94">
        <f t="shared" ca="1" si="43"/>
        <v>0</v>
      </c>
      <c r="Q138" s="180">
        <f t="shared" si="27"/>
        <v>0</v>
      </c>
      <c r="R138">
        <f ca="1">IFERROR(VLOOKUP(A138,[1]Energiindhold!$A$2:$C$11,3,FALSE),IFERROR(VLOOKUP(A138,[1]Biogasudbytte!$A$2:$B$18,2,FALSE)*[1]Energiindhold!$C$10,0))*P138</f>
        <v>0</v>
      </c>
      <c r="S138">
        <f ca="1">IF(A138&lt;&gt;"Biogas",IFERROR(VLOOKUP(A138,[1]Biogasudbytte!$A$2:$B$18,2,FALSE)*[1]Energiindhold!$C$10,0)*K138*IFERROR(VLOOKUP(A138,Biogasanlæg!$F$3:$G$8,2,FALSE),1)+IFERROR(VLOOKUP(A138,[1]Energiindhold!$A$2:$C$11,3,FALSE),0)*M138+IF(E138&lt;&gt;År1,R138,0),0)</f>
        <v>0</v>
      </c>
      <c r="T138">
        <f>IFERROR(VLOOKUP(A138,[1]Biogasudbytte!$A$2:$B$18,2,FALSE)*[1]Energiindhold!$C$10,0)*K138*IFERROR(VLOOKUP(A138,Biogasanlæg!$F$3:$G$8,2,FALSE),1)</f>
        <v>0</v>
      </c>
      <c r="U138" s="170">
        <f t="shared" ca="1" si="28"/>
        <v>0</v>
      </c>
      <c r="V138" s="169">
        <f ca="1">P138*IFERROR(VLOOKUP(A138,[1]Tørstofindhold!A$2:B$24,2,FALSE),0)</f>
        <v>0</v>
      </c>
      <c r="W138">
        <f ca="1">IF(E138=År1,Q138,SUM(P138,Q138))*IFERROR(VLOOKUP(A138,[1]Tørstofindhold!A$2:B$24,2,FALSE),0)</f>
        <v>0</v>
      </c>
      <c r="X138">
        <f>K138*IFERROR(VLOOKUP(A138,[1]Tørstofindhold!A$2:B$24,2,FALSE),0)</f>
        <v>0</v>
      </c>
      <c r="Y138" s="170">
        <f t="shared" ca="1" si="29"/>
        <v>0</v>
      </c>
      <c r="Z138">
        <f t="shared" ca="1" si="47"/>
        <v>0</v>
      </c>
      <c r="AA138">
        <f t="shared" ca="1" si="48"/>
        <v>1</v>
      </c>
      <c r="AB138" s="94">
        <f t="shared" si="49"/>
        <v>-412101.45171934221</v>
      </c>
      <c r="AC138">
        <f>AB138*D138*10000*VLOOKUP(A138,[1]kcal!$A$2:$C$49,3,FALSE)/1000000000000</f>
        <v>-0.12363043551580266</v>
      </c>
    </row>
    <row r="139" spans="1:29" x14ac:dyDescent="0.25">
      <c r="A139" s="171" t="str">
        <f t="shared" si="50"/>
        <v>Slagteriaffald til andet</v>
      </c>
      <c r="B139" s="171" t="str">
        <f t="shared" si="51"/>
        <v/>
      </c>
      <c r="C139" s="171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71">
        <f t="shared" si="39"/>
        <v>0</v>
      </c>
      <c r="E139" s="171">
        <f t="shared" si="38"/>
        <v>2050</v>
      </c>
      <c r="F139" t="s">
        <v>23</v>
      </c>
      <c r="G139" s="94">
        <f>IF(F139="Vestdanmark",SUMIFS(IF(E139=År1,'Resultater - Vestdanmark'!H$3:H$504,IF(E139=År2,'Resultater - Vestdanmark'!I$3:I$504,'Resultater - Vestdanmark'!J$3:J$504)),'Resultater - Vestdanmark'!$F$3:$F$504,$A139,IF(E139=År1,'Resultater - Vestdanmark'!H$3:H$504,IF(E139=År2,'Resultater - Vestdanmark'!I$3:I$504,'Resultater - Vestdanmark'!J$3:J$504)),"&gt;0"),SUMIFS(IF(E139=År1,'Resultater - Østdanmark'!H$3:H$504,IF(E139=År2,'Resultater - Østdanmark'!I$3:I$504,'Resultater - Østdanmark'!J$3:J$504)),'Resultater - Østdanmark'!$F$3:$F$504,$A139,IF(E139=År1,'Resultater - Østdanmark'!H$3:H$504,IF(E139=År2,'Resultater - Østdanmark'!I$3:I$504,'Resultater - Østdanmark'!J$3:J$504)),"&gt;0"))</f>
        <v>173774.13679266855</v>
      </c>
      <c r="H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forbrug'!H$3,'Forbrug af biomasse'!$B$2:$B$425,$F139)</f>
        <v>0</v>
      </c>
      <c r="I139">
        <f>IF(F139="Vestdanmark",-IF(A139="Halm",SUMIFS(IF(E139=År1,'Resultater - Vestdanmark'!H$3:H$504,IF(E139=År2,'Resultater - Vestdanmark'!I$3:I$504,'Resultater - Vestdanmark'!J$3:J$504)),'Resultater - Vestdanmark'!$F$3:$F$504,$A139,'Resultater - Vestdanmark'!H$3:H$504,"&lt;0"),0),-IF(A139="Halm",SUMIFS(IF(E139=År1,'Resultater - Østdanmark'!H$3:H$504,IF(E139=År2,'Resultater - Østdanmark'!I$3:I$504,'Resultater - Østdanmark'!J$3:J$504)),'Resultater - Østdanmark'!$F$3:$F$504,$A139,'Resultater - Østdanmark'!H$3:H$504,"&lt;0"),0))</f>
        <v>0</v>
      </c>
      <c r="J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forbrug'!J$3,'Forbrug af biomasse'!$B$2:$B$425,$F139)</f>
        <v>0</v>
      </c>
      <c r="K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forbrug'!K$3,'Forbrug af biomasse'!$B$2:$B$425,$F139)</f>
        <v>0</v>
      </c>
      <c r="L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forbrug'!L$3,'Forbrug af biomasse'!$B$2:$B$425,$F139)</f>
        <v>0</v>
      </c>
      <c r="M139" s="94">
        <f>IF(A139&lt;&gt;"Biogas",SUMIFS('Forbrug af biomasse'!$E$2:$E$425,'Forbrug af biomasse'!$C$2:$C$425,'Resultat-Produktion &amp; forbrug'!$A139,'Forbrug af biomasse'!$D$2:$D$425,'Resultat-Produktion &amp; forbrug'!$E139,'Forbrug af biomasse'!$A$2:$A$425,'Resultat-Produktion &amp; forbrug'!M$3,'Forbrug af biomasse'!$B$2:$B$425,$F139),G139)</f>
        <v>0</v>
      </c>
      <c r="N139" s="94">
        <f>SUMIFS('Forbrug af biomasse'!E:E,'Forbrug af biomasse'!C:C,'Resultat-Produktion &amp; forbrug'!$A139,'Forbrug af biomasse'!D:D,'Resultat-Produktion &amp; forbrug'!$E139,'Forbrug af biomasse'!G:G,1,'Forbrug af biomasse'!B:B,$F139)</f>
        <v>0</v>
      </c>
      <c r="O139" s="179">
        <f t="shared" si="26"/>
        <v>173774.13679266855</v>
      </c>
      <c r="P139" s="94">
        <f t="shared" si="43"/>
        <v>0</v>
      </c>
      <c r="Q139" s="180">
        <f t="shared" si="27"/>
        <v>0</v>
      </c>
      <c r="R139">
        <f>IFERROR(VLOOKUP(A139,[1]Energiindhold!$A$2:$C$11,3,FALSE),IFERROR(VLOOKUP(A139,[1]Biogasudbytte!$A$2:$B$18,2,FALSE)*[1]Energiindhold!$C$10,0))*P139</f>
        <v>0</v>
      </c>
      <c r="S139">
        <f>IF(A139&lt;&gt;"Biogas",IFERROR(VLOOKUP(A139,[1]Biogasudbytte!$A$2:$B$18,2,FALSE)*[1]Energiindhold!$C$10,0)*K139*IFERROR(VLOOKUP(A139,Biogasanlæg!$F$3:$G$8,2,FALSE),1)+IFERROR(VLOOKUP(A139,[1]Energiindhold!$A$2:$C$11,3,FALSE),0)*M139+IF(E139&lt;&gt;År1,R139,0),0)</f>
        <v>0</v>
      </c>
      <c r="T139">
        <f>IFERROR(VLOOKUP(A139,[1]Biogasudbytte!$A$2:$B$18,2,FALSE)*[1]Energiindhold!$C$10,0)*K139*IFERROR(VLOOKUP(A139,Biogasanlæg!$F$3:$G$8,2,FALSE),1)</f>
        <v>0</v>
      </c>
      <c r="U139" s="170">
        <f t="shared" si="28"/>
        <v>0</v>
      </c>
      <c r="V139" s="169">
        <f>P139*IFERROR(VLOOKUP(A139,[1]Tørstofindhold!A$2:B$24,2,FALSE),0)</f>
        <v>0</v>
      </c>
      <c r="W139">
        <f>IF(E139=År1,Q139,SUM(P139,Q139))*IFERROR(VLOOKUP(A139,[1]Tørstofindhold!A$2:B$24,2,FALSE),0)</f>
        <v>0</v>
      </c>
      <c r="X139">
        <f>K139*IFERROR(VLOOKUP(A139,[1]Tørstofindhold!A$2:B$24,2,FALSE),0)</f>
        <v>0</v>
      </c>
      <c r="Y139" s="170">
        <f t="shared" si="29"/>
        <v>0</v>
      </c>
      <c r="Z139">
        <f t="shared" ca="1" si="47"/>
        <v>0</v>
      </c>
      <c r="AA139">
        <f t="shared" ca="1" si="48"/>
        <v>1</v>
      </c>
      <c r="AB139" s="94">
        <f t="shared" si="49"/>
        <v>173774.13679266855</v>
      </c>
      <c r="AC139">
        <f>AB139*D139*10000*VLOOKUP(A139,[1]kcal!$A$2:$C$49,3,FALSE)/1000000000000</f>
        <v>0</v>
      </c>
    </row>
    <row r="140" spans="1:29" x14ac:dyDescent="0.25">
      <c r="A140" s="171" t="str">
        <f t="shared" si="50"/>
        <v>Slagteriaffald til foder</v>
      </c>
      <c r="B140" s="171" t="str">
        <f t="shared" si="51"/>
        <v/>
      </c>
      <c r="C140" s="171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0</v>
      </c>
      <c r="D140" s="171">
        <f t="shared" si="39"/>
        <v>0</v>
      </c>
      <c r="E140" s="171">
        <f t="shared" si="38"/>
        <v>2050</v>
      </c>
      <c r="F140" t="s">
        <v>23</v>
      </c>
      <c r="G140" s="94">
        <f>IF(F140="Vestdanmark",SUMIFS(IF(E140=År1,'Resultater - Vestdanmark'!H$3:H$504,IF(E140=År2,'Resultater - Vestdanmark'!I$3:I$504,'Resultater - Vestdanmark'!J$3:J$504)),'Resultater - Vestdanmark'!$F$3:$F$504,$A140,IF(E140=År1,'Resultater - Vestdanmark'!H$3:H$504,IF(E140=År2,'Resultater - Vestdanmark'!I$3:I$504,'Resultater - Vestdanmark'!J$3:J$504)),"&gt;0"),SUMIFS(IF(E140=År1,'Resultater - Østdanmark'!H$3:H$504,IF(E140=År2,'Resultater - Østdanmark'!I$3:I$504,'Resultater - Østdanmark'!J$3:J$504)),'Resultater - Østdanmark'!$F$3:$F$504,$A140,IF(E140=År1,'Resultater - Østdanmark'!H$3:H$504,IF(E140=År2,'Resultater - Østdanmark'!I$3:I$504,'Resultater - Østdanmark'!J$3:J$504)),"&gt;0"))</f>
        <v>114148.26729349417</v>
      </c>
      <c r="H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forbrug'!H$3,'Forbrug af biomasse'!$B$2:$B$425,$F140)</f>
        <v>36677.515608667709</v>
      </c>
      <c r="I140">
        <f>IF(F140="Vestdanmark",-IF(A140="Halm",SUMIFS(IF(E140=År1,'Resultater - Vestdanmark'!H$3:H$504,IF(E140=År2,'Resultater - Vestdanmark'!I$3:I$504,'Resultater - Vestdanmark'!J$3:J$504)),'Resultater - Vestdanmark'!$F$3:$F$504,$A140,'Resultater - Vestdanmark'!H$3:H$504,"&lt;0"),0),-IF(A140="Halm",SUMIFS(IF(E140=År1,'Resultater - Østdanmark'!H$3:H$504,IF(E140=År2,'Resultater - Østdanmark'!I$3:I$504,'Resultater - Østdanmark'!J$3:J$504)),'Resultater - Østdanmark'!$F$3:$F$504,$A140,'Resultater - Østdanmark'!H$3:H$504,"&lt;0"),0))</f>
        <v>0</v>
      </c>
      <c r="J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forbrug'!J$3,'Forbrug af biomasse'!$B$2:$B$425,$F140)</f>
        <v>0</v>
      </c>
      <c r="K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forbrug'!K$3,'Forbrug af biomasse'!$B$2:$B$425,$F140)</f>
        <v>0</v>
      </c>
      <c r="L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forbrug'!L$3,'Forbrug af biomasse'!$B$2:$B$425,$F140)</f>
        <v>0</v>
      </c>
      <c r="M140" s="94">
        <f>IF(A140&lt;&gt;"Biogas",SUMIFS('Forbrug af biomasse'!$E$2:$E$425,'Forbrug af biomasse'!$C$2:$C$425,'Resultat-Produktion &amp; forbrug'!$A140,'Forbrug af biomasse'!$D$2:$D$425,'Resultat-Produktion &amp; forbrug'!$E140,'Forbrug af biomasse'!$A$2:$A$425,'Resultat-Produktion &amp; forbrug'!M$3,'Forbrug af biomasse'!$B$2:$B$425,$F140),G140)</f>
        <v>0</v>
      </c>
      <c r="N140" s="94">
        <f>SUMIFS('Forbrug af biomasse'!E:E,'Forbrug af biomasse'!C:C,'Resultat-Produktion &amp; forbrug'!$A140,'Forbrug af biomasse'!D:D,'Resultat-Produktion &amp; forbrug'!$E140,'Forbrug af biomasse'!G:G,1,'Forbrug af biomasse'!B:B,$F140)</f>
        <v>0</v>
      </c>
      <c r="O140" s="179">
        <f t="shared" si="26"/>
        <v>77470.751684826449</v>
      </c>
      <c r="P140" s="94">
        <f t="shared" si="43"/>
        <v>0</v>
      </c>
      <c r="Q140" s="180">
        <f t="shared" si="27"/>
        <v>0</v>
      </c>
      <c r="R140">
        <f>IFERROR(VLOOKUP(A140,[1]Energiindhold!$A$2:$C$11,3,FALSE),IFERROR(VLOOKUP(A140,[1]Biogasudbytte!$A$2:$B$18,2,FALSE)*[1]Energiindhold!$C$10,0))*P140</f>
        <v>0</v>
      </c>
      <c r="S140">
        <f>IF(A140&lt;&gt;"Biogas",IFERROR(VLOOKUP(A140,[1]Biogasudbytte!$A$2:$B$18,2,FALSE)*[1]Energiindhold!$C$10,0)*K140*IFERROR(VLOOKUP(A140,Biogasanlæg!$F$3:$G$8,2,FALSE),1)+IFERROR(VLOOKUP(A140,[1]Energiindhold!$A$2:$C$11,3,FALSE),0)*M140+IF(E140&lt;&gt;År1,R140,0),0)</f>
        <v>0</v>
      </c>
      <c r="T140">
        <f>IFERROR(VLOOKUP(A140,[1]Biogasudbytte!$A$2:$B$18,2,FALSE)*[1]Energiindhold!$C$10,0)*K140*IFERROR(VLOOKUP(A140,Biogasanlæg!$F$3:$G$8,2,FALSE),1)</f>
        <v>0</v>
      </c>
      <c r="U140" s="170">
        <f t="shared" si="28"/>
        <v>0</v>
      </c>
      <c r="V140" s="169">
        <f>P140*IFERROR(VLOOKUP(A140,[1]Tørstofindhold!A$2:B$24,2,FALSE),0)</f>
        <v>0</v>
      </c>
      <c r="W140">
        <f>IF(E140=År1,Q140,SUM(P140,Q140))*IFERROR(VLOOKUP(A140,[1]Tørstofindhold!A$2:B$24,2,FALSE),0)</f>
        <v>0</v>
      </c>
      <c r="X140">
        <f>K140*IFERROR(VLOOKUP(A140,[1]Tørstofindhold!A$2:B$24,2,FALSE),0)</f>
        <v>0</v>
      </c>
      <c r="Y140" s="170">
        <f t="shared" si="29"/>
        <v>0</v>
      </c>
      <c r="Z140">
        <f t="shared" ca="1" si="47"/>
        <v>0</v>
      </c>
      <c r="AA140">
        <f t="shared" ca="1" si="48"/>
        <v>1</v>
      </c>
      <c r="AB140" s="94">
        <f t="shared" si="49"/>
        <v>77470.751684826449</v>
      </c>
      <c r="AC140">
        <f>AB140*D140*10000*VLOOKUP(A140,[1]kcal!$A$2:$C$49,3,FALSE)/1000000000000</f>
        <v>0</v>
      </c>
    </row>
    <row r="141" spans="1:29" x14ac:dyDescent="0.25">
      <c r="A141" s="171" t="str">
        <f t="shared" si="50"/>
        <v>Spildevandsslam</v>
      </c>
      <c r="B141" s="171" t="str">
        <f t="shared" si="51"/>
        <v>Bionedbrydeligt affald</v>
      </c>
      <c r="C141" s="171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71">
        <f t="shared" si="39"/>
        <v>0</v>
      </c>
      <c r="E141" s="171">
        <f t="shared" si="38"/>
        <v>2050</v>
      </c>
      <c r="F141" t="s">
        <v>23</v>
      </c>
      <c r="G141" s="94">
        <f>IF(F141="Vestdanmark",SUMIFS(IF(E141=År1,'Resultater - Vestdanmark'!H$3:H$504,IF(E141=År2,'Resultater - Vestdanmark'!I$3:I$504,'Resultater - Vestdanmark'!J$3:J$504)),'Resultater - Vestdanmark'!$F$3:$F$504,$A141,IF(E141=År1,'Resultater - Vestdanmark'!H$3:H$504,IF(E141=År2,'Resultater - Vestdanmark'!I$3:I$504,'Resultater - Vestdanmark'!J$3:J$504)),"&gt;0"),SUMIFS(IF(E141=År1,'Resultater - Østdanmark'!H$3:H$504,IF(E141=År2,'Resultater - Østdanmark'!I$3:I$504,'Resultater - Østdanmark'!J$3:J$504)),'Resultater - Østdanmark'!$F$3:$F$504,$A141,IF(E141=År1,'Resultater - Østdanmark'!H$3:H$504,IF(E141=År2,'Resultater - Østdanmark'!I$3:I$504,'Resultater - Østdanmark'!J$3:J$504)),"&gt;0"))</f>
        <v>4121832.5977837904</v>
      </c>
      <c r="H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forbrug'!H$3,'Forbrug af biomasse'!$B$2:$B$425,$F141)</f>
        <v>0</v>
      </c>
      <c r="I141">
        <f>IF(F141="Vestdanmark",-IF(A141="Halm",SUMIFS(IF(E141=År1,'Resultater - Vestdanmark'!H$3:H$504,IF(E141=År2,'Resultater - Vestdanmark'!I$3:I$504,'Resultater - Vestdanmark'!J$3:J$504)),'Resultater - Vestdanmark'!$F$3:$F$504,$A141,'Resultater - Vestdanmark'!H$3:H$504,"&lt;0"),0),-IF(A141="Halm",SUMIFS(IF(E141=År1,'Resultater - Østdanmark'!H$3:H$504,IF(E141=År2,'Resultater - Østdanmark'!I$3:I$504,'Resultater - Østdanmark'!J$3:J$504)),'Resultater - Østdanmark'!$F$3:$F$504,$A141,'Resultater - Østdanmark'!H$3:H$504,"&lt;0"),0))</f>
        <v>0</v>
      </c>
      <c r="J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forbrug'!J$3,'Forbrug af biomasse'!$B$2:$B$425,$F141)</f>
        <v>0</v>
      </c>
      <c r="K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forbrug'!K$3,'Forbrug af biomasse'!$B$2:$B$425,$F141)</f>
        <v>3709649.3380054114</v>
      </c>
      <c r="L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forbrug'!L$3,'Forbrug af biomasse'!$B$2:$B$425,$F141)</f>
        <v>0</v>
      </c>
      <c r="M141" s="94">
        <f>IF(A141&lt;&gt;"Biogas",SUMIFS('Forbrug af biomasse'!$E$2:$E$425,'Forbrug af biomasse'!$C$2:$C$425,'Resultat-Produktion &amp; forbrug'!$A141,'Forbrug af biomasse'!$D$2:$D$425,'Resultat-Produktion &amp; forbrug'!$E141,'Forbrug af biomasse'!$A$2:$A$425,'Resultat-Produktion &amp; forbrug'!M$3,'Forbrug af biomasse'!$B$2:$B$425,$F141),G141)</f>
        <v>0</v>
      </c>
      <c r="N141" s="94">
        <f>SUMIFS('Forbrug af biomasse'!E:E,'Forbrug af biomasse'!C:C,'Resultat-Produktion &amp; forbrug'!$A141,'Forbrug af biomasse'!D:D,'Resultat-Produktion &amp; forbrug'!$E141,'Forbrug af biomasse'!G:G,1,'Forbrug af biomasse'!B:B,$F141)</f>
        <v>0</v>
      </c>
      <c r="O141" s="179">
        <f t="shared" si="26"/>
        <v>412183.259778379</v>
      </c>
      <c r="P141" s="94">
        <f t="shared" ca="1" si="43"/>
        <v>412183.259778379</v>
      </c>
      <c r="Q141" s="180">
        <f t="shared" si="27"/>
        <v>3709649.3380054114</v>
      </c>
      <c r="R141">
        <f ca="1">IFERROR(VLOOKUP(A141,[1]Energiindhold!$A$2:$C$11,3,FALSE),IFERROR(VLOOKUP(A141,[1]Biogasudbytte!$A$2:$B$18,2,FALSE)*[1]Energiindhold!$C$10,0))*P141</f>
        <v>0.20568356846200894</v>
      </c>
      <c r="S141">
        <f ca="1">IF(A141&lt;&gt;"Biogas",IFERROR(VLOOKUP(A141,[1]Biogasudbytte!$A$2:$B$18,2,FALSE)*[1]Energiindhold!$C$10,0)*K141*IFERROR(VLOOKUP(A141,Biogasanlæg!$F$3:$G$8,2,FALSE),1)+IFERROR(VLOOKUP(A141,[1]Energiindhold!$A$2:$C$11,3,FALSE),0)*M141+IF(E141&lt;&gt;År1,R141,0),0)</f>
        <v>2.0568356846200895</v>
      </c>
      <c r="T141">
        <f>IFERROR(VLOOKUP(A141,[1]Biogasudbytte!$A$2:$B$18,2,FALSE)*[1]Energiindhold!$C$10,0)*K141*IFERROR(VLOOKUP(A141,Biogasanlæg!$F$3:$G$8,2,FALSE),1)</f>
        <v>1.8511521161580806</v>
      </c>
      <c r="U141" s="170">
        <f t="shared" ca="1" si="28"/>
        <v>0.20568356846200886</v>
      </c>
      <c r="V141" s="169">
        <f ca="1">P141*IFERROR(VLOOKUP(A141,[1]Tørstofindhold!A$2:B$24,2,FALSE),0)</f>
        <v>24730.995586702738</v>
      </c>
      <c r="W141">
        <f ca="1">IF(E141=År1,Q141,SUM(P141,Q141))*IFERROR(VLOOKUP(A141,[1]Tørstofindhold!A$2:B$24,2,FALSE),0)</f>
        <v>247309.95586702743</v>
      </c>
      <c r="X141">
        <f>K141*IFERROR(VLOOKUP(A141,[1]Tørstofindhold!A$2:B$24,2,FALSE),0)</f>
        <v>222578.96028032468</v>
      </c>
      <c r="Y141" s="170">
        <f t="shared" ca="1" si="29"/>
        <v>24730.995586702746</v>
      </c>
      <c r="Z141">
        <f t="shared" ca="1" si="47"/>
        <v>0</v>
      </c>
      <c r="AA141">
        <f t="shared" ca="1" si="48"/>
        <v>1</v>
      </c>
      <c r="AB141" s="94">
        <f t="shared" si="49"/>
        <v>412183.259778379</v>
      </c>
      <c r="AC141">
        <f>AB141*D141*10000*VLOOKUP(A141,[1]kcal!$A$2:$C$49,3,FALSE)/1000000000000</f>
        <v>0</v>
      </c>
    </row>
    <row r="142" spans="1:29" x14ac:dyDescent="0.25">
      <c r="A142" s="171" t="str">
        <f t="shared" si="50"/>
        <v>Svinegylle</v>
      </c>
      <c r="B142" s="171" t="str">
        <f t="shared" si="51"/>
        <v>Husdyrgødning</v>
      </c>
      <c r="C142" s="171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1</v>
      </c>
      <c r="D142" s="171">
        <f t="shared" si="39"/>
        <v>0</v>
      </c>
      <c r="E142" s="171">
        <f t="shared" si="38"/>
        <v>2050</v>
      </c>
      <c r="F142" t="s">
        <v>23</v>
      </c>
      <c r="G142" s="94">
        <f>IF(F142="Vestdanmark",SUMIFS(IF(E142=År1,'Resultater - Vestdanmark'!H$3:H$504,IF(E142=År2,'Resultater - Vestdanmark'!I$3:I$504,'Resultater - Vestdanmark'!J$3:J$504)),'Resultater - Vestdanmark'!$F$3:$F$504,$A142,IF(E142=År1,'Resultater - Vestdanmark'!H$3:H$504,IF(E142=År2,'Resultater - Vestdanmark'!I$3:I$504,'Resultater - Vestdanmark'!J$3:J$504)),"&gt;0"),SUMIFS(IF(E142=År1,'Resultater - Østdanmark'!H$3:H$504,IF(E142=År2,'Resultater - Østdanmark'!I$3:I$504,'Resultater - Østdanmark'!J$3:J$504)),'Resultater - Østdanmark'!$F$3:$F$504,$A142,IF(E142=År1,'Resultater - Østdanmark'!H$3:H$504,IF(E142=År2,'Resultater - Østdanmark'!I$3:I$504,'Resultater - Østdanmark'!J$3:J$504)),"&gt;0"))</f>
        <v>12989062.590821607</v>
      </c>
      <c r="H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forbrug'!H$3,'Forbrug af biomasse'!$B$2:$B$425,$F142)</f>
        <v>0</v>
      </c>
      <c r="I142">
        <f>IF(F142="Vestdanmark",-IF(A142="Halm",SUMIFS(IF(E142=År1,'Resultater - Vestdanmark'!H$3:H$504,IF(E142=År2,'Resultater - Vestdanmark'!I$3:I$504,'Resultater - Vestdanmark'!J$3:J$504)),'Resultater - Vestdanmark'!$F$3:$F$504,$A142,'Resultater - Vestdanmark'!H$3:H$504,"&lt;0"),0),-IF(A142="Halm",SUMIFS(IF(E142=År1,'Resultater - Østdanmark'!H$3:H$504,IF(E142=År2,'Resultater - Østdanmark'!I$3:I$504,'Resultater - Østdanmark'!J$3:J$504)),'Resultater - Østdanmark'!$F$3:$F$504,$A142,'Resultater - Østdanmark'!H$3:H$504,"&lt;0"),0))</f>
        <v>0</v>
      </c>
      <c r="J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forbrug'!J$3,'Forbrug af biomasse'!$B$2:$B$425,$F142)</f>
        <v>0</v>
      </c>
      <c r="K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forbrug'!K$3,'Forbrug af biomasse'!$B$2:$B$425,$F142)</f>
        <v>11690156.331739446</v>
      </c>
      <c r="L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forbrug'!L$3,'Forbrug af biomasse'!$B$2:$B$425,$F142)</f>
        <v>1298906.2590821604</v>
      </c>
      <c r="M142" s="94">
        <f>IF(A142&lt;&gt;"Biogas",SUMIFS('Forbrug af biomasse'!$E$2:$E$425,'Forbrug af biomasse'!$C$2:$C$425,'Resultat-Produktion &amp; forbrug'!$A142,'Forbrug af biomasse'!$D$2:$D$425,'Resultat-Produktion &amp; forbrug'!$E142,'Forbrug af biomasse'!$A$2:$A$425,'Resultat-Produktion &amp; forbrug'!M$3,'Forbrug af biomasse'!$B$2:$B$425,$F142),G142)</f>
        <v>0</v>
      </c>
      <c r="N142" s="94">
        <f>SUMIFS('Forbrug af biomasse'!E:E,'Forbrug af biomasse'!C:C,'Resultat-Produktion &amp; forbrug'!$A142,'Forbrug af biomasse'!D:D,'Resultat-Produktion &amp; forbrug'!$E142,'Forbrug af biomasse'!G:G,1,'Forbrug af biomasse'!B:B,$F142)</f>
        <v>0</v>
      </c>
      <c r="O142" s="179">
        <f t="shared" si="26"/>
        <v>0</v>
      </c>
      <c r="P142" s="94">
        <f t="shared" si="43"/>
        <v>0</v>
      </c>
      <c r="Q142" s="180">
        <f t="shared" si="27"/>
        <v>11690156.331739446</v>
      </c>
      <c r="R142">
        <f>IFERROR(VLOOKUP(A142,[1]Energiindhold!$A$2:$C$11,3,FALSE),IFERROR(VLOOKUP(A142,[1]Biogasudbytte!$A$2:$B$18,2,FALSE)*[1]Energiindhold!$C$10,0))*P142</f>
        <v>0</v>
      </c>
      <c r="S142">
        <f>IF(A142&lt;&gt;"Biogas",IFERROR(VLOOKUP(A142,[1]Biogasudbytte!$A$2:$B$18,2,FALSE)*[1]Energiindhold!$C$10,0)*K142*IFERROR(VLOOKUP(A142,Biogasanlæg!$F$3:$G$8,2,FALSE),1)+IFERROR(VLOOKUP(A142,[1]Energiindhold!$A$2:$C$11,3,FALSE),0)*M142+IF(E142&lt;&gt;År1,R142,0),0)</f>
        <v>5.0361193477133543</v>
      </c>
      <c r="T142">
        <f>IFERROR(VLOOKUP(A142,[1]Biogasudbytte!$A$2:$B$18,2,FALSE)*[1]Energiindhold!$C$10,0)*K142*IFERROR(VLOOKUP(A142,Biogasanlæg!$F$3:$G$8,2,FALSE),1)</f>
        <v>5.0361193477133543</v>
      </c>
      <c r="U142" s="170">
        <f t="shared" si="28"/>
        <v>0</v>
      </c>
      <c r="V142" s="169">
        <f>P142*IFERROR(VLOOKUP(A142,[1]Tørstofindhold!A$2:B$24,2,FALSE),0)</f>
        <v>0</v>
      </c>
      <c r="W142">
        <f>IF(E142=År1,Q142,SUM(P142,Q142))*IFERROR(VLOOKUP(A142,[1]Tørstofindhold!A$2:B$24,2,FALSE),0)</f>
        <v>584507.81658697233</v>
      </c>
      <c r="X142">
        <f>K142*IFERROR(VLOOKUP(A142,[1]Tørstofindhold!A$2:B$24,2,FALSE),0)</f>
        <v>584507.81658697233</v>
      </c>
      <c r="Y142" s="170">
        <f t="shared" si="29"/>
        <v>0</v>
      </c>
      <c r="Z142">
        <f t="shared" si="47"/>
        <v>0</v>
      </c>
      <c r="AA142">
        <f t="shared" si="48"/>
        <v>0</v>
      </c>
      <c r="AB142" s="94">
        <f t="shared" si="49"/>
        <v>0</v>
      </c>
      <c r="AC142">
        <f>AB142*D142*10000*VLOOKUP(A142,[1]kcal!$A$2:$C$49,3,FALSE)/1000000000000</f>
        <v>0</v>
      </c>
    </row>
    <row r="143" spans="1:29" x14ac:dyDescent="0.25">
      <c r="A143" s="171" t="str">
        <f t="shared" si="50"/>
        <v>Svinekød</v>
      </c>
      <c r="B143" s="171" t="str">
        <f t="shared" si="51"/>
        <v/>
      </c>
      <c r="C143" s="171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0</v>
      </c>
      <c r="D143" s="171">
        <f t="shared" si="39"/>
        <v>1</v>
      </c>
      <c r="E143" s="171">
        <f t="shared" si="38"/>
        <v>2050</v>
      </c>
      <c r="F143" t="s">
        <v>23</v>
      </c>
      <c r="G143" s="94">
        <f>IF(F143="Vestdanmark",SUMIFS(IF(E143=År1,'Resultater - Vestdanmark'!H$3:H$504,IF(E143=År2,'Resultater - Vestdanmark'!I$3:I$504,'Resultater - Vestdanmark'!J$3:J$504)),'Resultater - Vestdanmark'!$F$3:$F$504,$A143,IF(E143=År1,'Resultater - Vestdanmark'!H$3:H$504,IF(E143=År2,'Resultater - Vestdanmark'!I$3:I$504,'Resultater - Vestdanmark'!J$3:J$504)),"&gt;0"),SUMIFS(IF(E143=År1,'Resultater - Østdanmark'!H$3:H$504,IF(E143=År2,'Resultater - Østdanmark'!I$3:I$504,'Resultater - Østdanmark'!J$3:J$504)),'Resultater - Østdanmark'!$F$3:$F$504,$A143,IF(E143=År1,'Resultater - Østdanmark'!H$3:H$504,IF(E143=År2,'Resultater - Østdanmark'!I$3:I$504,'Resultater - Østdanmark'!J$3:J$504)),"&gt;0"))</f>
        <v>1206135.7873952007</v>
      </c>
      <c r="H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forbrug'!H$3,'Forbrug af biomasse'!$B$2:$B$425,$F143)</f>
        <v>0</v>
      </c>
      <c r="I143">
        <f>IF(F143="Vestdanmark",-IF(A143="Halm",SUMIFS(IF(E143=År1,'Resultater - Vestdanmark'!H$3:H$504,IF(E143=År2,'Resultater - Vestdanmark'!I$3:I$504,'Resultater - Vestdanmark'!J$3:J$504)),'Resultater - Vestdanmark'!$F$3:$F$504,$A143,'Resultater - Vestdanmark'!H$3:H$504,"&lt;0"),0),-IF(A143="Halm",SUMIFS(IF(E143=År1,'Resultater - Østdanmark'!H$3:H$504,IF(E143=År2,'Resultater - Østdanmark'!I$3:I$504,'Resultater - Østdanmark'!J$3:J$504)),'Resultater - Østdanmark'!$F$3:$F$504,$A143,'Resultater - Østdanmark'!H$3:H$504,"&lt;0"),0))</f>
        <v>0</v>
      </c>
      <c r="J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forbrug'!J$3,'Forbrug af biomasse'!$B$2:$B$425,$F143)</f>
        <v>126627.09194270898</v>
      </c>
      <c r="K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forbrug'!K$3,'Forbrug af biomasse'!$B$2:$B$425,$F143)</f>
        <v>0</v>
      </c>
      <c r="L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forbrug'!L$3,'Forbrug af biomasse'!$B$2:$B$425,$F143)</f>
        <v>0</v>
      </c>
      <c r="M143" s="94">
        <f>IF(A143&lt;&gt;"Biogas",SUMIFS('Forbrug af biomasse'!$E$2:$E$425,'Forbrug af biomasse'!$C$2:$C$425,'Resultat-Produktion &amp; forbrug'!$A143,'Forbrug af biomasse'!$D$2:$D$425,'Resultat-Produktion &amp; forbrug'!$E143,'Forbrug af biomasse'!$A$2:$A$425,'Resultat-Produktion &amp; forbrug'!M$3,'Forbrug af biomasse'!$B$2:$B$425,$F143),G143)</f>
        <v>0</v>
      </c>
      <c r="N143" s="94">
        <f>SUMIFS('Forbrug af biomasse'!E:E,'Forbrug af biomasse'!C:C,'Resultat-Produktion &amp; forbrug'!$A143,'Forbrug af biomasse'!D:D,'Resultat-Produktion &amp; forbrug'!$E143,'Forbrug af biomasse'!G:G,1,'Forbrug af biomasse'!B:B,$F143)</f>
        <v>0</v>
      </c>
      <c r="O143" s="179">
        <f t="shared" si="26"/>
        <v>1079508.6954524918</v>
      </c>
      <c r="P143" s="94">
        <f t="shared" si="43"/>
        <v>0</v>
      </c>
      <c r="Q143" s="180">
        <f t="shared" si="27"/>
        <v>0</v>
      </c>
      <c r="R143">
        <f>IFERROR(VLOOKUP(A143,[1]Energiindhold!$A$2:$C$11,3,FALSE),IFERROR(VLOOKUP(A143,[1]Biogasudbytte!$A$2:$B$18,2,FALSE)*[1]Energiindhold!$C$10,0))*P143</f>
        <v>0</v>
      </c>
      <c r="S143">
        <f>IF(A143&lt;&gt;"Biogas",IFERROR(VLOOKUP(A143,[1]Biogasudbytte!$A$2:$B$18,2,FALSE)*[1]Energiindhold!$C$10,0)*K143*IFERROR(VLOOKUP(A143,Biogasanlæg!$F$3:$G$8,2,FALSE),1)+IFERROR(VLOOKUP(A143,[1]Energiindhold!$A$2:$C$11,3,FALSE),0)*M143+IF(E143&lt;&gt;År1,R143,0),0)</f>
        <v>0</v>
      </c>
      <c r="T143">
        <f>IFERROR(VLOOKUP(A143,[1]Biogasudbytte!$A$2:$B$18,2,FALSE)*[1]Energiindhold!$C$10,0)*K143*IFERROR(VLOOKUP(A143,Biogasanlæg!$F$3:$G$8,2,FALSE),1)</f>
        <v>0</v>
      </c>
      <c r="U143" s="170">
        <f t="shared" si="28"/>
        <v>0</v>
      </c>
      <c r="V143" s="169">
        <f>P143*IFERROR(VLOOKUP(A143,[1]Tørstofindhold!A$2:B$24,2,FALSE),0)</f>
        <v>0</v>
      </c>
      <c r="W143">
        <f>IF(E143=År1,Q143,SUM(P143,Q143))*IFERROR(VLOOKUP(A143,[1]Tørstofindhold!A$2:B$24,2,FALSE),0)</f>
        <v>0</v>
      </c>
      <c r="X143">
        <f>K143*IFERROR(VLOOKUP(A143,[1]Tørstofindhold!A$2:B$24,2,FALSE),0)</f>
        <v>0</v>
      </c>
      <c r="Y143" s="170">
        <f t="shared" si="29"/>
        <v>0</v>
      </c>
      <c r="Z143">
        <f t="shared" si="47"/>
        <v>0</v>
      </c>
      <c r="AA143">
        <f t="shared" si="48"/>
        <v>1</v>
      </c>
      <c r="AB143" s="94">
        <f t="shared" si="49"/>
        <v>1206135.7873952007</v>
      </c>
      <c r="AC143">
        <f>AB143*D143*10000*VLOOKUP(A143,[1]kcal!$A$2:$C$49,3,FALSE)/1000000000000</f>
        <v>2.3519647854206416</v>
      </c>
    </row>
    <row r="144" spans="1:29" x14ac:dyDescent="0.25">
      <c r="A144" s="171" t="str">
        <f t="shared" si="50"/>
        <v>Tang</v>
      </c>
      <c r="B144" s="171" t="str">
        <f t="shared" si="51"/>
        <v>Havbiomasse</v>
      </c>
      <c r="C144" s="171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71">
        <f t="shared" si="39"/>
        <v>1</v>
      </c>
      <c r="E144" s="171">
        <f t="shared" si="38"/>
        <v>2050</v>
      </c>
      <c r="F144" t="s">
        <v>23</v>
      </c>
      <c r="G144" s="94">
        <f>IF(F144="Vestdanmark",SUMIFS(IF(E144=År1,'Resultater - Vestdanmark'!H$3:H$504,IF(E144=År2,'Resultater - Vestdanmark'!I$3:I$504,'Resultater - Vestdanmark'!J$3:J$504)),'Resultater - Vestdanmark'!$F$3:$F$504,$A144,IF(E144=År1,'Resultater - Vestdanmark'!H$3:H$504,IF(E144=År2,'Resultater - Vestdanmark'!I$3:I$504,'Resultater - Vestdanmark'!J$3:J$504)),"&gt;0"),SUMIFS(IF(E144=År1,'Resultater - Østdanmark'!H$3:H$504,IF(E144=År2,'Resultater - Østdanmark'!I$3:I$504,'Resultater - Østdanmark'!J$3:J$504)),'Resultater - Østdanmark'!$F$3:$F$504,$A144,IF(E144=År1,'Resultater - Østdanmark'!H$3:H$504,IF(E144=År2,'Resultater - Østdanmark'!I$3:I$504,'Resultater - Østdanmark'!J$3:J$504)),"&gt;0"))</f>
        <v>382.5</v>
      </c>
      <c r="H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forbrug'!H$3,'Forbrug af biomasse'!$B$2:$B$425,$F144)</f>
        <v>0</v>
      </c>
      <c r="I144">
        <f>IF(F144="Vestdanmark",-IF(A144="Halm",SUMIFS(IF(E144=År1,'Resultater - Vestdanmark'!H$3:H$504,IF(E144=År2,'Resultater - Vestdanmark'!I$3:I$504,'Resultater - Vestdanmark'!J$3:J$504)),'Resultater - Vestdanmark'!$F$3:$F$504,$A144,'Resultater - Vestdanmark'!H$3:H$504,"&lt;0"),0),-IF(A144="Halm",SUMIFS(IF(E144=År1,'Resultater - Østdanmark'!H$3:H$504,IF(E144=År2,'Resultater - Østdanmark'!I$3:I$504,'Resultater - Østdanmark'!J$3:J$504)),'Resultater - Østdanmark'!$F$3:$F$504,$A144,'Resultater - Østdanmark'!H$3:H$504,"&lt;0"),0))</f>
        <v>0</v>
      </c>
      <c r="J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forbrug'!J$3,'Forbrug af biomasse'!$B$2:$B$425,$F144)</f>
        <v>0</v>
      </c>
      <c r="K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forbrug'!K$3,'Forbrug af biomasse'!$B$2:$B$425,$F144)</f>
        <v>0</v>
      </c>
      <c r="L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forbrug'!L$3,'Forbrug af biomasse'!$B$2:$B$425,$F144)</f>
        <v>0</v>
      </c>
      <c r="M144" s="94">
        <f>IF(A144&lt;&gt;"Biogas",SUMIFS('Forbrug af biomasse'!$E$2:$E$425,'Forbrug af biomasse'!$C$2:$C$425,'Resultat-Produktion &amp; forbrug'!$A144,'Forbrug af biomasse'!$D$2:$D$425,'Resultat-Produktion &amp; forbrug'!$E144,'Forbrug af biomasse'!$A$2:$A$425,'Resultat-Produktion &amp; forbrug'!M$3,'Forbrug af biomasse'!$B$2:$B$425,$F144),G144)</f>
        <v>0</v>
      </c>
      <c r="N144" s="94">
        <f>SUMIFS('Forbrug af biomasse'!E:E,'Forbrug af biomasse'!C:C,'Resultat-Produktion &amp; forbrug'!$A144,'Forbrug af biomasse'!D:D,'Resultat-Produktion &amp; forbrug'!$E144,'Forbrug af biomasse'!G:G,1,'Forbrug af biomasse'!B:B,$F144)</f>
        <v>0</v>
      </c>
      <c r="O144" s="179">
        <f t="shared" si="26"/>
        <v>382.5</v>
      </c>
      <c r="P144" s="94">
        <f t="shared" ca="1" si="43"/>
        <v>382.5</v>
      </c>
      <c r="Q144" s="180">
        <f t="shared" si="27"/>
        <v>0</v>
      </c>
      <c r="R144">
        <f ca="1">IFERROR(VLOOKUP(A144,[1]Energiindhold!$A$2:$C$11,3,FALSE),IFERROR(VLOOKUP(A144,[1]Biogasudbytte!$A$2:$B$18,2,FALSE)*[1]Energiindhold!$C$10,0))*P144</f>
        <v>3.4329375000000003E-4</v>
      </c>
      <c r="S144">
        <f ca="1">IF(A144&lt;&gt;"Biogas",IFERROR(VLOOKUP(A144,[1]Biogasudbytte!$A$2:$B$18,2,FALSE)*[1]Energiindhold!$C$10,0)*K144*IFERROR(VLOOKUP(A144,Biogasanlæg!$F$3:$G$8,2,FALSE),1)+IFERROR(VLOOKUP(A144,[1]Energiindhold!$A$2:$C$11,3,FALSE),0)*M144+IF(E144&lt;&gt;År1,R144,0),0)</f>
        <v>3.4329375000000003E-4</v>
      </c>
      <c r="T144">
        <f>IFERROR(VLOOKUP(A144,[1]Biogasudbytte!$A$2:$B$18,2,FALSE)*[1]Energiindhold!$C$10,0)*K144*IFERROR(VLOOKUP(A144,Biogasanlæg!$F$3:$G$8,2,FALSE),1)</f>
        <v>0</v>
      </c>
      <c r="U144" s="170">
        <f t="shared" ca="1" si="28"/>
        <v>3.4329375000000003E-4</v>
      </c>
      <c r="V144" s="169">
        <f ca="1">P144*IFERROR(VLOOKUP(A144,[1]Tørstofindhold!A$2:B$24,2,FALSE),0)</f>
        <v>57.375</v>
      </c>
      <c r="W144">
        <f ca="1">IF(E144=År1,Q144,SUM(P144,Q144))*IFERROR(VLOOKUP(A144,[1]Tørstofindhold!A$2:B$24,2,FALSE),0)</f>
        <v>57.375</v>
      </c>
      <c r="X144">
        <f>K144*IFERROR(VLOOKUP(A144,[1]Tørstofindhold!A$2:B$24,2,FALSE),0)</f>
        <v>0</v>
      </c>
      <c r="Y144" s="170">
        <f t="shared" ca="1" si="29"/>
        <v>57.375</v>
      </c>
      <c r="Z144">
        <f t="shared" ca="1" si="47"/>
        <v>0</v>
      </c>
      <c r="AA144">
        <f t="shared" ca="1" si="48"/>
        <v>1</v>
      </c>
      <c r="AB144" s="94">
        <f t="shared" si="49"/>
        <v>382.5</v>
      </c>
      <c r="AC144">
        <f>AB144*D144*10000*VLOOKUP(A144,[1]kcal!$A$2:$C$49,3,FALSE)/1000000000000</f>
        <v>1.5605999999999999E-4</v>
      </c>
    </row>
    <row r="145" spans="1:29" x14ac:dyDescent="0.25">
      <c r="A145" s="171" t="str">
        <f t="shared" si="50"/>
        <v>Total til biogas</v>
      </c>
      <c r="B145" s="171" t="str">
        <f t="shared" si="51"/>
        <v/>
      </c>
      <c r="C145" s="171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71">
        <f t="shared" si="39"/>
        <v>0</v>
      </c>
      <c r="E145" s="171">
        <f t="shared" si="38"/>
        <v>2050</v>
      </c>
      <c r="F145" t="s">
        <v>23</v>
      </c>
      <c r="G145" s="94">
        <f>IF(F145="Vestdanmark",SUMIFS(IF(E145=År1,'Resultater - Vestdanmark'!H$3:H$504,IF(E145=År2,'Resultater - Vestdanmark'!I$3:I$504,'Resultater - Vestdanmark'!J$3:J$504)),'Resultater - Vestdanmark'!$F$3:$F$504,$A145,IF(E145=År1,'Resultater - Vestdanmark'!H$3:H$504,IF(E145=År2,'Resultater - Vestdanmark'!I$3:I$504,'Resultater - Vestdanmark'!J$3:J$504)),"&gt;0"),SUMIFS(IF(E145=År1,'Resultater - Østdanmark'!H$3:H$504,IF(E145=År2,'Resultater - Østdanmark'!I$3:I$504,'Resultater - Østdanmark'!J$3:J$504)),'Resultater - Østdanmark'!$F$3:$F$504,$A145,IF(E145=År1,'Resultater - Østdanmark'!H$3:H$504,IF(E145=År2,'Resultater - Østdanmark'!I$3:I$504,'Resultater - Østdanmark'!J$3:J$504)),"&gt;0"))</f>
        <v>0</v>
      </c>
      <c r="H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forbrug'!H$3,'Forbrug af biomasse'!$B$2:$B$425,$F145)</f>
        <v>0</v>
      </c>
      <c r="I145">
        <f>IF(F145="Vestdanmark",-IF(A145="Halm",SUMIFS(IF(E145=År1,'Resultater - Vestdanmark'!H$3:H$504,IF(E145=År2,'Resultater - Vestdanmark'!I$3:I$504,'Resultater - Vestdanmark'!J$3:J$504)),'Resultater - Vestdanmark'!$F$3:$F$504,$A145,'Resultater - Vestdanmark'!H$3:H$504,"&lt;0"),0),-IF(A145="Halm",SUMIFS(IF(E145=År1,'Resultater - Østdanmark'!H$3:H$504,IF(E145=År2,'Resultater - Østdanmark'!I$3:I$504,'Resultater - Østdanmark'!J$3:J$504)),'Resultater - Østdanmark'!$F$3:$F$504,$A145,'Resultater - Østdanmark'!H$3:H$504,"&lt;0"),0))</f>
        <v>0</v>
      </c>
      <c r="J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forbrug'!J$3,'Forbrug af biomasse'!$B$2:$B$425,$F145)</f>
        <v>0</v>
      </c>
      <c r="K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forbrug'!K$3,'Forbrug af biomasse'!$B$2:$B$425,$F145)</f>
        <v>0</v>
      </c>
      <c r="L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forbrug'!L$3,'Forbrug af biomasse'!$B$2:$B$425,$F145)</f>
        <v>0</v>
      </c>
      <c r="M145" s="94">
        <f>IF(A145&lt;&gt;"Biogas",SUMIFS('Forbrug af biomasse'!$E$2:$E$425,'Forbrug af biomasse'!$C$2:$C$425,'Resultat-Produktion &amp; forbrug'!$A145,'Forbrug af biomasse'!$D$2:$D$425,'Resultat-Produktion &amp; forbrug'!$E145,'Forbrug af biomasse'!$A$2:$A$425,'Resultat-Produktion &amp; forbrug'!M$3,'Forbrug af biomasse'!$B$2:$B$425,$F145),G145)</f>
        <v>0</v>
      </c>
      <c r="N145" s="94">
        <f>SUMIFS('Forbrug af biomasse'!E:E,'Forbrug af biomasse'!C:C,'Resultat-Produktion &amp; forbrug'!$A145,'Forbrug af biomasse'!D:D,'Resultat-Produktion &amp; forbrug'!$E145,'Forbrug af biomasse'!G:G,1,'Forbrug af biomasse'!B:B,$F145)</f>
        <v>0</v>
      </c>
      <c r="O145" s="179">
        <f t="shared" si="26"/>
        <v>0</v>
      </c>
      <c r="P145" s="94">
        <f t="shared" si="43"/>
        <v>0</v>
      </c>
      <c r="Q145" s="180">
        <f t="shared" si="27"/>
        <v>0</v>
      </c>
      <c r="R145">
        <f>IFERROR(VLOOKUP(A145,[1]Energiindhold!$A$2:$C$11,3,FALSE),IFERROR(VLOOKUP(A145,[1]Biogasudbytte!$A$2:$B$18,2,FALSE)*[1]Energiindhold!$C$10,0))*P145</f>
        <v>0</v>
      </c>
      <c r="S145">
        <f>IF(A145&lt;&gt;"Biogas",IFERROR(VLOOKUP(A145,[1]Biogasudbytte!$A$2:$B$18,2,FALSE)*[1]Energiindhold!$C$10,0)*K145*IFERROR(VLOOKUP(A145,Biogasanlæg!$F$3:$G$8,2,FALSE),1)+IFERROR(VLOOKUP(A145,[1]Energiindhold!$A$2:$C$11,3,FALSE),0)*M145+IF(E145&lt;&gt;År1,R145,0),0)</f>
        <v>0</v>
      </c>
      <c r="T145">
        <f>IFERROR(VLOOKUP(A145,[1]Biogasudbytte!$A$2:$B$18,2,FALSE)*[1]Energiindhold!$C$10,0)*K145*IFERROR(VLOOKUP(A145,Biogasanlæg!$F$3:$G$8,2,FALSE),1)</f>
        <v>0</v>
      </c>
      <c r="U145" s="170">
        <f t="shared" si="28"/>
        <v>0</v>
      </c>
      <c r="V145" s="169">
        <f>P145*IFERROR(VLOOKUP(A145,[1]Tørstofindhold!A$2:B$24,2,FALSE),0)</f>
        <v>0</v>
      </c>
      <c r="W145">
        <f>IF(E145=År1,Q145,SUM(P145,Q145))*IFERROR(VLOOKUP(A145,[1]Tørstofindhold!A$2:B$24,2,FALSE),0)</f>
        <v>0</v>
      </c>
      <c r="X145">
        <f>K145*IFERROR(VLOOKUP(A145,[1]Tørstofindhold!A$2:B$24,2,FALSE),0)</f>
        <v>0</v>
      </c>
      <c r="Y145" s="170">
        <f t="shared" si="29"/>
        <v>0</v>
      </c>
      <c r="Z145">
        <f t="shared" si="47"/>
        <v>0</v>
      </c>
      <c r="AA145">
        <f t="shared" si="48"/>
        <v>0</v>
      </c>
      <c r="AB145" s="94">
        <f t="shared" si="49"/>
        <v>0</v>
      </c>
      <c r="AC145">
        <f>AB145*D145*10000*VLOOKUP(A145,[1]kcal!$A$2:$C$49,3,FALSE)/1000000000000</f>
        <v>0</v>
      </c>
    </row>
    <row r="146" spans="1:29" x14ac:dyDescent="0.25">
      <c r="A146" s="171" t="str">
        <f t="shared" si="50"/>
        <v>Træ til energi</v>
      </c>
      <c r="B146" s="171" t="str">
        <f t="shared" si="51"/>
        <v>Vedmasse</v>
      </c>
      <c r="C146" s="171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1</v>
      </c>
      <c r="D146" s="171">
        <f t="shared" si="39"/>
        <v>0</v>
      </c>
      <c r="E146" s="171">
        <f t="shared" si="38"/>
        <v>2050</v>
      </c>
      <c r="F146" t="s">
        <v>23</v>
      </c>
      <c r="G146" s="94">
        <f ca="1">IF(F146="Vestdanmark",SUMIFS(IF(E146=År1,'Resultater - Vestdanmark'!H$3:H$504,IF(E146=År2,'Resultater - Vestdanmark'!I$3:I$504,'Resultater - Vestdanmark'!J$3:J$504)),'Resultater - Vestdanmark'!$F$3:$F$504,$A146,IF(E146=År1,'Resultater - Vestdanmark'!H$3:H$504,IF(E146=År2,'Resultater - Vestdanmark'!I$3:I$504,'Resultater - Vestdanmark'!J$3:J$504)),"&gt;0"),SUMIFS(IF(E146=År1,'Resultater - Østdanmark'!H$3:H$504,IF(E146=År2,'Resultater - Østdanmark'!I$3:I$504,'Resultater - Østdanmark'!J$3:J$504)),'Resultater - Østdanmark'!$F$3:$F$504,$A146,IF(E146=År1,'Resultater - Østdanmark'!H$3:H$504,IF(E146=År2,'Resultater - Østdanmark'!I$3:I$504,'Resultater - Østdanmark'!J$3:J$504)),"&gt;0"))</f>
        <v>2312878.2492368715</v>
      </c>
      <c r="H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forbrug'!H$3,'Forbrug af biomasse'!$B$2:$B$425,$F146)</f>
        <v>0</v>
      </c>
      <c r="I146">
        <f>IF(F146="Vestdanmark",-IF(A146="Halm",SUMIFS(IF(E146=År1,'Resultater - Vestdanmark'!H$3:H$504,IF(E146=År2,'Resultater - Vestdanmark'!I$3:I$504,'Resultater - Vestdanmark'!J$3:J$504)),'Resultater - Vestdanmark'!$F$3:$F$504,$A146,'Resultater - Vestdanmark'!H$3:H$504,"&lt;0"),0),-IF(A146="Halm",SUMIFS(IF(E146=År1,'Resultater - Østdanmark'!H$3:H$504,IF(E146=År2,'Resultater - Østdanmark'!I$3:I$504,'Resultater - Østdanmark'!J$3:J$504)),'Resultater - Østdanmark'!$F$3:$F$504,$A146,'Resultater - Østdanmark'!H$3:H$504,"&lt;0"),0))</f>
        <v>0</v>
      </c>
      <c r="J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forbrug'!J$3,'Forbrug af biomasse'!$B$2:$B$425,$F146)</f>
        <v>0</v>
      </c>
      <c r="K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forbrug'!K$3,'Forbrug af biomasse'!$B$2:$B$425,$F146)</f>
        <v>0</v>
      </c>
      <c r="L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forbrug'!L$3,'Forbrug af biomasse'!$B$2:$B$425,$F146)</f>
        <v>0</v>
      </c>
      <c r="M146" s="94">
        <f ca="1">IF(A146&lt;&gt;"Biogas",SUMIFS('Forbrug af biomasse'!$E$2:$E$425,'Forbrug af biomasse'!$C$2:$C$425,'Resultat-Produktion &amp; forbrug'!$A146,'Forbrug af biomasse'!$D$2:$D$425,'Resultat-Produktion &amp; forbrug'!$E146,'Forbrug af biomasse'!$A$2:$A$425,'Resultat-Produktion &amp; forbrug'!M$3,'Forbrug af biomasse'!$B$2:$B$425,$F146),G146)</f>
        <v>2312878.2492368715</v>
      </c>
      <c r="N146" s="94">
        <f>SUMIFS('Forbrug af biomasse'!E:E,'Forbrug af biomasse'!C:C,'Resultat-Produktion &amp; forbrug'!$A146,'Forbrug af biomasse'!D:D,'Resultat-Produktion &amp; forbrug'!$E146,'Forbrug af biomasse'!G:G,1,'Forbrug af biomasse'!B:B,$F146)</f>
        <v>0</v>
      </c>
      <c r="O146" s="179">
        <f t="shared" ca="1" si="26"/>
        <v>0</v>
      </c>
      <c r="P146" s="94">
        <f t="shared" ca="1" si="43"/>
        <v>0</v>
      </c>
      <c r="Q146" s="180">
        <f t="shared" ca="1" si="27"/>
        <v>2312878.2492368715</v>
      </c>
      <c r="R146">
        <f ca="1">IFERROR(VLOOKUP(A146,[1]Energiindhold!$A$2:$C$11,3,FALSE),IFERROR(VLOOKUP(A146,[1]Biogasudbytte!$A$2:$B$18,2,FALSE)*[1]Energiindhold!$C$10,0))*P146</f>
        <v>0</v>
      </c>
      <c r="S146">
        <f ca="1">IF(A146&lt;&gt;"Biogas",IFERROR(VLOOKUP(A146,[1]Biogasudbytte!$A$2:$B$18,2,FALSE)*[1]Energiindhold!$C$10,0)*K146*IFERROR(VLOOKUP(A146,Biogasanlæg!$F$3:$G$8,2,FALSE),1)+IFERROR(VLOOKUP(A146,[1]Energiindhold!$A$2:$C$11,3,FALSE),0)*M146+IF(E146&lt;&gt;År1,R146,0),0)</f>
        <v>33.521860264419189</v>
      </c>
      <c r="T146">
        <f>IFERROR(VLOOKUP(A146,[1]Biogasudbytte!$A$2:$B$18,2,FALSE)*[1]Energiindhold!$C$10,0)*K146*IFERROR(VLOOKUP(A146,Biogasanlæg!$F$3:$G$8,2,FALSE),1)</f>
        <v>0</v>
      </c>
      <c r="U146" s="170">
        <f t="shared" ca="1" si="28"/>
        <v>33.521860264419189</v>
      </c>
      <c r="V146" s="169">
        <f ca="1">P146*IFERROR(VLOOKUP(A146,[1]Tørstofindhold!A$2:B$24,2,FALSE),0)</f>
        <v>0</v>
      </c>
      <c r="W146">
        <f ca="1">IF(E146=År1,Q146,SUM(P146,Q146))*IFERROR(VLOOKUP(A146,[1]Tørstofindhold!A$2:B$24,2,FALSE),0)</f>
        <v>1143911.034101736</v>
      </c>
      <c r="X146">
        <f>K146*IFERROR(VLOOKUP(A146,[1]Tørstofindhold!A$2:B$24,2,FALSE),0)</f>
        <v>0</v>
      </c>
      <c r="Y146" s="170">
        <f t="shared" ca="1" si="29"/>
        <v>1143911.034101736</v>
      </c>
      <c r="Z146">
        <f t="shared" ca="1" si="47"/>
        <v>0</v>
      </c>
      <c r="AA146">
        <f t="shared" ca="1" si="48"/>
        <v>0</v>
      </c>
      <c r="AB146" s="94">
        <f t="shared" ca="1" si="49"/>
        <v>2312878.2492368715</v>
      </c>
      <c r="AC146">
        <f ca="1">AB146*D146*10000*VLOOKUP(A146,[1]kcal!$A$2:$C$49,3,FALSE)/1000000000000</f>
        <v>0</v>
      </c>
    </row>
    <row r="147" spans="1:29" x14ac:dyDescent="0.25">
      <c r="A147" s="171" t="str">
        <f t="shared" si="50"/>
        <v>Træmaterialer</v>
      </c>
      <c r="B147" s="171" t="str">
        <f t="shared" si="51"/>
        <v/>
      </c>
      <c r="C147" s="171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71">
        <f t="shared" si="39"/>
        <v>0</v>
      </c>
      <c r="E147" s="171">
        <f t="shared" si="38"/>
        <v>2050</v>
      </c>
      <c r="F147" t="s">
        <v>23</v>
      </c>
      <c r="G147" s="94">
        <f ca="1">IF(F147="Vestdanmark",SUMIFS(IF(E147=År1,'Resultater - Vestdanmark'!H$3:H$504,IF(E147=År2,'Resultater - Vestdanmark'!I$3:I$504,'Resultater - Vestdanmark'!J$3:J$504)),'Resultater - Vestdanmark'!$F$3:$F$504,$A147,IF(E147=År1,'Resultater - Vestdanmark'!H$3:H$504,IF(E147=År2,'Resultater - Vestdanmark'!I$3:I$504,'Resultater - Vestdanmark'!J$3:J$504)),"&gt;0"),SUMIFS(IF(E147=År1,'Resultater - Østdanmark'!H$3:H$504,IF(E147=År2,'Resultater - Østdanmark'!I$3:I$504,'Resultater - Østdanmark'!J$3:J$504)),'Resultater - Østdanmark'!$F$3:$F$504,$A147,IF(E147=År1,'Resultater - Østdanmark'!H$3:H$504,IF(E147=År2,'Resultater - Østdanmark'!I$3:I$504,'Resultater - Østdanmark'!J$3:J$504)),"&gt;0"))</f>
        <v>676235.95848651009</v>
      </c>
      <c r="H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forbrug'!H$3,'Forbrug af biomasse'!$B$2:$B$425,$F147)</f>
        <v>0</v>
      </c>
      <c r="I147">
        <f>IF(F147="Vestdanmark",-IF(A147="Halm",SUMIFS(IF(E147=År1,'Resultater - Vestdanmark'!H$3:H$504,IF(E147=År2,'Resultater - Vestdanmark'!I$3:I$504,'Resultater - Vestdanmark'!J$3:J$504)),'Resultater - Vestdanmark'!$F$3:$F$504,$A147,'Resultater - Vestdanmark'!H$3:H$504,"&lt;0"),0),-IF(A147="Halm",SUMIFS(IF(E147=År1,'Resultater - Østdanmark'!H$3:H$504,IF(E147=År2,'Resultater - Østdanmark'!I$3:I$504,'Resultater - Østdanmark'!J$3:J$504)),'Resultater - Østdanmark'!$F$3:$F$504,$A147,'Resultater - Østdanmark'!H$3:H$504,"&lt;0"),0))</f>
        <v>0</v>
      </c>
      <c r="J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forbrug'!J$3,'Forbrug af biomasse'!$B$2:$B$425,$F147)</f>
        <v>0</v>
      </c>
      <c r="K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forbrug'!K$3,'Forbrug af biomasse'!$B$2:$B$425,$F147)</f>
        <v>0</v>
      </c>
      <c r="L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forbrug'!L$3,'Forbrug af biomasse'!$B$2:$B$425,$F147)</f>
        <v>0</v>
      </c>
      <c r="M147" s="94">
        <f>IF(A147&lt;&gt;"Biogas",SUMIFS('Forbrug af biomasse'!$E$2:$E$425,'Forbrug af biomasse'!$C$2:$C$425,'Resultat-Produktion &amp; forbrug'!$A147,'Forbrug af biomasse'!$D$2:$D$425,'Resultat-Produktion &amp; forbrug'!$E147,'Forbrug af biomasse'!$A$2:$A$425,'Resultat-Produktion &amp; forbrug'!M$3,'Forbrug af biomasse'!$B$2:$B$425,$F147),G147)</f>
        <v>0</v>
      </c>
      <c r="N147" s="94">
        <f ca="1">SUMIFS('Forbrug af biomasse'!E:E,'Forbrug af biomasse'!C:C,'Resultat-Produktion &amp; forbrug'!$A147,'Forbrug af biomasse'!D:D,'Resultat-Produktion &amp; forbrug'!$E147,'Forbrug af biomasse'!G:G,1,'Forbrug af biomasse'!B:B,$F147)</f>
        <v>676235.95848651009</v>
      </c>
      <c r="O147" s="179">
        <f t="shared" ca="1" si="26"/>
        <v>0</v>
      </c>
      <c r="P147" s="94">
        <f t="shared" si="43"/>
        <v>0</v>
      </c>
      <c r="Q147" s="180">
        <f t="shared" si="27"/>
        <v>0</v>
      </c>
      <c r="R147">
        <f>IFERROR(VLOOKUP(A147,[1]Energiindhold!$A$2:$C$11,3,FALSE),IFERROR(VLOOKUP(A147,[1]Biogasudbytte!$A$2:$B$18,2,FALSE)*[1]Energiindhold!$C$10,0))*P147</f>
        <v>0</v>
      </c>
      <c r="S147">
        <f>IF(A147&lt;&gt;"Biogas",IFERROR(VLOOKUP(A147,[1]Biogasudbytte!$A$2:$B$18,2,FALSE)*[1]Energiindhold!$C$10,0)*K147*IFERROR(VLOOKUP(A147,Biogasanlæg!$F$3:$G$8,2,FALSE),1)+IFERROR(VLOOKUP(A147,[1]Energiindhold!$A$2:$C$11,3,FALSE),0)*M147+IF(E147&lt;&gt;År1,R147,0),0)</f>
        <v>0</v>
      </c>
      <c r="T147">
        <f>IFERROR(VLOOKUP(A147,[1]Biogasudbytte!$A$2:$B$18,2,FALSE)*[1]Energiindhold!$C$10,0)*K147*IFERROR(VLOOKUP(A147,Biogasanlæg!$F$3:$G$8,2,FALSE),1)</f>
        <v>0</v>
      </c>
      <c r="U147" s="170">
        <f t="shared" si="28"/>
        <v>0</v>
      </c>
      <c r="V147" s="169">
        <f>P147*IFERROR(VLOOKUP(A147,[1]Tørstofindhold!A$2:B$24,2,FALSE),0)</f>
        <v>0</v>
      </c>
      <c r="W147">
        <f>IF(E147=År1,Q147,SUM(P147,Q147))*IFERROR(VLOOKUP(A147,[1]Tørstofindhold!A$2:B$24,2,FALSE),0)</f>
        <v>0</v>
      </c>
      <c r="X147">
        <f>K147*IFERROR(VLOOKUP(A147,[1]Tørstofindhold!A$2:B$24,2,FALSE),0)</f>
        <v>0</v>
      </c>
      <c r="Y147" s="170">
        <f t="shared" si="29"/>
        <v>0</v>
      </c>
      <c r="Z147">
        <f t="shared" ca="1" si="47"/>
        <v>0</v>
      </c>
      <c r="AA147">
        <f t="shared" ca="1" si="48"/>
        <v>0</v>
      </c>
      <c r="AB147" s="94">
        <f t="shared" ca="1" si="49"/>
        <v>676235.95848651009</v>
      </c>
      <c r="AC147">
        <f ca="1">AB147*D147*10000*VLOOKUP(A147,[1]kcal!$A$2:$C$49,3,FALSE)/1000000000000</f>
        <v>0</v>
      </c>
    </row>
    <row r="148" spans="1:29" x14ac:dyDescent="0.25">
      <c r="A148" s="171" t="s">
        <v>15</v>
      </c>
      <c r="B148" s="171"/>
      <c r="C148" s="171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71">
        <f t="shared" si="39"/>
        <v>1</v>
      </c>
      <c r="E148" s="171">
        <f t="shared" ref="E148:E195" si="52">År1</f>
        <v>2019</v>
      </c>
      <c r="F148" t="s">
        <v>24</v>
      </c>
      <c r="G148" s="94">
        <f ca="1">IF(F148="Vestdanmark",SUMIFS(IF(E148=År1,'Resultater - Vestdanmark'!H$3:H$504,IF(E148=År2,'Resultater - Vestdanmark'!I$3:I$504,'Resultater - Vestdanmark'!J$3:J$504)),'Resultater - Vestdanmark'!$F$3:$F$504,$A148,IF(E148=År1,'Resultater - Vestdanmark'!H$3:H$504,IF(E148=År2,'Resultater - Vestdanmark'!I$3:I$504,'Resultater - Vestdanmark'!J$3:J$504)),"&gt;0"),SUMIFS(IF(E148=År1,'Resultater - Østdanmark'!H$3:H$504,IF(E148=År2,'Resultater - Østdanmark'!I$3:I$504,'Resultater - Østdanmark'!J$3:J$504)),'Resultater - Østdanmark'!$F$3:$F$504,$A148,IF(E148=År1,'Resultater - Østdanmark'!H$3:H$504,IF(E148=År2,'Resultater - Østdanmark'!I$3:I$504,'Resultater - Østdanmark'!J$3:J$504)),"&gt;0"))</f>
        <v>18450.007031483605</v>
      </c>
      <c r="H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forbrug'!H$3,'Forbrug af biomasse'!$B$2:$B$425,$F148)</f>
        <v>0</v>
      </c>
      <c r="I148">
        <f>IF(F148="Vestdanmark",-IF(A148="Halm",SUMIFS(IF(E148=År1,'Resultater - Vestdanmark'!H$3:H$504,IF(E148=År2,'Resultater - Vestdanmark'!I$3:I$504,'Resultater - Vestdanmark'!J$3:J$504)),'Resultater - Vestdanmark'!$F$3:$F$504,$A148,'Resultater - Vestdanmark'!H$3:H$504,"&lt;0"),0),-IF(A148="Halm",SUMIFS(IF(E148=År1,'Resultater - Østdanmark'!H$3:H$504,IF(E148=År2,'Resultater - Østdanmark'!I$3:I$504,'Resultater - Østdanmark'!J$3:J$504)),'Resultater - Østdanmark'!$F$3:$F$504,$A148,'Resultater - Østdanmark'!H$3:H$504,"&lt;0"),0))</f>
        <v>0</v>
      </c>
      <c r="J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forbrug'!J$3,'Forbrug af biomasse'!$B$2:$B$425,$F148)</f>
        <v>26880.542267330831</v>
      </c>
      <c r="K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forbrug'!K$3,'Forbrug af biomasse'!$B$2:$B$425,$F148)</f>
        <v>0</v>
      </c>
      <c r="L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forbrug'!L$3,'Forbrug af biomasse'!$B$2:$B$425,$F148)</f>
        <v>0</v>
      </c>
      <c r="M148" s="94">
        <f>IF(A148&lt;&gt;"Biogas",SUMIFS('Forbrug af biomasse'!$E$2:$E$425,'Forbrug af biomasse'!$C$2:$C$425,'Resultat-Produktion &amp; forbrug'!$A148,'Forbrug af biomasse'!$D$2:$D$425,'Resultat-Produktion &amp; forbrug'!$E148,'Forbrug af biomasse'!$A$2:$A$425,'Resultat-Produktion &amp; forbrug'!M$3,'Forbrug af biomasse'!$B$2:$B$425,$F148),G148)</f>
        <v>0</v>
      </c>
      <c r="N148" s="94">
        <f>SUMIFS('Forbrug af biomasse'!E:E,'Forbrug af biomasse'!C:C,'Resultat-Produktion &amp; forbrug'!$A148,'Forbrug af biomasse'!D:D,'Resultat-Produktion &amp; forbrug'!$E148,'Forbrug af biomasse'!G:G,1,'Forbrug af biomasse'!B:B,$F148)</f>
        <v>0</v>
      </c>
      <c r="O148" s="179">
        <f t="shared" ca="1" si="26"/>
        <v>-8430.5352358472264</v>
      </c>
      <c r="P148" s="94">
        <f t="shared" si="43"/>
        <v>0</v>
      </c>
      <c r="Q148" s="180">
        <f t="shared" si="27"/>
        <v>0</v>
      </c>
      <c r="R148">
        <f>IFERROR(VLOOKUP(A148,[1]Energiindhold!$A$2:$C$11,3,FALSE),IFERROR(VLOOKUP(A148,[1]Biogasudbytte!$A$2:$B$18,2,FALSE)*[1]Energiindhold!$C$10,0))*P148</f>
        <v>0</v>
      </c>
      <c r="S148">
        <f>IF(A148&lt;&gt;"Biogas",IFERROR(VLOOKUP(A148,[1]Biogasudbytte!$A$2:$B$18,2,FALSE)*[1]Energiindhold!$C$10,0)*K148*IFERROR(VLOOKUP(A148,Biogasanlæg!$F$3:$G$8,2,FALSE),1)+IFERROR(VLOOKUP(A148,[1]Energiindhold!$A$2:$C$11,3,FALSE),0)*M148+IF(E148&lt;&gt;År1,R148,0),0)</f>
        <v>0</v>
      </c>
      <c r="T148">
        <f>IFERROR(VLOOKUP(A148,[1]Biogasudbytte!$A$2:$B$18,2,FALSE)*[1]Energiindhold!$C$10,0)*K148*IFERROR(VLOOKUP(A148,Biogasanlæg!$F$3:$G$8,2,FALSE),1)</f>
        <v>0</v>
      </c>
      <c r="U148" s="170">
        <f t="shared" si="28"/>
        <v>0</v>
      </c>
      <c r="V148" s="169">
        <f>P148*IFERROR(VLOOKUP(A148,[1]Tørstofindhold!A$2:B$24,2,FALSE),0)</f>
        <v>0</v>
      </c>
      <c r="W148">
        <f>IF(E148=År1,Q148,SUM(P148,Q148))*IFERROR(VLOOKUP(A148,[1]Tørstofindhold!A$2:B$24,2,FALSE),0)</f>
        <v>0</v>
      </c>
      <c r="X148">
        <f>K148*IFERROR(VLOOKUP(A148,[1]Tørstofindhold!A$2:B$24,2,FALSE),0)</f>
        <v>0</v>
      </c>
      <c r="Y148" s="170">
        <f t="shared" si="29"/>
        <v>0</v>
      </c>
      <c r="Z148">
        <f t="shared" ca="1" si="47"/>
        <v>0</v>
      </c>
      <c r="AA148">
        <f t="shared" ca="1" si="48"/>
        <v>1</v>
      </c>
      <c r="AB148" s="94">
        <f t="shared" ca="1" si="49"/>
        <v>18450.007031483605</v>
      </c>
      <c r="AC148">
        <f ca="1">AB148*D148*10000*VLOOKUP(A148,[1]kcal!$A$2:$C$49,3,FALSE)/1000000000000</f>
        <v>2.5461009703447376E-2</v>
      </c>
    </row>
    <row r="149" spans="1:29" x14ac:dyDescent="0.25">
      <c r="A149" s="171" t="s">
        <v>49</v>
      </c>
      <c r="B149" s="171"/>
      <c r="C149" s="171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0</v>
      </c>
      <c r="D149" s="171">
        <f t="shared" si="39"/>
        <v>1</v>
      </c>
      <c r="E149" s="171">
        <f t="shared" si="52"/>
        <v>2019</v>
      </c>
      <c r="F149" t="s">
        <v>24</v>
      </c>
      <c r="G149" s="94">
        <f>IF(F149="Vestdanmark",SUMIFS(IF(E149=År1,'Resultater - Vestdanmark'!H$3:H$504,IF(E149=År2,'Resultater - Vestdanmark'!I$3:I$504,'Resultater - Vestdanmark'!J$3:J$504)),'Resultater - Vestdanmark'!$F$3:$F$504,$A149,IF(E149=År1,'Resultater - Vestdanmark'!H$3:H$504,IF(E149=År2,'Resultater - Vestdanmark'!I$3:I$504,'Resultater - Vestdanmark'!J$3:J$504)),"&gt;0"),SUMIFS(IF(E149=År1,'Resultater - Østdanmark'!H$3:H$504,IF(E149=År2,'Resultater - Østdanmark'!I$3:I$504,'Resultater - Østdanmark'!J$3:J$504)),'Resultater - Østdanmark'!$F$3:$F$504,$A149,IF(E149=År1,'Resultater - Østdanmark'!H$3:H$504,IF(E149=År2,'Resultater - Østdanmark'!I$3:I$504,'Resultater - Østdanmark'!J$3:J$504)),"&gt;0"))</f>
        <v>26972.495538657848</v>
      </c>
      <c r="H149" s="94">
        <f ca="1">SUMIFS('Forbrug af biomasse'!$E$2:$E$425,'Forbrug af biomasse'!$C$2:$C$425,'Resultat-Produktion &amp; forbrug'!$A149,'Forbrug af biomasse'!$D$2:$D$425,'Resultat-Produktion &amp; forbrug'!$E149,'Forbrug af biomasse'!$A$2:$A$425,'Resultat-Produktion &amp; forbrug'!H$3,'Forbrug af biomasse'!$B$2:$B$425,$F149)</f>
        <v>7916.616753740097</v>
      </c>
      <c r="I149">
        <f>IF(F149="Vestdanmark",-IF(A149="Halm",SUMIFS(IF(E149=År1,'Resultater - Vestdanmark'!H$3:H$504,IF(E149=År2,'Resultater - Vestdanmark'!I$3:I$504,'Resultater - Vestdanmark'!J$3:J$504)),'Resultater - Vestdanmark'!$F$3:$F$504,$A149,'Resultater - Vestdanmark'!H$3:H$504,"&lt;0"),0),-IF(A149="Halm",SUMIFS(IF(E149=År1,'Resultater - Østdanmark'!H$3:H$504,IF(E149=År2,'Resultater - Østdanmark'!I$3:I$504,'Resultater - Østdanmark'!J$3:J$504)),'Resultater - Østdanmark'!$F$3:$F$504,$A149,'Resultater - Østdanmark'!H$3:H$504,"&lt;0"),0))</f>
        <v>0</v>
      </c>
      <c r="J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forbrug'!J$3,'Forbrug af biomasse'!$B$2:$B$425,$F149)</f>
        <v>0</v>
      </c>
      <c r="K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forbrug'!K$3,'Forbrug af biomasse'!$B$2:$B$425,$F149)</f>
        <v>0</v>
      </c>
      <c r="L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forbrug'!L$3,'Forbrug af biomasse'!$B$2:$B$425,$F149)</f>
        <v>0</v>
      </c>
      <c r="M149" s="94">
        <f>IF(A149&lt;&gt;"Biogas",SUMIFS('Forbrug af biomasse'!$E$2:$E$425,'Forbrug af biomasse'!$C$2:$C$425,'Resultat-Produktion &amp; forbrug'!$A149,'Forbrug af biomasse'!$D$2:$D$425,'Resultat-Produktion &amp; forbrug'!$E149,'Forbrug af biomasse'!$A$2:$A$425,'Resultat-Produktion &amp; forbrug'!M$3,'Forbrug af biomasse'!$B$2:$B$425,$F149),G149)</f>
        <v>0</v>
      </c>
      <c r="N149" s="94">
        <f>SUMIFS('Forbrug af biomasse'!E:E,'Forbrug af biomasse'!C:C,'Resultat-Produktion &amp; forbrug'!$A149,'Forbrug af biomasse'!D:D,'Resultat-Produktion &amp; forbrug'!$E149,'Forbrug af biomasse'!G:G,1,'Forbrug af biomasse'!B:B,$F149)</f>
        <v>0</v>
      </c>
      <c r="O149" s="179">
        <f t="shared" ca="1" si="26"/>
        <v>19055.87878491775</v>
      </c>
      <c r="P149" s="94">
        <f t="shared" si="43"/>
        <v>0</v>
      </c>
      <c r="Q149" s="180">
        <f t="shared" si="27"/>
        <v>0</v>
      </c>
      <c r="R149">
        <f>IFERROR(VLOOKUP(A149,[1]Energiindhold!$A$2:$C$11,3,FALSE),IFERROR(VLOOKUP(A149,[1]Biogasudbytte!$A$2:$B$18,2,FALSE)*[1]Energiindhold!$C$10,0))*P149</f>
        <v>0</v>
      </c>
      <c r="S149">
        <f>IF(A149&lt;&gt;"Biogas",IFERROR(VLOOKUP(A149,[1]Biogasudbytte!$A$2:$B$18,2,FALSE)*[1]Energiindhold!$C$10,0)*K149*IFERROR(VLOOKUP(A149,Biogasanlæg!$F$3:$G$8,2,FALSE),1)+IFERROR(VLOOKUP(A149,[1]Energiindhold!$A$2:$C$11,3,FALSE),0)*M149+IF(E149&lt;&gt;År1,R149,0),0)</f>
        <v>0</v>
      </c>
      <c r="T149">
        <f>IFERROR(VLOOKUP(A149,[1]Biogasudbytte!$A$2:$B$18,2,FALSE)*[1]Energiindhold!$C$10,0)*K149*IFERROR(VLOOKUP(A149,Biogasanlæg!$F$3:$G$8,2,FALSE),1)</f>
        <v>0</v>
      </c>
      <c r="U149" s="170">
        <f t="shared" si="28"/>
        <v>0</v>
      </c>
      <c r="V149" s="169">
        <f>P149*IFERROR(VLOOKUP(A149,[1]Tørstofindhold!A$2:B$24,2,FALSE),0)</f>
        <v>0</v>
      </c>
      <c r="W149">
        <f>IF(E149=År1,Q149,SUM(P149,Q149))*IFERROR(VLOOKUP(A149,[1]Tørstofindhold!A$2:B$24,2,FALSE),0)</f>
        <v>0</v>
      </c>
      <c r="X149">
        <f>K149*IFERROR(VLOOKUP(A149,[1]Tørstofindhold!A$2:B$24,2,FALSE),0)</f>
        <v>0</v>
      </c>
      <c r="Y149" s="170">
        <f t="shared" si="29"/>
        <v>0</v>
      </c>
      <c r="Z149">
        <f t="shared" ca="1" si="47"/>
        <v>0</v>
      </c>
      <c r="AA149">
        <f t="shared" ca="1" si="48"/>
        <v>1</v>
      </c>
      <c r="AB149" s="94">
        <f t="shared" ca="1" si="49"/>
        <v>19055.87878491775</v>
      </c>
      <c r="AC149">
        <f ca="1">AB149*D149*10000*VLOOKUP(A149,[1]kcal!$A$2:$C$49,3,FALSE)/1000000000000</f>
        <v>0.13234307816125379</v>
      </c>
    </row>
    <row r="150" spans="1:29" x14ac:dyDescent="0.25">
      <c r="A150" s="171" t="s">
        <v>102</v>
      </c>
      <c r="B150" s="171" t="s">
        <v>230</v>
      </c>
      <c r="C150" s="171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71">
        <f t="shared" si="39"/>
        <v>0</v>
      </c>
      <c r="E150" s="171">
        <f t="shared" si="52"/>
        <v>2019</v>
      </c>
      <c r="F150" t="s">
        <v>24</v>
      </c>
      <c r="G150" s="94">
        <f ca="1">IF(F150="Vestdanmark",SUMIFS(IF(E150=År1,'Resultater - Vestdanmark'!H$3:H$504,IF(E150=År2,'Resultater - Vestdanmark'!I$3:I$504,'Resultater - Vestdanmark'!J$3:J$504)),'Resultater - Vestdanmark'!$F$3:$F$504,$A150,IF(E150=År1,'Resultater - Vestdanmark'!H$3:H$504,IF(E150=År2,'Resultater - Vestdanmark'!I$3:I$504,'Resultater - Vestdanmark'!J$3:J$504)),"&gt;0"),SUMIFS(IF(E150=År1,'Resultater - Østdanmark'!H$3:H$504,IF(E150=År2,'Resultater - Østdanmark'!I$3:I$504,'Resultater - Østdanmark'!J$3:J$504)),'Resultater - Østdanmark'!$F$3:$F$504,$A150,IF(E150=År1,'Resultater - Østdanmark'!H$3:H$504,IF(E150=År2,'Resultater - Østdanmark'!I$3:I$504,'Resultater - Østdanmark'!J$3:J$504)),"&gt;0"))</f>
        <v>165083.0224523381</v>
      </c>
      <c r="H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forbrug'!H$3,'Forbrug af biomasse'!$B$2:$B$425,$F150)</f>
        <v>0</v>
      </c>
      <c r="I150">
        <f>IF(F150="Vestdanmark",-IF(A150="Halm",SUMIFS(IF(E150=År1,'Resultater - Vestdanmark'!H$3:H$504,IF(E150=År2,'Resultater - Vestdanmark'!I$3:I$504,'Resultater - Vestdanmark'!J$3:J$504)),'Resultater - Vestdanmark'!$F$3:$F$504,$A150,'Resultater - Vestdanmark'!H$3:H$504,"&lt;0"),0),-IF(A150="Halm",SUMIFS(IF(E150=År1,'Resultater - Østdanmark'!H$3:H$504,IF(E150=År2,'Resultater - Østdanmark'!I$3:I$504,'Resultater - Østdanmark'!J$3:J$504)),'Resultater - Østdanmark'!$F$3:$F$504,$A150,'Resultater - Østdanmark'!H$3:H$504,"&lt;0"),0))</f>
        <v>0</v>
      </c>
      <c r="J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forbrug'!J$3,'Forbrug af biomasse'!$B$2:$B$425,$F150)</f>
        <v>0</v>
      </c>
      <c r="K150" s="94">
        <f ca="1">SUMIFS('Forbrug af biomasse'!$E$2:$E$425,'Forbrug af biomasse'!$C$2:$C$425,'Resultat-Produktion &amp; forbrug'!$A150,'Forbrug af biomasse'!$D$2:$D$425,'Resultat-Produktion &amp; forbrug'!$E150,'Forbrug af biomasse'!$A$2:$A$425,'Resultat-Produktion &amp; forbrug'!K$3,'Forbrug af biomasse'!$B$2:$B$425,$F150)</f>
        <v>335590.35573220561</v>
      </c>
      <c r="L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forbrug'!L$3,'Forbrug af biomasse'!$B$2:$B$425,$F150)</f>
        <v>0</v>
      </c>
      <c r="M150" s="94">
        <f ca="1">IF(A150&lt;&gt;"Biogas",SUMIFS('Forbrug af biomasse'!$E$2:$E$425,'Forbrug af biomasse'!$C$2:$C$425,'Resultat-Produktion &amp; forbrug'!$A150,'Forbrug af biomasse'!$D$2:$D$425,'Resultat-Produktion &amp; forbrug'!$E150,'Forbrug af biomasse'!$A$2:$A$425,'Resultat-Produktion &amp; forbrug'!M$3,'Forbrug af biomasse'!$B$2:$B$425,$F150),G150)</f>
        <v>0</v>
      </c>
      <c r="N150" s="94">
        <f ca="1">SUMIFS('Forbrug af biomasse'!E:E,'Forbrug af biomasse'!C:C,'Resultat-Produktion &amp; forbrug'!$A150,'Forbrug af biomasse'!D:D,'Resultat-Produktion &amp; forbrug'!$E150,'Forbrug af biomasse'!G:G,1,'Forbrug af biomasse'!B:B,$F150)</f>
        <v>0</v>
      </c>
      <c r="O150" s="179">
        <f t="shared" ca="1" si="26"/>
        <v>-170507.33327986751</v>
      </c>
      <c r="P150" s="94">
        <f t="shared" ca="1" si="43"/>
        <v>0</v>
      </c>
      <c r="Q150" s="180">
        <f t="shared" ca="1" si="27"/>
        <v>335590.35573220561</v>
      </c>
      <c r="R150">
        <f ca="1">IFERROR(VLOOKUP(A150,[1]Energiindhold!$A$2:$C$11,3,FALSE),IFERROR(VLOOKUP(A150,[1]Biogasudbytte!$A$2:$B$18,2,FALSE)*[1]Energiindhold!$C$10,0))*P150</f>
        <v>0</v>
      </c>
      <c r="S150">
        <f ca="1">IF(A150&lt;&gt;"Biogas",IFERROR(VLOOKUP(A150,[1]Biogasudbytte!$A$2:$B$18,2,FALSE)*[1]Energiindhold!$C$10,0)*K150*IFERROR(VLOOKUP(A150,Biogasanlæg!$F$3:$G$8,2,FALSE),1)+IFERROR(VLOOKUP(A150,[1]Energiindhold!$A$2:$C$11,3,FALSE),0)*M150+IF(E150&lt;&gt;År1,R150,0),0)</f>
        <v>1.1433261388476088</v>
      </c>
      <c r="T150">
        <f ca="1">IFERROR(VLOOKUP(A150,[1]Biogasudbytte!$A$2:$B$18,2,FALSE)*[1]Energiindhold!$C$10,0)*K150*IFERROR(VLOOKUP(A150,Biogasanlæg!$F$3:$G$8,2,FALSE),1)</f>
        <v>1.1433261388476088</v>
      </c>
      <c r="U150" s="170">
        <f t="shared" ca="1" si="28"/>
        <v>0</v>
      </c>
      <c r="V150" s="169">
        <f ca="1">P150*IFERROR(VLOOKUP(A150,[1]Tørstofindhold!A$2:B$24,2,FALSE),0)</f>
        <v>0</v>
      </c>
      <c r="W150">
        <f ca="1">IF(E150=År1,Q150,SUM(P150,Q150))*IFERROR(VLOOKUP(A150,[1]Tørstofindhold!A$2:B$24,2,FALSE),0)</f>
        <v>93965.299605017586</v>
      </c>
      <c r="X150">
        <f ca="1">K150*IFERROR(VLOOKUP(A150,[1]Tørstofindhold!A$2:B$24,2,FALSE),0)</f>
        <v>93965.299605017586</v>
      </c>
      <c r="Y150" s="170">
        <f t="shared" ca="1" si="29"/>
        <v>0</v>
      </c>
      <c r="Z150">
        <f t="shared" ca="1" si="47"/>
        <v>1</v>
      </c>
      <c r="AA150">
        <f t="shared" ca="1" si="48"/>
        <v>0</v>
      </c>
      <c r="AB150" s="94">
        <f t="shared" ca="1" si="49"/>
        <v>-170507.33327986751</v>
      </c>
      <c r="AC150">
        <f ca="1">AB150*D150*10000*VLOOKUP(A150,[1]kcal!$A$2:$C$49,3,FALSE)/1000000000000</f>
        <v>0</v>
      </c>
    </row>
    <row r="151" spans="1:29" x14ac:dyDescent="0.25">
      <c r="A151" s="171" t="s">
        <v>109</v>
      </c>
      <c r="B151" s="171"/>
      <c r="C151" s="171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1</v>
      </c>
      <c r="D151" s="171">
        <f t="shared" si="39"/>
        <v>0</v>
      </c>
      <c r="E151" s="171">
        <f t="shared" si="52"/>
        <v>2019</v>
      </c>
      <c r="F151" t="s">
        <v>24</v>
      </c>
      <c r="G151" s="94">
        <f ca="1">IF(F151="Vestdanmark",SUMIFS(IF(E151=År1,'Resultater - Vestdanmark'!H$3:H$504,IF(E151=År2,'Resultater - Vestdanmark'!I$3:I$504,'Resultater - Vestdanmark'!J$3:J$504)),'Resultater - Vestdanmark'!$F$3:$F$504,$A151,IF(E151=År1,'Resultater - Vestdanmark'!H$3:H$504,IF(E151=År2,'Resultater - Vestdanmark'!I$3:I$504,'Resultater - Vestdanmark'!J$3:J$504)),"&gt;0"),SUMIFS(IF(E151=År1,'Resultater - Østdanmark'!H$3:H$504,IF(E151=År2,'Resultater - Østdanmark'!I$3:I$504,'Resultater - Østdanmark'!J$3:J$504)),'Resultater - Østdanmark'!$F$3:$F$504,$A151,IF(E151=År1,'Resultater - Østdanmark'!H$3:H$504,IF(E151=År2,'Resultater - Østdanmark'!I$3:I$504,'Resultater - Østdanmark'!J$3:J$504)),"&gt;0"))</f>
        <v>110817068.59908372</v>
      </c>
      <c r="H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forbrug'!H$3,'Forbrug af biomasse'!$B$2:$B$425,$F151)</f>
        <v>0</v>
      </c>
      <c r="I151">
        <f>IF(F151="Vestdanmark",-IF(A151="Halm",SUMIFS(IF(E151=År1,'Resultater - Vestdanmark'!H$3:H$504,IF(E151=År2,'Resultater - Vestdanmark'!I$3:I$504,'Resultater - Vestdanmark'!J$3:J$504)),'Resultater - Vestdanmark'!$F$3:$F$504,$A151,'Resultater - Vestdanmark'!H$3:H$504,"&lt;0"),0),-IF(A151="Halm",SUMIFS(IF(E151=År1,'Resultater - Østdanmark'!H$3:H$504,IF(E151=År2,'Resultater - Østdanmark'!I$3:I$504,'Resultater - Østdanmark'!J$3:J$504)),'Resultater - Østdanmark'!$F$3:$F$504,$A151,'Resultater - Østdanmark'!H$3:H$504,"&lt;0"),0))</f>
        <v>0</v>
      </c>
      <c r="J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forbrug'!J$3,'Forbrug af biomasse'!$B$2:$B$425,$F151)</f>
        <v>0</v>
      </c>
      <c r="K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forbrug'!K$3,'Forbrug af biomasse'!$B$2:$B$425,$F151)</f>
        <v>0</v>
      </c>
      <c r="L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forbrug'!L$3,'Forbrug af biomasse'!$B$2:$B$425,$F151)</f>
        <v>0</v>
      </c>
      <c r="M151" s="94">
        <f ca="1">IF(A151&lt;&gt;"Biogas",SUMIFS('Forbrug af biomasse'!$E$2:$E$425,'Forbrug af biomasse'!$C$2:$C$425,'Resultat-Produktion &amp; forbrug'!$A151,'Forbrug af biomasse'!$D$2:$D$425,'Resultat-Produktion &amp; forbrug'!$E151,'Forbrug af biomasse'!$A$2:$A$425,'Resultat-Produktion &amp; forbrug'!M$3,'Forbrug af biomasse'!$B$2:$B$425,$F151),G151)</f>
        <v>110817068.59908372</v>
      </c>
      <c r="N151" s="94">
        <f>SUMIFS('Forbrug af biomasse'!E:E,'Forbrug af biomasse'!C:C,'Resultat-Produktion &amp; forbrug'!$A151,'Forbrug af biomasse'!D:D,'Resultat-Produktion &amp; forbrug'!$E151,'Forbrug af biomasse'!G:G,1,'Forbrug af biomasse'!B:B,$F151)</f>
        <v>0</v>
      </c>
      <c r="O151" s="179">
        <f t="shared" ref="O151:O216" ca="1" si="53">G151-SUM(H151:N151)</f>
        <v>0</v>
      </c>
      <c r="P151" s="94">
        <f t="shared" ca="1" si="43"/>
        <v>0</v>
      </c>
      <c r="Q151" s="180">
        <f t="shared" ref="Q151:Q216" ca="1" si="54">SUM(K151,M151)</f>
        <v>110817068.59908372</v>
      </c>
      <c r="R151">
        <f ca="1">IFERROR(VLOOKUP(A151,[1]Energiindhold!$A$2:$C$11,3,FALSE),IFERROR(VLOOKUP(A151,[1]Biogasudbytte!$A$2:$B$18,2,FALSE)*[1]Energiindhold!$C$10,0))*P151</f>
        <v>0</v>
      </c>
      <c r="S151">
        <f>IF(A151&lt;&gt;"Biogas",IFERROR(VLOOKUP(A151,[1]Biogasudbytte!$A$2:$B$18,2,FALSE)*[1]Energiindhold!$C$10,0)*K151*IFERROR(VLOOKUP(A151,Biogasanlæg!$F$3:$G$8,2,FALSE),1)+IFERROR(VLOOKUP(A151,[1]Energiindhold!$A$2:$C$11,3,FALSE),0)*M151+IF(E151&lt;&gt;År1,R151,0),0)</f>
        <v>0</v>
      </c>
      <c r="T151">
        <f>IFERROR(VLOOKUP(A151,[1]Biogasudbytte!$A$2:$B$18,2,FALSE)*[1]Energiindhold!$C$10,0)*K151*IFERROR(VLOOKUP(A151,Biogasanlæg!$F$3:$G$8,2,FALSE),1)</f>
        <v>0</v>
      </c>
      <c r="U151" s="170">
        <f t="shared" ref="U151:U216" si="55">S151-T151</f>
        <v>0</v>
      </c>
      <c r="V151" s="169">
        <f ca="1">P151*IFERROR(VLOOKUP(A151,[1]Tørstofindhold!A$2:B$24,2,FALSE),0)</f>
        <v>0</v>
      </c>
      <c r="W151">
        <f ca="1">IF(E151=År1,Q151,SUM(P151,Q151))*IFERROR(VLOOKUP(A151,[1]Tørstofindhold!A$2:B$24,2,FALSE),0)</f>
        <v>0</v>
      </c>
      <c r="X151">
        <f>K151*IFERROR(VLOOKUP(A151,[1]Tørstofindhold!A$2:B$24,2,FALSE),0)</f>
        <v>0</v>
      </c>
      <c r="Y151" s="170">
        <f t="shared" ref="Y151:Y216" ca="1" si="56">W151-X151</f>
        <v>0</v>
      </c>
      <c r="Z151">
        <f t="shared" ca="1" si="47"/>
        <v>0</v>
      </c>
      <c r="AA151">
        <f t="shared" ca="1" si="48"/>
        <v>0</v>
      </c>
      <c r="AB151" s="94">
        <f t="shared" ca="1" si="49"/>
        <v>110817068.59908372</v>
      </c>
      <c r="AC151">
        <f ca="1">AB151*D151*10000*VLOOKUP(A151,[1]kcal!$A$2:$C$49,3,FALSE)/1000000000000</f>
        <v>0</v>
      </c>
    </row>
    <row r="152" spans="1:29" x14ac:dyDescent="0.25">
      <c r="A152" s="171" t="s">
        <v>110</v>
      </c>
      <c r="B152" s="171"/>
      <c r="C152" s="171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0</v>
      </c>
      <c r="D152" s="171">
        <f t="shared" si="39"/>
        <v>0</v>
      </c>
      <c r="E152" s="171">
        <f t="shared" si="52"/>
        <v>2019</v>
      </c>
      <c r="F152" t="s">
        <v>24</v>
      </c>
      <c r="G152" s="94">
        <f ca="1">IF(F152="Vestdanmark",SUMIFS(IF(E152=År1,'Resultater - Vestdanmark'!H$3:H$504,IF(E152=År2,'Resultater - Vestdanmark'!I$3:I$504,'Resultater - Vestdanmark'!J$3:J$504)),'Resultater - Vestdanmark'!$F$3:$F$504,$A152,IF(E152=År1,'Resultater - Vestdanmark'!H$3:H$504,IF(E152=År2,'Resultater - Vestdanmark'!I$3:I$504,'Resultater - Vestdanmark'!J$3:J$504)),"&gt;0"),SUMIFS(IF(E152=År1,'Resultater - Østdanmark'!H$3:H$504,IF(E152=År2,'Resultater - Østdanmark'!I$3:I$504,'Resultater - Østdanmark'!J$3:J$504)),'Resultater - Østdanmark'!$F$3:$F$504,$A152,IF(E152=År1,'Resultater - Østdanmark'!H$3:H$504,IF(E152=År2,'Resultater - Østdanmark'!I$3:I$504,'Resultater - Østdanmark'!J$3:J$504)),"&gt;0"))</f>
        <v>2463073.3914116896</v>
      </c>
      <c r="H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forbrug'!H$3,'Forbrug af biomasse'!$B$2:$B$425,$F152)</f>
        <v>0</v>
      </c>
      <c r="I152">
        <f>IF(F152="Vestdanmark",-IF(A152="Halm",SUMIFS(IF(E152=År1,'Resultater - Vestdanmark'!H$3:H$504,IF(E152=År2,'Resultater - Vestdanmark'!I$3:I$504,'Resultater - Vestdanmark'!J$3:J$504)),'Resultater - Vestdanmark'!$F$3:$F$504,$A152,'Resultater - Vestdanmark'!H$3:H$504,"&lt;0"),0),-IF(A152="Halm",SUMIFS(IF(E152=År1,'Resultater - Østdanmark'!H$3:H$504,IF(E152=År2,'Resultater - Østdanmark'!I$3:I$504,'Resultater - Østdanmark'!J$3:J$504)),'Resultater - Østdanmark'!$F$3:$F$504,$A152,'Resultater - Østdanmark'!H$3:H$504,"&lt;0"),0))</f>
        <v>0</v>
      </c>
      <c r="J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forbrug'!J$3,'Forbrug af biomasse'!$B$2:$B$425,$F152)</f>
        <v>0</v>
      </c>
      <c r="K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forbrug'!K$3,'Forbrug af biomasse'!$B$2:$B$425,$F152)</f>
        <v>0</v>
      </c>
      <c r="L152" s="94">
        <f ca="1">SUMIFS('Forbrug af biomasse'!$E$2:$E$425,'Forbrug af biomasse'!$C$2:$C$425,'Resultat-Produktion &amp; forbrug'!$A152,'Forbrug af biomasse'!$D$2:$D$425,'Resultat-Produktion &amp; forbrug'!$E152,'Forbrug af biomasse'!$A$2:$A$425,'Resultat-Produktion &amp; forbrug'!L$3,'Forbrug af biomasse'!$B$2:$B$425,$F152)</f>
        <v>1801862.1200388186</v>
      </c>
      <c r="M152" s="94">
        <f>IF(A152&lt;&gt;"Biogas",SUMIFS('Forbrug af biomasse'!$E$2:$E$425,'Forbrug af biomasse'!$C$2:$C$425,'Resultat-Produktion &amp; forbrug'!$A152,'Forbrug af biomasse'!$D$2:$D$425,'Resultat-Produktion &amp; forbrug'!$E152,'Forbrug af biomasse'!$A$2:$A$425,'Resultat-Produktion &amp; forbrug'!M$3,'Forbrug af biomasse'!$B$2:$B$425,$F152),G152)</f>
        <v>0</v>
      </c>
      <c r="N152" s="94">
        <f>SUMIFS('Forbrug af biomasse'!E:E,'Forbrug af biomasse'!C:C,'Resultat-Produktion &amp; forbrug'!$A152,'Forbrug af biomasse'!D:D,'Resultat-Produktion &amp; forbrug'!$E152,'Forbrug af biomasse'!G:G,1,'Forbrug af biomasse'!B:B,$F152)</f>
        <v>0</v>
      </c>
      <c r="O152" s="179">
        <f t="shared" ca="1" si="53"/>
        <v>661211.27137287101</v>
      </c>
      <c r="P152" s="94">
        <f t="shared" si="43"/>
        <v>0</v>
      </c>
      <c r="Q152" s="180">
        <f t="shared" si="54"/>
        <v>0</v>
      </c>
      <c r="R152">
        <f>IFERROR(VLOOKUP(A152,[1]Energiindhold!$A$2:$C$11,3,FALSE),IFERROR(VLOOKUP(A152,[1]Biogasudbytte!$A$2:$B$18,2,FALSE)*[1]Energiindhold!$C$10,0))*P152</f>
        <v>0</v>
      </c>
      <c r="S152">
        <f>IF(A152&lt;&gt;"Biogas",IFERROR(VLOOKUP(A152,[1]Biogasudbytte!$A$2:$B$18,2,FALSE)*[1]Energiindhold!$C$10,0)*K152*IFERROR(VLOOKUP(A152,Biogasanlæg!$F$3:$G$8,2,FALSE),1)+IFERROR(VLOOKUP(A152,[1]Energiindhold!$A$2:$C$11,3,FALSE),0)*M152+IF(E152&lt;&gt;År1,R152,0),0)</f>
        <v>0</v>
      </c>
      <c r="T152">
        <f>IFERROR(VLOOKUP(A152,[1]Biogasudbytte!$A$2:$B$18,2,FALSE)*[1]Energiindhold!$C$10,0)*K152*IFERROR(VLOOKUP(A152,Biogasanlæg!$F$3:$G$8,2,FALSE),1)</f>
        <v>0</v>
      </c>
      <c r="U152" s="170">
        <f t="shared" si="55"/>
        <v>0</v>
      </c>
      <c r="V152" s="169">
        <f>P152*IFERROR(VLOOKUP(A152,[1]Tørstofindhold!A$2:B$24,2,FALSE),0)</f>
        <v>0</v>
      </c>
      <c r="W152">
        <f>IF(E152=År1,Q152,SUM(P152,Q152))*IFERROR(VLOOKUP(A152,[1]Tørstofindhold!A$2:B$24,2,FALSE),0)</f>
        <v>0</v>
      </c>
      <c r="X152">
        <f>K152*IFERROR(VLOOKUP(A152,[1]Tørstofindhold!A$2:B$24,2,FALSE),0)</f>
        <v>0</v>
      </c>
      <c r="Y152" s="170">
        <f t="shared" si="56"/>
        <v>0</v>
      </c>
      <c r="Z152">
        <f t="shared" ca="1" si="47"/>
        <v>0</v>
      </c>
      <c r="AA152">
        <f t="shared" ca="1" si="48"/>
        <v>1</v>
      </c>
      <c r="AB152" s="94">
        <f t="shared" ca="1" si="49"/>
        <v>661211.27137287101</v>
      </c>
      <c r="AC152">
        <f ca="1">AB152*D152*10000*VLOOKUP(A152,[1]kcal!$A$2:$C$49,3,FALSE)/1000000000000</f>
        <v>0</v>
      </c>
    </row>
    <row r="153" spans="1:29" x14ac:dyDescent="0.25">
      <c r="A153" s="171" t="s">
        <v>208</v>
      </c>
      <c r="B153" s="171" t="s">
        <v>230</v>
      </c>
      <c r="C153" s="171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71">
        <f t="shared" si="39"/>
        <v>0</v>
      </c>
      <c r="E153" s="171">
        <f t="shared" si="52"/>
        <v>2019</v>
      </c>
      <c r="F153" t="s">
        <v>24</v>
      </c>
      <c r="G153" s="94">
        <f ca="1">IF(F153="Vestdanmark",SUMIFS(IF(E153=År1,'Resultater - Vestdanmark'!H$3:H$504,IF(E153=År2,'Resultater - Vestdanmark'!I$3:I$504,'Resultater - Vestdanmark'!J$3:J$504)),'Resultater - Vestdanmark'!$F$3:$F$504,$A153,IF(E153=År1,'Resultater - Vestdanmark'!H$3:H$504,IF(E153=År2,'Resultater - Vestdanmark'!I$3:I$504,'Resultater - Vestdanmark'!J$3:J$504)),"&gt;0"),SUMIFS(IF(E153=År1,'Resultater - Østdanmark'!H$3:H$504,IF(E153=År2,'Resultater - Østdanmark'!I$3:I$504,'Resultater - Østdanmark'!J$3:J$504)),'Resultater - Østdanmark'!$F$3:$F$504,$A153,IF(E153=År1,'Resultater - Østdanmark'!H$3:H$504,IF(E153=År2,'Resultater - Østdanmark'!I$3:I$504,'Resultater - Østdanmark'!J$3:J$504)),"&gt;0"))</f>
        <v>0</v>
      </c>
      <c r="H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forbrug'!H$3,'Forbrug af biomasse'!$B$2:$B$425,$F153)</f>
        <v>0</v>
      </c>
      <c r="I153">
        <f>IF(F153="Vestdanmark",-IF(A153="Halm",SUMIFS(IF(E153=År1,'Resultater - Vestdanmark'!H$3:H$504,IF(E153=År2,'Resultater - Vestdanmark'!I$3:I$504,'Resultater - Vestdanmark'!J$3:J$504)),'Resultater - Vestdanmark'!$F$3:$F$504,$A153,'Resultater - Vestdanmark'!H$3:H$504,"&lt;0"),0),-IF(A153="Halm",SUMIFS(IF(E153=År1,'Resultater - Østdanmark'!H$3:H$504,IF(E153=År2,'Resultater - Østdanmark'!I$3:I$504,'Resultater - Østdanmark'!J$3:J$504)),'Resultater - Østdanmark'!$F$3:$F$504,$A153,'Resultater - Østdanmark'!H$3:H$504,"&lt;0"),0))</f>
        <v>0</v>
      </c>
      <c r="J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forbrug'!J$3,'Forbrug af biomasse'!$B$2:$B$425,$F153)</f>
        <v>0</v>
      </c>
      <c r="K153" s="94">
        <f ca="1">SUMIFS('Forbrug af biomasse'!$E$2:$E$425,'Forbrug af biomasse'!$C$2:$C$425,'Resultat-Produktion &amp; forbrug'!$A153,'Forbrug af biomasse'!$D$2:$D$425,'Resultat-Produktion &amp; forbrug'!$E153,'Forbrug af biomasse'!$A$2:$A$425,'Resultat-Produktion &amp; forbrug'!K$3,'Forbrug af biomasse'!$B$2:$B$425,$F153)</f>
        <v>0</v>
      </c>
      <c r="L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forbrug'!L$3,'Forbrug af biomasse'!$B$2:$B$425,$F153)</f>
        <v>0</v>
      </c>
      <c r="M153" s="94">
        <f>IF(A153&lt;&gt;"Biogas",SUMIFS('Forbrug af biomasse'!$E$2:$E$425,'Forbrug af biomasse'!$C$2:$C$425,'Resultat-Produktion &amp; forbrug'!$A153,'Forbrug af biomasse'!$D$2:$D$425,'Resultat-Produktion &amp; forbrug'!$E153,'Forbrug af biomasse'!$A$2:$A$425,'Resultat-Produktion &amp; forbrug'!M$3,'Forbrug af biomasse'!$B$2:$B$425,$F153),G153)</f>
        <v>0</v>
      </c>
      <c r="N153" s="94">
        <f>SUMIFS('Forbrug af biomasse'!E:E,'Forbrug af biomasse'!C:C,'Resultat-Produktion &amp; forbrug'!$A153,'Forbrug af biomasse'!D:D,'Resultat-Produktion &amp; forbrug'!$E153,'Forbrug af biomasse'!G:G,1,'Forbrug af biomasse'!B:B,$F153)</f>
        <v>0</v>
      </c>
      <c r="O153" s="179">
        <f t="shared" ca="1" si="53"/>
        <v>0</v>
      </c>
      <c r="P153" s="94">
        <f t="shared" ca="1" si="43"/>
        <v>0</v>
      </c>
      <c r="Q153" s="180">
        <f t="shared" ca="1" si="54"/>
        <v>0</v>
      </c>
      <c r="R153">
        <f ca="1">IFERROR(VLOOKUP(A153,[1]Energiindhold!$A$2:$C$11,3,FALSE),IFERROR(VLOOKUP(A153,[1]Biogasudbytte!$A$2:$B$18,2,FALSE)*[1]Energiindhold!$C$10,0))*P153</f>
        <v>0</v>
      </c>
      <c r="S153">
        <f ca="1">IF(A153&lt;&gt;"Biogas",IFERROR(VLOOKUP(A153,[1]Biogasudbytte!$A$2:$B$18,2,FALSE)*[1]Energiindhold!$C$10,0)*K153*IFERROR(VLOOKUP(A153,Biogasanlæg!$F$3:$G$8,2,FALSE),1)+IFERROR(VLOOKUP(A153,[1]Energiindhold!$A$2:$C$11,3,FALSE),0)*M153+IF(E153&lt;&gt;År1,R153,0),0)</f>
        <v>0</v>
      </c>
      <c r="T153">
        <f ca="1">IFERROR(VLOOKUP(A153,[1]Biogasudbytte!$A$2:$B$18,2,FALSE)*[1]Energiindhold!$C$10,0)*K153*IFERROR(VLOOKUP(A153,Biogasanlæg!$F$3:$G$8,2,FALSE),1)</f>
        <v>0</v>
      </c>
      <c r="U153" s="170">
        <f t="shared" ca="1" si="55"/>
        <v>0</v>
      </c>
      <c r="V153" s="169">
        <f ca="1">P153*IFERROR(VLOOKUP(A153,[1]Tørstofindhold!A$2:B$24,2,FALSE),0)</f>
        <v>0</v>
      </c>
      <c r="W153">
        <f ca="1">IF(E153=År1,Q153,SUM(P153,Q153))*IFERROR(VLOOKUP(A153,[1]Tørstofindhold!A$2:B$24,2,FALSE),0)</f>
        <v>0</v>
      </c>
      <c r="X153">
        <f ca="1">K153*IFERROR(VLOOKUP(A153,[1]Tørstofindhold!A$2:B$24,2,FALSE),0)</f>
        <v>0</v>
      </c>
      <c r="Y153" s="170">
        <f t="shared" ca="1" si="56"/>
        <v>0</v>
      </c>
      <c r="Z153">
        <f t="shared" ca="1" si="47"/>
        <v>0</v>
      </c>
      <c r="AA153">
        <f t="shared" ca="1" si="48"/>
        <v>0</v>
      </c>
      <c r="AB153" s="94">
        <f t="shared" ca="1" si="49"/>
        <v>0</v>
      </c>
      <c r="AC153">
        <f ca="1">AB153*D153*10000*VLOOKUP(A153,[1]kcal!$A$2:$C$49,3,FALSE)/1000000000000</f>
        <v>0</v>
      </c>
    </row>
    <row r="154" spans="1:29" x14ac:dyDescent="0.25">
      <c r="A154" t="s">
        <v>101</v>
      </c>
      <c r="B154" s="171" t="s">
        <v>222</v>
      </c>
      <c r="C154" s="171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1</v>
      </c>
      <c r="D154" s="171">
        <f t="shared" si="39"/>
        <v>0</v>
      </c>
      <c r="E154" s="171">
        <f t="shared" si="52"/>
        <v>2019</v>
      </c>
      <c r="F154" t="s">
        <v>24</v>
      </c>
      <c r="G154" s="94">
        <f ca="1">IF(F154="Vestdanmark",SUMIFS(IF(E154=År1,'Resultater - Vestdanmark'!H$3:H$504,IF(E154=År2,'Resultater - Vestdanmark'!I$3:I$504,'Resultater - Vestdanmark'!J$3:J$504)),'Resultater - Vestdanmark'!$F$3:$F$504,$A154,IF(E154=År1,'Resultater - Vestdanmark'!H$3:H$504,IF(E154=År2,'Resultater - Vestdanmark'!I$3:I$504,'Resultater - Vestdanmark'!J$3:J$504)),"&gt;0"),SUMIFS(IF(E154=År1,'Resultater - Østdanmark'!H$3:H$504,IF(E154=År2,'Resultater - Østdanmark'!I$3:I$504,'Resultater - Østdanmark'!J$3:J$504)),'Resultater - Østdanmark'!$F$3:$F$504,$A154,IF(E154=År1,'Resultater - Østdanmark'!H$3:H$504,IF(E154=År2,'Resultater - Østdanmark'!I$3:I$504,'Resultater - Østdanmark'!J$3:J$504)),"&gt;0"))</f>
        <v>332759.92297580565</v>
      </c>
      <c r="H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forbrug'!H$3,'Forbrug af biomasse'!$B$2:$B$425,$F154)</f>
        <v>0</v>
      </c>
      <c r="I154">
        <f>IF(F154="Vestdanmark",-IF(A154="Halm",SUMIFS(IF(E154=År1,'Resultater - Vestdanmark'!H$3:H$504,IF(E154=År2,'Resultater - Vestdanmark'!I$3:I$504,'Resultater - Vestdanmark'!J$3:J$504)),'Resultater - Vestdanmark'!$F$3:$F$504,$A154,'Resultater - Vestdanmark'!H$3:H$504,"&lt;0"),0),-IF(A154="Halm",SUMIFS(IF(E154=År1,'Resultater - Østdanmark'!H$3:H$504,IF(E154=År2,'Resultater - Østdanmark'!I$3:I$504,'Resultater - Østdanmark'!J$3:J$504)),'Resultater - Østdanmark'!$F$3:$F$504,$A154,'Resultater - Østdanmark'!H$3:H$504,"&lt;0"),0))</f>
        <v>0</v>
      </c>
      <c r="J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forbrug'!J$3,'Forbrug af biomasse'!$B$2:$B$425,$F154)</f>
        <v>0</v>
      </c>
      <c r="K154" s="94">
        <f ca="1">SUMIFS('Forbrug af biomasse'!$E$2:$E$425,'Forbrug af biomasse'!$C$2:$C$425,'Resultat-Produktion &amp; forbrug'!$A154,'Forbrug af biomasse'!$D$2:$D$425,'Resultat-Produktion &amp; forbrug'!$E154,'Forbrug af biomasse'!$A$2:$A$425,'Resultat-Produktion &amp; forbrug'!K$3,'Forbrug af biomasse'!$B$2:$B$425,$F154)</f>
        <v>85892.328449707566</v>
      </c>
      <c r="L154" s="94">
        <f ca="1">SUMIFS('Forbrug af biomasse'!$E$2:$E$425,'Forbrug af biomasse'!$C$2:$C$425,'Resultat-Produktion &amp; forbrug'!$A154,'Forbrug af biomasse'!$D$2:$D$425,'Resultat-Produktion &amp; forbrug'!$E154,'Forbrug af biomasse'!$A$2:$A$425,'Resultat-Produktion &amp; forbrug'!L$3,'Forbrug af biomasse'!$B$2:$B$425,$F154)</f>
        <v>93457.017927737121</v>
      </c>
      <c r="M154" s="94">
        <f>IF(A154&lt;&gt;"Biogas",SUMIFS('Forbrug af biomasse'!$E$2:$E$425,'Forbrug af biomasse'!$C$2:$C$425,'Resultat-Produktion &amp; forbrug'!$A154,'Forbrug af biomasse'!$D$2:$D$425,'Resultat-Produktion &amp; forbrug'!$E154,'Forbrug af biomasse'!$A$2:$A$425,'Resultat-Produktion &amp; forbrug'!M$3,'Forbrug af biomasse'!$B$2:$B$425,$F154),G154)</f>
        <v>0</v>
      </c>
      <c r="N154" s="94">
        <f>SUMIFS('Forbrug af biomasse'!E:E,'Forbrug af biomasse'!C:C,'Resultat-Produktion &amp; forbrug'!$A154,'Forbrug af biomasse'!D:D,'Resultat-Produktion &amp; forbrug'!$E154,'Forbrug af biomasse'!G:G,1,'Forbrug af biomasse'!B:B,$F154)</f>
        <v>0</v>
      </c>
      <c r="O154" s="179">
        <f t="shared" ca="1" si="53"/>
        <v>153410.57659836096</v>
      </c>
      <c r="P154" s="94">
        <f t="shared" ca="1" si="43"/>
        <v>153410.57659836096</v>
      </c>
      <c r="Q154" s="180">
        <f t="shared" ca="1" si="54"/>
        <v>85892.328449707566</v>
      </c>
      <c r="R154">
        <f ca="1">IFERROR(VLOOKUP(A154,[1]Energiindhold!$A$2:$C$11,3,FALSE),IFERROR(VLOOKUP(A154,[1]Biogasudbytte!$A$2:$B$18,2,FALSE)*[1]Energiindhold!$C$10,0))*P154</f>
        <v>0.33044638199286952</v>
      </c>
      <c r="S154">
        <f ca="1">IF(A154&lt;&gt;"Biogas",IFERROR(VLOOKUP(A154,[1]Biogasudbytte!$A$2:$B$18,2,FALSE)*[1]Energiindhold!$C$10,0)*K154*IFERROR(VLOOKUP(A154,Biogasanlæg!$F$3:$G$8,2,FALSE),1)+IFERROR(VLOOKUP(A154,[1]Energiindhold!$A$2:$C$11,3,FALSE),0)*M154+IF(E154&lt;&gt;År1,R154,0),0)</f>
        <v>0.18501207548067011</v>
      </c>
      <c r="T154">
        <f ca="1">IFERROR(VLOOKUP(A154,[1]Biogasudbytte!$A$2:$B$18,2,FALSE)*[1]Energiindhold!$C$10,0)*K154*IFERROR(VLOOKUP(A154,Biogasanlæg!$F$3:$G$8,2,FALSE),1)</f>
        <v>0.18501207548067011</v>
      </c>
      <c r="U154" s="170">
        <f t="shared" ca="1" si="55"/>
        <v>0</v>
      </c>
      <c r="V154" s="169">
        <f ca="1">P154*IFERROR(VLOOKUP(A154,[1]Tørstofindhold!A$2:B$24,2,FALSE),0)</f>
        <v>46023.172979508287</v>
      </c>
      <c r="W154">
        <f ca="1">IF(E154=År1,Q154,SUM(P154,Q154))*IFERROR(VLOOKUP(A154,[1]Tørstofindhold!A$2:B$24,2,FALSE),0)</f>
        <v>25767.69853491227</v>
      </c>
      <c r="X154">
        <f ca="1">K154*IFERROR(VLOOKUP(A154,[1]Tørstofindhold!A$2:B$24,2,FALSE),0)</f>
        <v>25767.69853491227</v>
      </c>
      <c r="Y154" s="170">
        <f t="shared" ca="1" si="56"/>
        <v>0</v>
      </c>
      <c r="Z154">
        <f t="shared" ca="1" si="47"/>
        <v>0</v>
      </c>
      <c r="AA154">
        <f t="shared" ca="1" si="48"/>
        <v>1</v>
      </c>
      <c r="AB154" s="94">
        <f t="shared" ca="1" si="49"/>
        <v>153410.57659836096</v>
      </c>
      <c r="AC154">
        <f ca="1">AB154*D154*10000*VLOOKUP(A154,[1]kcal!$A$2:$C$49,3,FALSE)/1000000000000</f>
        <v>0</v>
      </c>
    </row>
    <row r="155" spans="1:29" x14ac:dyDescent="0.25">
      <c r="A155" t="s">
        <v>204</v>
      </c>
      <c r="B155" s="171"/>
      <c r="C155" s="171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0</v>
      </c>
      <c r="D155" s="171">
        <f t="shared" si="39"/>
        <v>0</v>
      </c>
      <c r="E155" s="171">
        <f t="shared" si="52"/>
        <v>2019</v>
      </c>
      <c r="F155" t="s">
        <v>24</v>
      </c>
      <c r="G155" s="94">
        <f ca="1">IF(F155="Vestdanmark",SUMIFS(IF(E155=År1,'Resultater - Vestdanmark'!H$3:H$504,IF(E155=År2,'Resultater - Vestdanmark'!I$3:I$504,'Resultater - Vestdanmark'!J$3:J$504)),'Resultater - Vestdanmark'!$F$3:$F$504,$A155,IF(E155=År1,'Resultater - Vestdanmark'!H$3:H$504,IF(E155=År2,'Resultater - Vestdanmark'!I$3:I$504,'Resultater - Vestdanmark'!J$3:J$504)),"&gt;0"),SUMIFS(IF(E155=År1,'Resultater - Østdanmark'!H$3:H$504,IF(E155=År2,'Resultater - Østdanmark'!I$3:I$504,'Resultater - Østdanmark'!J$3:J$504)),'Resultater - Østdanmark'!$F$3:$F$504,$A155,IF(E155=År1,'Resultater - Østdanmark'!H$3:H$504,IF(E155=År2,'Resultater - Østdanmark'!I$3:I$504,'Resultater - Østdanmark'!J$3:J$504)),"&gt;0"))</f>
        <v>0</v>
      </c>
      <c r="H155" s="94">
        <f ca="1">SUMIFS('Forbrug af biomasse'!$E$2:$E$425,'Forbrug af biomasse'!$C$2:$C$425,'Resultat-Produktion &amp; forbrug'!$A155,'Forbrug af biomasse'!$D$2:$D$425,'Resultat-Produktion &amp; forbrug'!$E155,'Forbrug af biomasse'!$A$2:$A$425,'Resultat-Produktion &amp; forbrug'!H$3,'Forbrug af biomasse'!$B$2:$B$425,$F155)</f>
        <v>0</v>
      </c>
      <c r="I155">
        <f>IF(F155="Vestdanmark",-IF(A155="Halm",SUMIFS(IF(E155=År1,'Resultater - Vestdanmark'!H$3:H$504,IF(E155=År2,'Resultater - Vestdanmark'!I$3:I$504,'Resultater - Vestdanmark'!J$3:J$504)),'Resultater - Vestdanmark'!$F$3:$F$504,$A155,'Resultater - Vestdanmark'!H$3:H$504,"&lt;0"),0),-IF(A155="Halm",SUMIFS(IF(E155=År1,'Resultater - Østdanmark'!H$3:H$504,IF(E155=År2,'Resultater - Østdanmark'!I$3:I$504,'Resultater - Østdanmark'!J$3:J$504)),'Resultater - Østdanmark'!$F$3:$F$504,$A155,'Resultater - Østdanmark'!H$3:H$504,"&lt;0"),0))</f>
        <v>0</v>
      </c>
      <c r="J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forbrug'!J$3,'Forbrug af biomasse'!$B$2:$B$425,$F155)</f>
        <v>0</v>
      </c>
      <c r="K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forbrug'!K$3,'Forbrug af biomasse'!$B$2:$B$425,$F155)</f>
        <v>0</v>
      </c>
      <c r="L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forbrug'!L$3,'Forbrug af biomasse'!$B$2:$B$425,$F155)</f>
        <v>0</v>
      </c>
      <c r="M155" s="94">
        <f>IF(A155&lt;&gt;"Biogas",SUMIFS('Forbrug af biomasse'!$E$2:$E$425,'Forbrug af biomasse'!$C$2:$C$425,'Resultat-Produktion &amp; forbrug'!$A155,'Forbrug af biomasse'!$D$2:$D$425,'Resultat-Produktion &amp; forbrug'!$E155,'Forbrug af biomasse'!$A$2:$A$425,'Resultat-Produktion &amp; forbrug'!M$3,'Forbrug af biomasse'!$B$2:$B$425,$F155),G155)</f>
        <v>0</v>
      </c>
      <c r="N155" s="94">
        <f>SUMIFS('Forbrug af biomasse'!E:E,'Forbrug af biomasse'!C:C,'Resultat-Produktion &amp; forbrug'!$A155,'Forbrug af biomasse'!D:D,'Resultat-Produktion &amp; forbrug'!$E155,'Forbrug af biomasse'!G:G,1,'Forbrug af biomasse'!B:B,$F155)</f>
        <v>0</v>
      </c>
      <c r="O155" s="179">
        <f t="shared" ca="1" si="53"/>
        <v>0</v>
      </c>
      <c r="P155" s="94">
        <f t="shared" si="43"/>
        <v>0</v>
      </c>
      <c r="Q155" s="180">
        <f t="shared" si="54"/>
        <v>0</v>
      </c>
      <c r="R155">
        <f>IFERROR(VLOOKUP(A155,[1]Energiindhold!$A$2:$C$11,3,FALSE),IFERROR(VLOOKUP(A155,[1]Biogasudbytte!$A$2:$B$18,2,FALSE)*[1]Energiindhold!$C$10,0))*P155</f>
        <v>0</v>
      </c>
      <c r="S155">
        <f>IF(A155&lt;&gt;"Biogas",IFERROR(VLOOKUP(A155,[1]Biogasudbytte!$A$2:$B$18,2,FALSE)*[1]Energiindhold!$C$10,0)*K155*IFERROR(VLOOKUP(A155,Biogasanlæg!$F$3:$G$8,2,FALSE),1)+IFERROR(VLOOKUP(A155,[1]Energiindhold!$A$2:$C$11,3,FALSE),0)*M155+IF(E155&lt;&gt;År1,R155,0),0)</f>
        <v>0</v>
      </c>
      <c r="T155">
        <f>IFERROR(VLOOKUP(A155,[1]Biogasudbytte!$A$2:$B$18,2,FALSE)*[1]Energiindhold!$C$10,0)*K155*IFERROR(VLOOKUP(A155,Biogasanlæg!$F$3:$G$8,2,FALSE),1)</f>
        <v>0</v>
      </c>
      <c r="U155" s="170">
        <f t="shared" si="55"/>
        <v>0</v>
      </c>
      <c r="V155" s="169">
        <f>P155*IFERROR(VLOOKUP(A155,[1]Tørstofindhold!A$2:B$24,2,FALSE),0)</f>
        <v>0</v>
      </c>
      <c r="W155">
        <f>IF(E155=År1,Q155,SUM(P155,Q155))*IFERROR(VLOOKUP(A155,[1]Tørstofindhold!A$2:B$24,2,FALSE),0)</f>
        <v>0</v>
      </c>
      <c r="X155">
        <f>K155*IFERROR(VLOOKUP(A155,[1]Tørstofindhold!A$2:B$24,2,FALSE),0)</f>
        <v>0</v>
      </c>
      <c r="Y155" s="170">
        <f t="shared" si="56"/>
        <v>0</v>
      </c>
      <c r="Z155">
        <f t="shared" ca="1" si="47"/>
        <v>0</v>
      </c>
      <c r="AA155">
        <f t="shared" ca="1" si="48"/>
        <v>0</v>
      </c>
      <c r="AB155" s="94">
        <f t="shared" ca="1" si="49"/>
        <v>0</v>
      </c>
      <c r="AC155">
        <f ca="1">AB155*D155*10000*VLOOKUP(A155,[1]kcal!$A$2:$C$49,3,FALSE)/1000000000000</f>
        <v>0</v>
      </c>
    </row>
    <row r="156" spans="1:29" x14ac:dyDescent="0.25">
      <c r="A156" t="s">
        <v>137</v>
      </c>
      <c r="B156" s="171" t="s">
        <v>222</v>
      </c>
      <c r="C156" s="171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1</v>
      </c>
      <c r="D156" s="171">
        <f t="shared" si="39"/>
        <v>0</v>
      </c>
      <c r="E156" s="171">
        <f t="shared" si="52"/>
        <v>2019</v>
      </c>
      <c r="F156" t="s">
        <v>24</v>
      </c>
      <c r="G156" s="94">
        <f ca="1">IF(F156="Vestdanmark",SUMIFS(IF(E156=År1,'Resultater - Vestdanmark'!H$3:H$504,IF(E156=År2,'Resultater - Vestdanmark'!I$3:I$504,'Resultater - Vestdanmark'!J$3:J$504)),'Resultater - Vestdanmark'!$F$3:$F$504,$A156,IF(E156=År1,'Resultater - Vestdanmark'!H$3:H$504,IF(E156=År2,'Resultater - Vestdanmark'!I$3:I$504,'Resultater - Vestdanmark'!J$3:J$504)),"&gt;0"),SUMIFS(IF(E156=År1,'Resultater - Østdanmark'!H$3:H$504,IF(E156=År2,'Resultater - Østdanmark'!I$3:I$504,'Resultater - Østdanmark'!J$3:J$504)),'Resultater - Østdanmark'!$F$3:$F$504,$A156,IF(E156=År1,'Resultater - Østdanmark'!H$3:H$504,IF(E156=År2,'Resultater - Østdanmark'!I$3:I$504,'Resultater - Østdanmark'!J$3:J$504)),"&gt;0"))</f>
        <v>675.387643904882</v>
      </c>
      <c r="H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forbrug'!H$3,'Forbrug af biomasse'!$B$2:$B$425,$F156)</f>
        <v>0</v>
      </c>
      <c r="I156">
        <f>IF(F156="Vestdanmark",-IF(A156="Halm",SUMIFS(IF(E156=År1,'Resultater - Vestdanmark'!H$3:H$504,IF(E156=År2,'Resultater - Vestdanmark'!I$3:I$504,'Resultater - Vestdanmark'!J$3:J$504)),'Resultater - Vestdanmark'!$F$3:$F$504,$A156,'Resultater - Vestdanmark'!H$3:H$504,"&lt;0"),0),-IF(A156="Halm",SUMIFS(IF(E156=År1,'Resultater - Østdanmark'!H$3:H$504,IF(E156=År2,'Resultater - Østdanmark'!I$3:I$504,'Resultater - Østdanmark'!J$3:J$504)),'Resultater - Østdanmark'!$F$3:$F$504,$A156,'Resultater - Østdanmark'!H$3:H$504,"&lt;0"),0))</f>
        <v>0</v>
      </c>
      <c r="J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forbrug'!J$3,'Forbrug af biomasse'!$B$2:$B$425,$F156)</f>
        <v>0</v>
      </c>
      <c r="K156" s="94">
        <f ca="1">SUMIFS('Forbrug af biomasse'!$E$2:$E$425,'Forbrug af biomasse'!$C$2:$C$425,'Resultat-Produktion &amp; forbrug'!$A156,'Forbrug af biomasse'!$D$2:$D$425,'Resultat-Produktion &amp; forbrug'!$E156,'Forbrug af biomasse'!$A$2:$A$425,'Resultat-Produktion &amp; forbrug'!K$3,'Forbrug af biomasse'!$B$2:$B$425,$F156)</f>
        <v>337.693821952441</v>
      </c>
      <c r="L156" s="94">
        <f ca="1">SUMIFS('Forbrug af biomasse'!$E$2:$E$425,'Forbrug af biomasse'!$C$2:$C$425,'Resultat-Produktion &amp; forbrug'!$A156,'Forbrug af biomasse'!$D$2:$D$425,'Resultat-Produktion &amp; forbrug'!$E156,'Forbrug af biomasse'!$A$2:$A$425,'Resultat-Produktion &amp; forbrug'!L$3,'Forbrug af biomasse'!$B$2:$B$425,$F156)</f>
        <v>337.693821952441</v>
      </c>
      <c r="M156" s="94">
        <f>IF(A156&lt;&gt;"Biogas",SUMIFS('Forbrug af biomasse'!$E$2:$E$425,'Forbrug af biomasse'!$C$2:$C$425,'Resultat-Produktion &amp; forbrug'!$A156,'Forbrug af biomasse'!$D$2:$D$425,'Resultat-Produktion &amp; forbrug'!$E156,'Forbrug af biomasse'!$A$2:$A$425,'Resultat-Produktion &amp; forbrug'!M$3,'Forbrug af biomasse'!$B$2:$B$425,$F156),G156)</f>
        <v>0</v>
      </c>
      <c r="N156" s="94">
        <f>SUMIFS('Forbrug af biomasse'!E:E,'Forbrug af biomasse'!C:C,'Resultat-Produktion &amp; forbrug'!$A156,'Forbrug af biomasse'!D:D,'Resultat-Produktion &amp; forbrug'!$E156,'Forbrug af biomasse'!G:G,1,'Forbrug af biomasse'!B:B,$F156)</f>
        <v>0</v>
      </c>
      <c r="O156" s="179">
        <f t="shared" ca="1" si="53"/>
        <v>0</v>
      </c>
      <c r="P156" s="94">
        <f t="shared" ca="1" si="43"/>
        <v>0</v>
      </c>
      <c r="Q156" s="180">
        <f t="shared" ca="1" si="54"/>
        <v>337.693821952441</v>
      </c>
      <c r="R156">
        <f ca="1">IFERROR(VLOOKUP(A156,[1]Energiindhold!$A$2:$C$11,3,FALSE),IFERROR(VLOOKUP(A156,[1]Biogasudbytte!$A$2:$B$18,2,FALSE)*[1]Energiindhold!$C$10,0))*P156</f>
        <v>0</v>
      </c>
      <c r="S156">
        <f ca="1">IF(A156&lt;&gt;"Biogas",IFERROR(VLOOKUP(A156,[1]Biogasudbytte!$A$2:$B$18,2,FALSE)*[1]Energiindhold!$C$10,0)*K156*IFERROR(VLOOKUP(A156,Biogasanlæg!$F$3:$G$8,2,FALSE),1)+IFERROR(VLOOKUP(A156,[1]Energiindhold!$A$2:$C$11,3,FALSE),0)*M156+IF(E156&lt;&gt;År1,R156,0),0)</f>
        <v>1.5881402752601349E-4</v>
      </c>
      <c r="T156">
        <f ca="1">IFERROR(VLOOKUP(A156,[1]Biogasudbytte!$A$2:$B$18,2,FALSE)*[1]Energiindhold!$C$10,0)*K156*IFERROR(VLOOKUP(A156,Biogasanlæg!$F$3:$G$8,2,FALSE),1)</f>
        <v>1.5881402752601349E-4</v>
      </c>
      <c r="U156" s="170">
        <f t="shared" ca="1" si="55"/>
        <v>0</v>
      </c>
      <c r="V156" s="169">
        <f ca="1">P156*IFERROR(VLOOKUP(A156,[1]Tørstofindhold!A$2:B$24,2,FALSE),0)</f>
        <v>0</v>
      </c>
      <c r="W156">
        <f ca="1">IF(E156=År1,Q156,SUM(P156,Q156))*IFERROR(VLOOKUP(A156,[1]Tørstofindhold!A$2:B$24,2,FALSE),0)</f>
        <v>21.274710783003783</v>
      </c>
      <c r="X156">
        <f ca="1">K156*IFERROR(VLOOKUP(A156,[1]Tørstofindhold!A$2:B$24,2,FALSE),0)</f>
        <v>21.274710783003783</v>
      </c>
      <c r="Y156" s="170">
        <f t="shared" ca="1" si="56"/>
        <v>0</v>
      </c>
      <c r="Z156">
        <f t="shared" ca="1" si="47"/>
        <v>0</v>
      </c>
      <c r="AA156">
        <f t="shared" ca="1" si="48"/>
        <v>0</v>
      </c>
      <c r="AB156" s="94">
        <f t="shared" ca="1" si="49"/>
        <v>0</v>
      </c>
      <c r="AC156">
        <f ca="1">AB156*D156*10000*VLOOKUP(A156,[1]kcal!$A$2:$C$49,3,FALSE)/1000000000000</f>
        <v>0</v>
      </c>
    </row>
    <row r="157" spans="1:29" x14ac:dyDescent="0.25">
      <c r="A157" t="s">
        <v>96</v>
      </c>
      <c r="B157" s="171"/>
      <c r="C157" s="171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71">
        <f t="shared" si="39"/>
        <v>1</v>
      </c>
      <c r="E157" s="171">
        <f t="shared" si="52"/>
        <v>2019</v>
      </c>
      <c r="F157" t="s">
        <v>24</v>
      </c>
      <c r="G157" s="94">
        <f ca="1">IF(F157="Vestdanmark",SUMIFS(IF(E157=År1,'Resultater - Vestdanmark'!H$3:H$504,IF(E157=År2,'Resultater - Vestdanmark'!I$3:I$504,'Resultater - Vestdanmark'!J$3:J$504)),'Resultater - Vestdanmark'!$F$3:$F$504,$A157,IF(E157=År1,'Resultater - Vestdanmark'!H$3:H$504,IF(E157=År2,'Resultater - Vestdanmark'!I$3:I$504,'Resultater - Vestdanmark'!J$3:J$504)),"&gt;0"),SUMIFS(IF(E157=År1,'Resultater - Østdanmark'!H$3:H$504,IF(E157=År2,'Resultater - Østdanmark'!I$3:I$504,'Resultater - Østdanmark'!J$3:J$504)),'Resultater - Østdanmark'!$F$3:$F$504,$A157,IF(E157=År1,'Resultater - Østdanmark'!H$3:H$504,IF(E157=År2,'Resultater - Østdanmark'!I$3:I$504,'Resultater - Østdanmark'!J$3:J$504)),"&gt;0"))</f>
        <v>15969.006082579654</v>
      </c>
      <c r="H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forbrug'!H$3,'Forbrug af biomasse'!$B$2:$B$425,$F157)</f>
        <v>0</v>
      </c>
      <c r="I157">
        <f>IF(F157="Vestdanmark",-IF(A157="Halm",SUMIFS(IF(E157=År1,'Resultater - Vestdanmark'!H$3:H$504,IF(E157=År2,'Resultater - Vestdanmark'!I$3:I$504,'Resultater - Vestdanmark'!J$3:J$504)),'Resultater - Vestdanmark'!$F$3:$F$504,$A157,'Resultater - Vestdanmark'!H$3:H$504,"&lt;0"),0),-IF(A157="Halm",SUMIFS(IF(E157=År1,'Resultater - Østdanmark'!H$3:H$504,IF(E157=År2,'Resultater - Østdanmark'!I$3:I$504,'Resultater - Østdanmark'!J$3:J$504)),'Resultater - Østdanmark'!$F$3:$F$504,$A157,'Resultater - Østdanmark'!H$3:H$504,"&lt;0"),0))</f>
        <v>0</v>
      </c>
      <c r="J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forbrug'!J$3,'Forbrug af biomasse'!$B$2:$B$425,$F157)</f>
        <v>29120.587456275069</v>
      </c>
      <c r="K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forbrug'!K$3,'Forbrug af biomasse'!$B$2:$B$425,$F157)</f>
        <v>0</v>
      </c>
      <c r="L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forbrug'!L$3,'Forbrug af biomasse'!$B$2:$B$425,$F157)</f>
        <v>0</v>
      </c>
      <c r="M157" s="94">
        <f>IF(A157&lt;&gt;"Biogas",SUMIFS('Forbrug af biomasse'!$E$2:$E$425,'Forbrug af biomasse'!$C$2:$C$425,'Resultat-Produktion &amp; forbrug'!$A157,'Forbrug af biomasse'!$D$2:$D$425,'Resultat-Produktion &amp; forbrug'!$E157,'Forbrug af biomasse'!$A$2:$A$425,'Resultat-Produktion &amp; forbrug'!M$3,'Forbrug af biomasse'!$B$2:$B$425,$F157),G157)</f>
        <v>0</v>
      </c>
      <c r="N157" s="94">
        <f>SUMIFS('Forbrug af biomasse'!E:E,'Forbrug af biomasse'!C:C,'Resultat-Produktion &amp; forbrug'!$A157,'Forbrug af biomasse'!D:D,'Resultat-Produktion &amp; forbrug'!$E157,'Forbrug af biomasse'!G:G,1,'Forbrug af biomasse'!B:B,$F157)</f>
        <v>0</v>
      </c>
      <c r="O157" s="179">
        <f t="shared" ca="1" si="53"/>
        <v>-13151.581373695415</v>
      </c>
      <c r="P157" s="94">
        <f t="shared" si="43"/>
        <v>0</v>
      </c>
      <c r="Q157" s="180">
        <f t="shared" si="54"/>
        <v>0</v>
      </c>
      <c r="R157">
        <f>IFERROR(VLOOKUP(A157,[1]Energiindhold!$A$2:$C$11,3,FALSE),IFERROR(VLOOKUP(A157,[1]Biogasudbytte!$A$2:$B$18,2,FALSE)*[1]Energiindhold!$C$10,0))*P157</f>
        <v>0</v>
      </c>
      <c r="S157">
        <f>IF(A157&lt;&gt;"Biogas",IFERROR(VLOOKUP(A157,[1]Biogasudbytte!$A$2:$B$18,2,FALSE)*[1]Energiindhold!$C$10,0)*K157*IFERROR(VLOOKUP(A157,Biogasanlæg!$F$3:$G$8,2,FALSE),1)+IFERROR(VLOOKUP(A157,[1]Energiindhold!$A$2:$C$11,3,FALSE),0)*M157+IF(E157&lt;&gt;År1,R157,0),0)</f>
        <v>0</v>
      </c>
      <c r="T157">
        <f>IFERROR(VLOOKUP(A157,[1]Biogasudbytte!$A$2:$B$18,2,FALSE)*[1]Energiindhold!$C$10,0)*K157*IFERROR(VLOOKUP(A157,Biogasanlæg!$F$3:$G$8,2,FALSE),1)</f>
        <v>0</v>
      </c>
      <c r="U157" s="170">
        <f t="shared" si="55"/>
        <v>0</v>
      </c>
      <c r="V157" s="169">
        <f>P157*IFERROR(VLOOKUP(A157,[1]Tørstofindhold!A$2:B$24,2,FALSE),0)</f>
        <v>0</v>
      </c>
      <c r="W157">
        <f>IF(E157=År1,Q157,SUM(P157,Q157))*IFERROR(VLOOKUP(A157,[1]Tørstofindhold!A$2:B$24,2,FALSE),0)</f>
        <v>0</v>
      </c>
      <c r="X157">
        <f>K157*IFERROR(VLOOKUP(A157,[1]Tørstofindhold!A$2:B$24,2,FALSE),0)</f>
        <v>0</v>
      </c>
      <c r="Y157" s="170">
        <f t="shared" si="56"/>
        <v>0</v>
      </c>
      <c r="Z157">
        <f t="shared" ca="1" si="47"/>
        <v>0</v>
      </c>
      <c r="AA157">
        <f t="shared" ca="1" si="48"/>
        <v>1</v>
      </c>
      <c r="AB157" s="94">
        <f t="shared" ca="1" si="49"/>
        <v>15969.006082579654</v>
      </c>
      <c r="AC157">
        <f ca="1">AB157*D157*10000*VLOOKUP(A157,[1]kcal!$A$2:$C$49,3,FALSE)/1000000000000</f>
        <v>2.4272889245521075E-2</v>
      </c>
    </row>
    <row r="158" spans="1:29" x14ac:dyDescent="0.25">
      <c r="A158" t="s">
        <v>113</v>
      </c>
      <c r="B158" s="171"/>
      <c r="C158" s="171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71">
        <f t="shared" si="39"/>
        <v>0</v>
      </c>
      <c r="E158" s="171">
        <f t="shared" si="52"/>
        <v>2019</v>
      </c>
      <c r="F158" t="s">
        <v>24</v>
      </c>
      <c r="G158" s="94">
        <f>IF(F158="Vestdanmark",SUMIFS(IF(E158=År1,'Resultater - Vestdanmark'!H$3:H$504,IF(E158=År2,'Resultater - Vestdanmark'!I$3:I$504,'Resultater - Vestdanmark'!J$3:J$504)),'Resultater - Vestdanmark'!$F$3:$F$504,$A158,IF(E158=År1,'Resultater - Vestdanmark'!H$3:H$504,IF(E158=År2,'Resultater - Vestdanmark'!I$3:I$504,'Resultater - Vestdanmark'!J$3:J$504)),"&gt;0"),SUMIFS(IF(E158=År1,'Resultater - Østdanmark'!H$3:H$504,IF(E158=År2,'Resultater - Østdanmark'!I$3:I$504,'Resultater - Østdanmark'!J$3:J$504)),'Resultater - Østdanmark'!$F$3:$F$504,$A158,IF(E158=År1,'Resultater - Østdanmark'!H$3:H$504,IF(E158=År2,'Resultater - Østdanmark'!I$3:I$504,'Resultater - Østdanmark'!J$3:J$504)),"&gt;0"))</f>
        <v>620445.82725004398</v>
      </c>
      <c r="H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forbrug'!H$3,'Forbrug af biomasse'!$B$2:$B$425,$F158)</f>
        <v>0</v>
      </c>
      <c r="I158">
        <f>IF(F158="Vestdanmark",-IF(A158="Halm",SUMIFS(IF(E158=År1,'Resultater - Vestdanmark'!H$3:H$504,IF(E158=År2,'Resultater - Vestdanmark'!I$3:I$504,'Resultater - Vestdanmark'!J$3:J$504)),'Resultater - Vestdanmark'!$F$3:$F$504,$A158,'Resultater - Vestdanmark'!H$3:H$504,"&lt;0"),0),-IF(A158="Halm",SUMIFS(IF(E158=År1,'Resultater - Østdanmark'!H$3:H$504,IF(E158=År2,'Resultater - Østdanmark'!I$3:I$504,'Resultater - Østdanmark'!J$3:J$504)),'Resultater - Østdanmark'!$F$3:$F$504,$A158,'Resultater - Østdanmark'!H$3:H$504,"&lt;0"),0))</f>
        <v>0</v>
      </c>
      <c r="J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forbrug'!J$3,'Forbrug af biomasse'!$B$2:$B$425,$F158)</f>
        <v>0</v>
      </c>
      <c r="K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forbrug'!K$3,'Forbrug af biomasse'!$B$2:$B$425,$F158)</f>
        <v>0</v>
      </c>
      <c r="L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forbrug'!L$3,'Forbrug af biomasse'!$B$2:$B$425,$F158)</f>
        <v>0</v>
      </c>
      <c r="M158" s="94">
        <f>IF(A158&lt;&gt;"Biogas",SUMIFS('Forbrug af biomasse'!$E$2:$E$425,'Forbrug af biomasse'!$C$2:$C$425,'Resultat-Produktion &amp; forbrug'!$A158,'Forbrug af biomasse'!$D$2:$D$425,'Resultat-Produktion &amp; forbrug'!$E158,'Forbrug af biomasse'!$A$2:$A$425,'Resultat-Produktion &amp; forbrug'!M$3,'Forbrug af biomasse'!$B$2:$B$425,$F158),G158)</f>
        <v>0</v>
      </c>
      <c r="N158" s="94">
        <f>SUMIFS('Forbrug af biomasse'!E:E,'Forbrug af biomasse'!C:C,'Resultat-Produktion &amp; forbrug'!$A158,'Forbrug af biomasse'!D:D,'Resultat-Produktion &amp; forbrug'!$E158,'Forbrug af biomasse'!G:G,1,'Forbrug af biomasse'!B:B,$F158)</f>
        <v>0</v>
      </c>
      <c r="O158" s="179">
        <f t="shared" si="53"/>
        <v>620445.82725004398</v>
      </c>
      <c r="P158" s="94">
        <f t="shared" si="43"/>
        <v>0</v>
      </c>
      <c r="Q158" s="180">
        <f t="shared" si="54"/>
        <v>0</v>
      </c>
      <c r="R158">
        <f>IFERROR(VLOOKUP(A158,[1]Energiindhold!$A$2:$C$11,3,FALSE),IFERROR(VLOOKUP(A158,[1]Biogasudbytte!$A$2:$B$18,2,FALSE)*[1]Energiindhold!$C$10,0))*P158</f>
        <v>0</v>
      </c>
      <c r="S158">
        <f>IF(A158&lt;&gt;"Biogas",IFERROR(VLOOKUP(A158,[1]Biogasudbytte!$A$2:$B$18,2,FALSE)*[1]Energiindhold!$C$10,0)*K158*IFERROR(VLOOKUP(A158,Biogasanlæg!$F$3:$G$8,2,FALSE),1)+IFERROR(VLOOKUP(A158,[1]Energiindhold!$A$2:$C$11,3,FALSE),0)*M158+IF(E158&lt;&gt;År1,R158,0),0)</f>
        <v>0</v>
      </c>
      <c r="T158">
        <f>IFERROR(VLOOKUP(A158,[1]Biogasudbytte!$A$2:$B$18,2,FALSE)*[1]Energiindhold!$C$10,0)*K158*IFERROR(VLOOKUP(A158,Biogasanlæg!$F$3:$G$8,2,FALSE),1)</f>
        <v>0</v>
      </c>
      <c r="U158" s="170">
        <f t="shared" si="55"/>
        <v>0</v>
      </c>
      <c r="V158" s="169">
        <f>P158*IFERROR(VLOOKUP(A158,[1]Tørstofindhold!A$2:B$24,2,FALSE),0)</f>
        <v>0</v>
      </c>
      <c r="W158">
        <f>IF(E158=År1,Q158,SUM(P158,Q158))*IFERROR(VLOOKUP(A158,[1]Tørstofindhold!A$2:B$24,2,FALSE),0)</f>
        <v>0</v>
      </c>
      <c r="X158">
        <f>K158*IFERROR(VLOOKUP(A158,[1]Tørstofindhold!A$2:B$24,2,FALSE),0)</f>
        <v>0</v>
      </c>
      <c r="Y158" s="170">
        <f t="shared" si="56"/>
        <v>0</v>
      </c>
      <c r="Z158">
        <f t="shared" si="47"/>
        <v>0</v>
      </c>
      <c r="AA158">
        <f t="shared" si="48"/>
        <v>1</v>
      </c>
      <c r="AB158" s="94">
        <f t="shared" si="49"/>
        <v>620445.82725004398</v>
      </c>
      <c r="AC158">
        <f>AB158*D158*10000*VLOOKUP(A158,[1]kcal!$A$2:$C$49,3,FALSE)/1000000000000</f>
        <v>0</v>
      </c>
    </row>
    <row r="159" spans="1:29" x14ac:dyDescent="0.25">
      <c r="A159" t="s">
        <v>54</v>
      </c>
      <c r="B159" s="171"/>
      <c r="C159" s="171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0</v>
      </c>
      <c r="D159" s="171">
        <f t="shared" si="39"/>
        <v>1</v>
      </c>
      <c r="E159" s="171">
        <f t="shared" si="52"/>
        <v>2019</v>
      </c>
      <c r="F159" t="s">
        <v>24</v>
      </c>
      <c r="G159" s="94">
        <f>IF(F159="Vestdanmark",SUMIFS(IF(E159=År1,'Resultater - Vestdanmark'!H$3:H$504,IF(E159=År2,'Resultater - Vestdanmark'!I$3:I$504,'Resultater - Vestdanmark'!J$3:J$504)),'Resultater - Vestdanmark'!$F$3:$F$504,$A159,IF(E159=År1,'Resultater - Vestdanmark'!H$3:H$504,IF(E159=År2,'Resultater - Vestdanmark'!I$3:I$504,'Resultater - Vestdanmark'!J$3:J$504)),"&gt;0"),SUMIFS(IF(E159=År1,'Resultater - Østdanmark'!H$3:H$504,IF(E159=År2,'Resultater - Østdanmark'!I$3:I$504,'Resultater - Østdanmark'!J$3:J$504)),'Resultater - Østdanmark'!$F$3:$F$504,$A159,IF(E159=År1,'Resultater - Østdanmark'!H$3:H$504,IF(E159=År2,'Resultater - Østdanmark'!I$3:I$504,'Resultater - Østdanmark'!J$3:J$504)),"&gt;0"))</f>
        <v>15780.226177538038</v>
      </c>
      <c r="H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forbrug'!H$3,'Forbrug af biomasse'!$B$2:$B$425,$F159)</f>
        <v>0</v>
      </c>
      <c r="I159">
        <f>IF(F159="Vestdanmark",-IF(A159="Halm",SUMIFS(IF(E159=År1,'Resultater - Vestdanmark'!H$3:H$504,IF(E159=År2,'Resultater - Vestdanmark'!I$3:I$504,'Resultater - Vestdanmark'!J$3:J$504)),'Resultater - Vestdanmark'!$F$3:$F$504,$A159,'Resultater - Vestdanmark'!H$3:H$504,"&lt;0"),0),-IF(A159="Halm",SUMIFS(IF(E159=År1,'Resultater - Østdanmark'!H$3:H$504,IF(E159=År2,'Resultater - Østdanmark'!I$3:I$504,'Resultater - Østdanmark'!J$3:J$504)),'Resultater - Østdanmark'!$F$3:$F$504,$A159,'Resultater - Østdanmark'!H$3:H$504,"&lt;0"),0))</f>
        <v>0</v>
      </c>
      <c r="J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forbrug'!J$3,'Forbrug af biomasse'!$B$2:$B$425,$F159)</f>
        <v>212804.29294970242</v>
      </c>
      <c r="K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forbrug'!K$3,'Forbrug af biomasse'!$B$2:$B$425,$F159)</f>
        <v>0</v>
      </c>
      <c r="L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forbrug'!L$3,'Forbrug af biomasse'!$B$2:$B$425,$F159)</f>
        <v>0</v>
      </c>
      <c r="M159" s="94">
        <f>IF(A159&lt;&gt;"Biogas",SUMIFS('Forbrug af biomasse'!$E$2:$E$425,'Forbrug af biomasse'!$C$2:$C$425,'Resultat-Produktion &amp; forbrug'!$A159,'Forbrug af biomasse'!$D$2:$D$425,'Resultat-Produktion &amp; forbrug'!$E159,'Forbrug af biomasse'!$A$2:$A$425,'Resultat-Produktion &amp; forbrug'!M$3,'Forbrug af biomasse'!$B$2:$B$425,$F159),G159)</f>
        <v>0</v>
      </c>
      <c r="N159" s="94">
        <f>SUMIFS('Forbrug af biomasse'!E:E,'Forbrug af biomasse'!C:C,'Resultat-Produktion &amp; forbrug'!$A159,'Forbrug af biomasse'!D:D,'Resultat-Produktion &amp; forbrug'!$E159,'Forbrug af biomasse'!G:G,1,'Forbrug af biomasse'!B:B,$F159)</f>
        <v>0</v>
      </c>
      <c r="O159" s="179">
        <f t="shared" si="53"/>
        <v>-197024.06677216437</v>
      </c>
      <c r="P159" s="94">
        <f t="shared" si="43"/>
        <v>0</v>
      </c>
      <c r="Q159" s="180">
        <f t="shared" si="54"/>
        <v>0</v>
      </c>
      <c r="R159">
        <f>IFERROR(VLOOKUP(A159,[1]Energiindhold!$A$2:$C$11,3,FALSE),IFERROR(VLOOKUP(A159,[1]Biogasudbytte!$A$2:$B$18,2,FALSE)*[1]Energiindhold!$C$10,0))*P159</f>
        <v>0</v>
      </c>
      <c r="S159">
        <f>IF(A159&lt;&gt;"Biogas",IFERROR(VLOOKUP(A159,[1]Biogasudbytte!$A$2:$B$18,2,FALSE)*[1]Energiindhold!$C$10,0)*K159*IFERROR(VLOOKUP(A159,Biogasanlæg!$F$3:$G$8,2,FALSE),1)+IFERROR(VLOOKUP(A159,[1]Energiindhold!$A$2:$C$11,3,FALSE),0)*M159+IF(E159&lt;&gt;År1,R159,0),0)</f>
        <v>0</v>
      </c>
      <c r="T159">
        <f>IFERROR(VLOOKUP(A159,[1]Biogasudbytte!$A$2:$B$18,2,FALSE)*[1]Energiindhold!$C$10,0)*K159*IFERROR(VLOOKUP(A159,Biogasanlæg!$F$3:$G$8,2,FALSE),1)</f>
        <v>0</v>
      </c>
      <c r="U159" s="170">
        <f t="shared" si="55"/>
        <v>0</v>
      </c>
      <c r="V159" s="169">
        <f>P159*IFERROR(VLOOKUP(A159,[1]Tørstofindhold!A$2:B$24,2,FALSE),0)</f>
        <v>0</v>
      </c>
      <c r="W159">
        <f>IF(E159=År1,Q159,SUM(P159,Q159))*IFERROR(VLOOKUP(A159,[1]Tørstofindhold!A$2:B$24,2,FALSE),0)</f>
        <v>0</v>
      </c>
      <c r="X159">
        <f>K159*IFERROR(VLOOKUP(A159,[1]Tørstofindhold!A$2:B$24,2,FALSE),0)</f>
        <v>0</v>
      </c>
      <c r="Y159" s="170">
        <f t="shared" si="56"/>
        <v>0</v>
      </c>
      <c r="Z159">
        <f t="shared" si="47"/>
        <v>1</v>
      </c>
      <c r="AA159">
        <f t="shared" si="48"/>
        <v>0</v>
      </c>
      <c r="AB159" s="94">
        <f t="shared" si="49"/>
        <v>15780.226177538038</v>
      </c>
      <c r="AC159">
        <f>AB159*D159*10000*VLOOKUP(A159,[1]kcal!$A$2:$C$49,3,FALSE)/1000000000000</f>
        <v>8.2057176123197795E-3</v>
      </c>
    </row>
    <row r="160" spans="1:29" x14ac:dyDescent="0.25">
      <c r="A160" s="171" t="s">
        <v>158</v>
      </c>
      <c r="B160" s="171" t="s">
        <v>158</v>
      </c>
      <c r="C160" s="171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71">
        <f t="shared" si="39"/>
        <v>0</v>
      </c>
      <c r="E160" s="171">
        <f t="shared" si="52"/>
        <v>2019</v>
      </c>
      <c r="F160" t="s">
        <v>24</v>
      </c>
      <c r="G160" s="94">
        <f>IF(F160="Vestdanmark",SUMIFS(IF(E160=År1,'Resultater - Vestdanmark'!H$3:H$504,IF(E160=År2,'Resultater - Vestdanmark'!I$3:I$504,'Resultater - Vestdanmark'!J$3:J$504)),'Resultater - Vestdanmark'!$F$3:$F$504,$A160,IF(E160=År1,'Resultater - Vestdanmark'!H$3:H$504,IF(E160=År2,'Resultater - Vestdanmark'!I$3:I$504,'Resultater - Vestdanmark'!J$3:J$504)),"&gt;0"),SUMIFS(IF(E160=År1,'Resultater - Østdanmark'!H$3:H$504,IF(E160=År2,'Resultater - Østdanmark'!I$3:I$504,'Resultater - Østdanmark'!J$3:J$504)),'Resultater - Østdanmark'!$F$3:$F$504,$A160,IF(E160=År1,'Resultater - Østdanmark'!H$3:H$504,IF(E160=År2,'Resultater - Østdanmark'!I$3:I$504,'Resultater - Østdanmark'!J$3:J$504)),"&gt;0"))</f>
        <v>0</v>
      </c>
      <c r="H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forbrug'!H$3,'Forbrug af biomasse'!$B$2:$B$425,$F160)</f>
        <v>0</v>
      </c>
      <c r="I160">
        <f>IF(F160="Vestdanmark",-IF(A160="Halm",SUMIFS(IF(E160=År1,'Resultater - Vestdanmark'!H$3:H$504,IF(E160=År2,'Resultater - Vestdanmark'!I$3:I$504,'Resultater - Vestdanmark'!J$3:J$504)),'Resultater - Vestdanmark'!$F$3:$F$504,$A160,'Resultater - Vestdanmark'!H$3:H$504,"&lt;0"),0),-IF(A160="Halm",SUMIFS(IF(E160=År1,'Resultater - Østdanmark'!H$3:H$504,IF(E160=År2,'Resultater - Østdanmark'!I$3:I$504,'Resultater - Østdanmark'!J$3:J$504)),'Resultater - Østdanmark'!$F$3:$F$504,$A160,'Resultater - Østdanmark'!H$3:H$504,"&lt;0"),0))</f>
        <v>0</v>
      </c>
      <c r="J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forbrug'!J$3,'Forbrug af biomasse'!$B$2:$B$425,$F160)</f>
        <v>0</v>
      </c>
      <c r="K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forbrug'!K$3,'Forbrug af biomasse'!$B$2:$B$425,$F160)</f>
        <v>28548.400000000001</v>
      </c>
      <c r="L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forbrug'!L$3,'Forbrug af biomasse'!$B$2:$B$425,$F160)</f>
        <v>0</v>
      </c>
      <c r="M160" s="94">
        <f>IF(A160&lt;&gt;"Biogas",SUMIFS('Forbrug af biomasse'!$E$2:$E$425,'Forbrug af biomasse'!$C$2:$C$425,'Resultat-Produktion &amp; forbrug'!$A160,'Forbrug af biomasse'!$D$2:$D$425,'Resultat-Produktion &amp; forbrug'!$E160,'Forbrug af biomasse'!$A$2:$A$425,'Resultat-Produktion &amp; forbrug'!M$3,'Forbrug af biomasse'!$B$2:$B$425,$F160),G160)</f>
        <v>0</v>
      </c>
      <c r="N160" s="94">
        <f>SUMIFS('Forbrug af biomasse'!E:E,'Forbrug af biomasse'!C:C,'Resultat-Produktion &amp; forbrug'!$A160,'Forbrug af biomasse'!D:D,'Resultat-Produktion &amp; forbrug'!$E160,'Forbrug af biomasse'!G:G,1,'Forbrug af biomasse'!B:B,$F160)</f>
        <v>0</v>
      </c>
      <c r="O160" s="179">
        <f t="shared" si="53"/>
        <v>-28548.400000000001</v>
      </c>
      <c r="P160" s="94">
        <f t="shared" si="43"/>
        <v>0</v>
      </c>
      <c r="Q160" s="180">
        <f t="shared" si="54"/>
        <v>28548.400000000001</v>
      </c>
      <c r="R160">
        <f>IFERROR(VLOOKUP(A160,[1]Energiindhold!$A$2:$C$11,3,FALSE),IFERROR(VLOOKUP(A160,[1]Biogasudbytte!$A$2:$B$18,2,FALSE)*[1]Energiindhold!$C$10,0))*P160</f>
        <v>0</v>
      </c>
      <c r="S160">
        <f>IF(A160&lt;&gt;"Biogas",IFERROR(VLOOKUP(A160,[1]Biogasudbytte!$A$2:$B$18,2,FALSE)*[1]Energiindhold!$C$10,0)*K160*IFERROR(VLOOKUP(A160,Biogasanlæg!$F$3:$G$8,2,FALSE),1)+IFERROR(VLOOKUP(A160,[1]Energiindhold!$A$2:$C$11,3,FALSE),0)*M160+IF(E160&lt;&gt;År1,R160,0),0)</f>
        <v>0.43389639740160008</v>
      </c>
      <c r="T160">
        <f>IFERROR(VLOOKUP(A160,[1]Biogasudbytte!$A$2:$B$18,2,FALSE)*[1]Energiindhold!$C$10,0)*K160*IFERROR(VLOOKUP(A160,Biogasanlæg!$F$3:$G$8,2,FALSE),1)</f>
        <v>0.43389639740160008</v>
      </c>
      <c r="U160" s="170">
        <f t="shared" si="55"/>
        <v>0</v>
      </c>
      <c r="V160" s="169">
        <f>P160*IFERROR(VLOOKUP(A160,[1]Tørstofindhold!A$2:B$24,2,FALSE),0)</f>
        <v>0</v>
      </c>
      <c r="W160">
        <f>IF(E160=År1,Q160,SUM(P160,Q160))*IFERROR(VLOOKUP(A160,[1]Tørstofindhold!A$2:B$24,2,FALSE),0)</f>
        <v>25693.56</v>
      </c>
      <c r="X160">
        <f>K160*IFERROR(VLOOKUP(A160,[1]Tørstofindhold!A$2:B$24,2,FALSE),0)</f>
        <v>25693.56</v>
      </c>
      <c r="Y160" s="170">
        <f t="shared" si="56"/>
        <v>0</v>
      </c>
      <c r="Z160">
        <f t="shared" si="47"/>
        <v>1</v>
      </c>
      <c r="AA160">
        <f t="shared" si="48"/>
        <v>0</v>
      </c>
      <c r="AB160" s="94">
        <f t="shared" si="49"/>
        <v>-28548.400000000001</v>
      </c>
      <c r="AC160">
        <f>AB160*D160*10000*VLOOKUP(A160,[1]kcal!$A$2:$C$49,3,FALSE)/1000000000000</f>
        <v>0</v>
      </c>
    </row>
    <row r="161" spans="1:29" x14ac:dyDescent="0.25">
      <c r="A161" s="171" t="s">
        <v>51</v>
      </c>
      <c r="B161" s="171" t="s">
        <v>224</v>
      </c>
      <c r="C161" s="171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1</v>
      </c>
      <c r="D161" s="171">
        <f t="shared" si="39"/>
        <v>0</v>
      </c>
      <c r="E161" s="171">
        <f t="shared" si="52"/>
        <v>2019</v>
      </c>
      <c r="F161" t="s">
        <v>24</v>
      </c>
      <c r="G161" s="94">
        <f>IF(F161="Vestdanmark",SUMIFS(IF(E161=År1,'Resultater - Vestdanmark'!H$3:H$504,IF(E161=År2,'Resultater - Vestdanmark'!I$3:I$504,'Resultater - Vestdanmark'!J$3:J$504)),'Resultater - Vestdanmark'!$F$3:$F$504,$A161,IF(E161=År1,'Resultater - Vestdanmark'!H$3:H$504,IF(E161=År2,'Resultater - Vestdanmark'!I$3:I$504,'Resultater - Vestdanmark'!J$3:J$504)),"&gt;0"),SUMIFS(IF(E161=År1,'Resultater - Østdanmark'!H$3:H$504,IF(E161=År2,'Resultater - Østdanmark'!I$3:I$504,'Resultater - Østdanmark'!J$3:J$504)),'Resultater - Østdanmark'!$F$3:$F$504,$A161,IF(E161=År1,'Resultater - Østdanmark'!H$3:H$504,IF(E161=År2,'Resultater - Østdanmark'!I$3:I$504,'Resultater - Østdanmark'!J$3:J$504)),"&gt;0"))</f>
        <v>2148848.2010935447</v>
      </c>
      <c r="H161" s="94">
        <f ca="1">SUMIFS('Forbrug af biomasse'!$E$2:$E$425,'Forbrug af biomasse'!$C$2:$C$425,'Resultat-Produktion &amp; forbrug'!$A161,'Forbrug af biomasse'!$D$2:$D$425,'Resultat-Produktion &amp; forbrug'!$E161,'Forbrug af biomasse'!$A$2:$A$425,'Resultat-Produktion &amp; forbrug'!H$3,'Forbrug af biomasse'!$B$2:$B$425,$F161)</f>
        <v>1502068.0760117143</v>
      </c>
      <c r="I161">
        <f>IF(F161="Vestdanmark",-IF(A161="Halm",SUMIFS(IF(E161=År1,'Resultater - Vestdanmark'!H$3:H$504,IF(E161=År2,'Resultater - Vestdanmark'!I$3:I$504,'Resultater - Vestdanmark'!J$3:J$504)),'Resultater - Vestdanmark'!$F$3:$F$504,$A161,'Resultater - Vestdanmark'!H$3:H$504,"&lt;0"),0),-IF(A161="Halm",SUMIFS(IF(E161=År1,'Resultater - Østdanmark'!H$3:H$504,IF(E161=År2,'Resultater - Østdanmark'!I$3:I$504,'Resultater - Østdanmark'!J$3:J$504)),'Resultater - Østdanmark'!$F$3:$F$504,$A161,'Resultater - Østdanmark'!H$3:H$504,"&lt;0"),0))</f>
        <v>0</v>
      </c>
      <c r="J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forbrug'!J$3,'Forbrug af biomasse'!$B$2:$B$425,$F161)</f>
        <v>0</v>
      </c>
      <c r="K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forbrug'!K$3,'Forbrug af biomasse'!$B$2:$B$425,$F161)</f>
        <v>10277.831749012612</v>
      </c>
      <c r="L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forbrug'!L$3,'Forbrug af biomasse'!$B$2:$B$425,$F161)</f>
        <v>0</v>
      </c>
      <c r="M161" s="94">
        <f>IF(A161&lt;&gt;"Biogas",SUMIFS('Forbrug af biomasse'!$E$2:$E$425,'Forbrug af biomasse'!$C$2:$C$425,'Resultat-Produktion &amp; forbrug'!$A161,'Forbrug af biomasse'!$D$2:$D$425,'Resultat-Produktion &amp; forbrug'!$E161,'Forbrug af biomasse'!$A$2:$A$425,'Resultat-Produktion &amp; forbrug'!M$3,'Forbrug af biomasse'!$B$2:$B$425,$F161),G161)</f>
        <v>0</v>
      </c>
      <c r="N161" s="94">
        <f ca="1">SUMIFS('Forbrug af biomasse'!E:E,'Forbrug af biomasse'!C:C,'Resultat-Produktion &amp; forbrug'!$A161,'Forbrug af biomasse'!D:D,'Resultat-Produktion &amp; forbrug'!$E161,'Forbrug af biomasse'!G:G,1,'Forbrug af biomasse'!B:B,$F161)</f>
        <v>0</v>
      </c>
      <c r="O161" s="179">
        <f t="shared" ca="1" si="53"/>
        <v>636502.29333281773</v>
      </c>
      <c r="P161" s="94">
        <f t="shared" ca="1" si="43"/>
        <v>636502.29333281773</v>
      </c>
      <c r="Q161" s="180">
        <f t="shared" si="54"/>
        <v>10277.831749012612</v>
      </c>
      <c r="R161">
        <f ca="1">IFERROR(VLOOKUP(A161,[1]Energiindhold!$A$2:$C$11,3,FALSE),IFERROR(VLOOKUP(A161,[1]Biogasudbytte!$A$2:$B$18,2,FALSE)*[1]Energiindhold!$C$10,0))*P161</f>
        <v>1.1710846569457181</v>
      </c>
      <c r="S161">
        <f>IF(A161&lt;&gt;"Biogas",IFERROR(VLOOKUP(A161,[1]Biogasudbytte!$A$2:$B$18,2,FALSE)*[1]Energiindhold!$C$10,0)*K161*IFERROR(VLOOKUP(A161,Biogasanlæg!$F$3:$G$8,2,FALSE),1)+IFERROR(VLOOKUP(A161,[1]Energiindhold!$A$2:$C$11,3,FALSE),0)*M161+IF(E161&lt;&gt;År1,R161,0),0)</f>
        <v>1.8909925689214579E-2</v>
      </c>
      <c r="T161">
        <f>IFERROR(VLOOKUP(A161,[1]Biogasudbytte!$A$2:$B$18,2,FALSE)*[1]Energiindhold!$C$10,0)*K161*IFERROR(VLOOKUP(A161,Biogasanlæg!$F$3:$G$8,2,FALSE),1)</f>
        <v>1.8909925689214579E-2</v>
      </c>
      <c r="U161" s="170">
        <f t="shared" si="55"/>
        <v>0</v>
      </c>
      <c r="V161" s="169">
        <f ca="1">P161*IFERROR(VLOOKUP(A161,[1]Tørstofindhold!A$2:B$24,2,FALSE),0)</f>
        <v>178220.64213318899</v>
      </c>
      <c r="W161">
        <f>IF(E161=År1,Q161,SUM(P161,Q161))*IFERROR(VLOOKUP(A161,[1]Tørstofindhold!A$2:B$24,2,FALSE),0)</f>
        <v>2877.7928897235315</v>
      </c>
      <c r="X161">
        <f>K161*IFERROR(VLOOKUP(A161,[1]Tørstofindhold!A$2:B$24,2,FALSE),0)</f>
        <v>2877.7928897235315</v>
      </c>
      <c r="Y161" s="170">
        <f t="shared" si="56"/>
        <v>0</v>
      </c>
      <c r="Z161">
        <f t="shared" ca="1" si="47"/>
        <v>0</v>
      </c>
      <c r="AA161">
        <f t="shared" ca="1" si="48"/>
        <v>1</v>
      </c>
      <c r="AB161" s="94">
        <f t="shared" ca="1" si="49"/>
        <v>636502.29333281773</v>
      </c>
      <c r="AC161">
        <f ca="1">AB161*D161*10000*VLOOKUP(A161,[1]kcal!$A$2:$C$49,3,FALSE)/1000000000000</f>
        <v>0</v>
      </c>
    </row>
    <row r="162" spans="1:29" x14ac:dyDescent="0.25">
      <c r="A162" s="171" t="s">
        <v>203</v>
      </c>
      <c r="B162" s="171"/>
      <c r="C162" s="171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71">
        <f t="shared" si="39"/>
        <v>0</v>
      </c>
      <c r="E162" s="171">
        <f t="shared" si="52"/>
        <v>2019</v>
      </c>
      <c r="F162" t="s">
        <v>24</v>
      </c>
      <c r="G162" s="94">
        <f ca="1">IF(F162="Vestdanmark",SUMIFS(IF(E162=År1,'Resultater - Vestdanmark'!H$3:H$504,IF(E162=År2,'Resultater - Vestdanmark'!I$3:I$504,'Resultater - Vestdanmark'!J$3:J$504)),'Resultater - Vestdanmark'!$F$3:$F$504,$A162,IF(E162=År1,'Resultater - Vestdanmark'!H$3:H$504,IF(E162=År2,'Resultater - Vestdanmark'!I$3:I$504,'Resultater - Vestdanmark'!J$3:J$504)),"&gt;0"),SUMIFS(IF(E162=År1,'Resultater - Østdanmark'!H$3:H$504,IF(E162=År2,'Resultater - Østdanmark'!I$3:I$504,'Resultater - Østdanmark'!J$3:J$504)),'Resultater - Østdanmark'!$F$3:$F$504,$A162,IF(E162=År1,'Resultater - Østdanmark'!H$3:H$504,IF(E162=År2,'Resultater - Østdanmark'!I$3:I$504,'Resultater - Østdanmark'!J$3:J$504)),"&gt;0"))</f>
        <v>0</v>
      </c>
      <c r="H162" s="94">
        <f ca="1">SUMIFS('Forbrug af biomasse'!$E$2:$E$425,'Forbrug af biomasse'!$C$2:$C$425,'Resultat-Produktion &amp; forbrug'!$A162,'Forbrug af biomasse'!$D$2:$D$425,'Resultat-Produktion &amp; forbrug'!$E162,'Forbrug af biomasse'!$A$2:$A$425,'Resultat-Produktion &amp; forbrug'!H$3,'Forbrug af biomasse'!$B$2:$B$425,$F162)</f>
        <v>0</v>
      </c>
      <c r="I162">
        <f>IF(F162="Vestdanmark",-IF(A162="Halm",SUMIFS(IF(E162=År1,'Resultater - Vestdanmark'!H$3:H$504,IF(E162=År2,'Resultater - Vestdanmark'!I$3:I$504,'Resultater - Vestdanmark'!J$3:J$504)),'Resultater - Vestdanmark'!$F$3:$F$504,$A162,'Resultater - Vestdanmark'!H$3:H$504,"&lt;0"),0),-IF(A162="Halm",SUMIFS(IF(E162=År1,'Resultater - Østdanmark'!H$3:H$504,IF(E162=År2,'Resultater - Østdanmark'!I$3:I$504,'Resultater - Østdanmark'!J$3:J$504)),'Resultater - Østdanmark'!$F$3:$F$504,$A162,'Resultater - Østdanmark'!H$3:H$504,"&lt;0"),0))</f>
        <v>0</v>
      </c>
      <c r="J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forbrug'!J$3,'Forbrug af biomasse'!$B$2:$B$425,$F162)</f>
        <v>0</v>
      </c>
      <c r="K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forbrug'!K$3,'Forbrug af biomasse'!$B$2:$B$425,$F162)</f>
        <v>0</v>
      </c>
      <c r="L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forbrug'!L$3,'Forbrug af biomasse'!$B$2:$B$425,$F162)</f>
        <v>0</v>
      </c>
      <c r="M162" s="94">
        <f>IF(A162&lt;&gt;"Biogas",SUMIFS('Forbrug af biomasse'!$E$2:$E$425,'Forbrug af biomasse'!$C$2:$C$425,'Resultat-Produktion &amp; forbrug'!$A162,'Forbrug af biomasse'!$D$2:$D$425,'Resultat-Produktion &amp; forbrug'!$E162,'Forbrug af biomasse'!$A$2:$A$425,'Resultat-Produktion &amp; forbrug'!M$3,'Forbrug af biomasse'!$B$2:$B$425,$F162),G162)</f>
        <v>0</v>
      </c>
      <c r="N162" s="94">
        <f>SUMIFS('Forbrug af biomasse'!E:E,'Forbrug af biomasse'!C:C,'Resultat-Produktion &amp; forbrug'!$A162,'Forbrug af biomasse'!D:D,'Resultat-Produktion &amp; forbrug'!$E162,'Forbrug af biomasse'!G:G,1,'Forbrug af biomasse'!B:B,$F162)</f>
        <v>0</v>
      </c>
      <c r="O162" s="179">
        <f t="shared" ca="1" si="53"/>
        <v>0</v>
      </c>
      <c r="P162" s="94">
        <f t="shared" si="43"/>
        <v>0</v>
      </c>
      <c r="Q162" s="180">
        <f t="shared" si="54"/>
        <v>0</v>
      </c>
      <c r="R162">
        <f>IFERROR(VLOOKUP(A162,[1]Energiindhold!$A$2:$C$11,3,FALSE),IFERROR(VLOOKUP(A162,[1]Biogasudbytte!$A$2:$B$18,2,FALSE)*[1]Energiindhold!$C$10,0))*P162</f>
        <v>0</v>
      </c>
      <c r="S162">
        <f>IF(A162&lt;&gt;"Biogas",IFERROR(VLOOKUP(A162,[1]Biogasudbytte!$A$2:$B$18,2,FALSE)*[1]Energiindhold!$C$10,0)*K162*IFERROR(VLOOKUP(A162,Biogasanlæg!$F$3:$G$8,2,FALSE),1)+IFERROR(VLOOKUP(A162,[1]Energiindhold!$A$2:$C$11,3,FALSE),0)*M162+IF(E162&lt;&gt;År1,R162,0),0)</f>
        <v>0</v>
      </c>
      <c r="T162">
        <f>IFERROR(VLOOKUP(A162,[1]Biogasudbytte!$A$2:$B$18,2,FALSE)*[1]Energiindhold!$C$10,0)*K162*IFERROR(VLOOKUP(A162,Biogasanlæg!$F$3:$G$8,2,FALSE),1)</f>
        <v>0</v>
      </c>
      <c r="U162" s="170">
        <f t="shared" si="55"/>
        <v>0</v>
      </c>
      <c r="V162" s="169">
        <f>P162*IFERROR(VLOOKUP(A162,[1]Tørstofindhold!A$2:B$24,2,FALSE),0)</f>
        <v>0</v>
      </c>
      <c r="W162">
        <f>IF(E162=År1,Q162,SUM(P162,Q162))*IFERROR(VLOOKUP(A162,[1]Tørstofindhold!A$2:B$24,2,FALSE),0)</f>
        <v>0</v>
      </c>
      <c r="X162">
        <f>K162*IFERROR(VLOOKUP(A162,[1]Tørstofindhold!A$2:B$24,2,FALSE),0)</f>
        <v>0</v>
      </c>
      <c r="Y162" s="170">
        <f t="shared" si="56"/>
        <v>0</v>
      </c>
      <c r="Z162">
        <f t="shared" ca="1" si="47"/>
        <v>0</v>
      </c>
      <c r="AA162">
        <f t="shared" ca="1" si="48"/>
        <v>0</v>
      </c>
      <c r="AB162" s="94">
        <f t="shared" ca="1" si="49"/>
        <v>0</v>
      </c>
      <c r="AC162">
        <f ca="1">AB162*D162*10000*VLOOKUP(A162,[1]kcal!$A$2:$C$49,3,FALSE)/1000000000000</f>
        <v>0</v>
      </c>
    </row>
    <row r="163" spans="1:29" x14ac:dyDescent="0.25">
      <c r="A163" s="171" t="s">
        <v>6</v>
      </c>
      <c r="B163" s="171"/>
      <c r="C163" s="171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0</v>
      </c>
      <c r="D163" s="171">
        <f t="shared" si="39"/>
        <v>1</v>
      </c>
      <c r="E163" s="171">
        <f t="shared" si="52"/>
        <v>2019</v>
      </c>
      <c r="F163" t="s">
        <v>24</v>
      </c>
      <c r="G163" s="94">
        <f>IF(F163="Vestdanmark",SUMIFS(IF(E163=År1,'Resultater - Vestdanmark'!H$3:H$504,IF(E163=År2,'Resultater - Vestdanmark'!I$3:I$504,'Resultater - Vestdanmark'!J$3:J$504)),'Resultater - Vestdanmark'!$F$3:$F$504,$A163,IF(E163=År1,'Resultater - Vestdanmark'!H$3:H$504,IF(E163=År2,'Resultater - Vestdanmark'!I$3:I$504,'Resultater - Vestdanmark'!J$3:J$504)),"&gt;0"),SUMIFS(IF(E163=År1,'Resultater - Østdanmark'!H$3:H$504,IF(E163=År2,'Resultater - Østdanmark'!I$3:I$504,'Resultater - Østdanmark'!J$3:J$504)),'Resultater - Østdanmark'!$F$3:$F$504,$A163,IF(E163=År1,'Resultater - Østdanmark'!H$3:H$504,IF(E163=År2,'Resultater - Østdanmark'!I$3:I$504,'Resultater - Østdanmark'!J$3:J$504)),"&gt;0"))</f>
        <v>95299.46904386401</v>
      </c>
      <c r="H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forbrug'!H$3,'Forbrug af biomasse'!$B$2:$B$425,$F163)</f>
        <v>0</v>
      </c>
      <c r="I163">
        <f>IF(F163="Vestdanmark",-IF(A163="Halm",SUMIFS(IF(E163=År1,'Resultater - Vestdanmark'!H$3:H$504,IF(E163=År2,'Resultater - Vestdanmark'!I$3:I$504,'Resultater - Vestdanmark'!J$3:J$504)),'Resultater - Vestdanmark'!$F$3:$F$504,$A163,'Resultater - Vestdanmark'!H$3:H$504,"&lt;0"),0),-IF(A163="Halm",SUMIFS(IF(E163=År1,'Resultater - Østdanmark'!H$3:H$504,IF(E163=År2,'Resultater - Østdanmark'!I$3:I$504,'Resultater - Østdanmark'!J$3:J$504)),'Resultater - Østdanmark'!$F$3:$F$504,$A163,'Resultater - Østdanmark'!H$3:H$504,"&lt;0"),0))</f>
        <v>0</v>
      </c>
      <c r="J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forbrug'!J$3,'Forbrug af biomasse'!$B$2:$B$425,$F163)</f>
        <v>222884.49629995148</v>
      </c>
      <c r="K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forbrug'!K$3,'Forbrug af biomasse'!$B$2:$B$425,$F163)</f>
        <v>0</v>
      </c>
      <c r="L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forbrug'!L$3,'Forbrug af biomasse'!$B$2:$B$425,$F163)</f>
        <v>0</v>
      </c>
      <c r="M163" s="94">
        <f>IF(A163&lt;&gt;"Biogas",SUMIFS('Forbrug af biomasse'!$E$2:$E$425,'Forbrug af biomasse'!$C$2:$C$425,'Resultat-Produktion &amp; forbrug'!$A163,'Forbrug af biomasse'!$D$2:$D$425,'Resultat-Produktion &amp; forbrug'!$E163,'Forbrug af biomasse'!$A$2:$A$425,'Resultat-Produktion &amp; forbrug'!M$3,'Forbrug af biomasse'!$B$2:$B$425,$F163),G163)</f>
        <v>0</v>
      </c>
      <c r="N163" s="94">
        <f>SUMIFS('Forbrug af biomasse'!E:E,'Forbrug af biomasse'!C:C,'Resultat-Produktion &amp; forbrug'!$A163,'Forbrug af biomasse'!D:D,'Resultat-Produktion &amp; forbrug'!$E163,'Forbrug af biomasse'!G:G,1,'Forbrug af biomasse'!B:B,$F163)</f>
        <v>0</v>
      </c>
      <c r="O163" s="179">
        <f t="shared" si="53"/>
        <v>-127585.02725608747</v>
      </c>
      <c r="P163" s="94">
        <f t="shared" si="43"/>
        <v>0</v>
      </c>
      <c r="Q163" s="180">
        <f t="shared" si="54"/>
        <v>0</v>
      </c>
      <c r="R163">
        <f>IFERROR(VLOOKUP(A163,[1]Energiindhold!$A$2:$C$11,3,FALSE),IFERROR(VLOOKUP(A163,[1]Biogasudbytte!$A$2:$B$18,2,FALSE)*[1]Energiindhold!$C$10,0))*P163</f>
        <v>0</v>
      </c>
      <c r="S163">
        <f>IF(A163&lt;&gt;"Biogas",IFERROR(VLOOKUP(A163,[1]Biogasudbytte!$A$2:$B$18,2,FALSE)*[1]Energiindhold!$C$10,0)*K163*IFERROR(VLOOKUP(A163,Biogasanlæg!$F$3:$G$8,2,FALSE),1)+IFERROR(VLOOKUP(A163,[1]Energiindhold!$A$2:$C$11,3,FALSE),0)*M163+IF(E163&lt;&gt;År1,R163,0),0)</f>
        <v>0</v>
      </c>
      <c r="T163">
        <f>IFERROR(VLOOKUP(A163,[1]Biogasudbytte!$A$2:$B$18,2,FALSE)*[1]Energiindhold!$C$10,0)*K163*IFERROR(VLOOKUP(A163,Biogasanlæg!$F$3:$G$8,2,FALSE),1)</f>
        <v>0</v>
      </c>
      <c r="U163" s="170">
        <f t="shared" si="55"/>
        <v>0</v>
      </c>
      <c r="V163" s="169">
        <f>P163*IFERROR(VLOOKUP(A163,[1]Tørstofindhold!A$2:B$24,2,FALSE),0)</f>
        <v>0</v>
      </c>
      <c r="W163">
        <f>IF(E163=År1,Q163,SUM(P163,Q163))*IFERROR(VLOOKUP(A163,[1]Tørstofindhold!A$2:B$24,2,FALSE),0)</f>
        <v>0</v>
      </c>
      <c r="X163">
        <f>K163*IFERROR(VLOOKUP(A163,[1]Tørstofindhold!A$2:B$24,2,FALSE),0)</f>
        <v>0</v>
      </c>
      <c r="Y163" s="170">
        <f t="shared" si="56"/>
        <v>0</v>
      </c>
      <c r="Z163">
        <f t="shared" si="47"/>
        <v>1</v>
      </c>
      <c r="AA163">
        <f t="shared" si="48"/>
        <v>0</v>
      </c>
      <c r="AB163" s="94">
        <f t="shared" si="49"/>
        <v>95299.46904386401</v>
      </c>
      <c r="AC163">
        <f>AB163*D163*10000*VLOOKUP(A163,[1]kcal!$A$2:$C$49,3,FALSE)/1000000000000</f>
        <v>3.7166792927106965E-2</v>
      </c>
    </row>
    <row r="164" spans="1:29" x14ac:dyDescent="0.25">
      <c r="A164" s="171" t="s">
        <v>67</v>
      </c>
      <c r="B164" s="171" t="s">
        <v>227</v>
      </c>
      <c r="C164" s="171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71">
        <f t="shared" si="39"/>
        <v>0</v>
      </c>
      <c r="E164" s="171">
        <f t="shared" si="52"/>
        <v>2019</v>
      </c>
      <c r="F164" t="s">
        <v>24</v>
      </c>
      <c r="G164" s="94">
        <f ca="1">IF(F164="Vestdanmark",SUMIFS(IF(E164=År1,'Resultater - Vestdanmark'!H$3:H$504,IF(E164=År2,'Resultater - Vestdanmark'!I$3:I$504,'Resultater - Vestdanmark'!J$3:J$504)),'Resultater - Vestdanmark'!$F$3:$F$504,$A164,IF(E164=År1,'Resultater - Vestdanmark'!H$3:H$504,IF(E164=År2,'Resultater - Vestdanmark'!I$3:I$504,'Resultater - Vestdanmark'!J$3:J$504)),"&gt;0"),SUMIFS(IF(E164=År1,'Resultater - Østdanmark'!H$3:H$504,IF(E164=År2,'Resultater - Østdanmark'!I$3:I$504,'Resultater - Østdanmark'!J$3:J$504)),'Resultater - Østdanmark'!$F$3:$F$504,$A164,IF(E164=År1,'Resultater - Østdanmark'!H$3:H$504,IF(E164=År2,'Resultater - Østdanmark'!I$3:I$504,'Resultater - Østdanmark'!J$3:J$504)),"&gt;0"))</f>
        <v>954412.72069157928</v>
      </c>
      <c r="H164" s="94">
        <f ca="1">SUMIFS('Forbrug af biomasse'!$E$2:$E$425,'Forbrug af biomasse'!$C$2:$C$425,'Resultat-Produktion &amp; forbrug'!$A164,'Forbrug af biomasse'!$D$2:$D$425,'Resultat-Produktion &amp; forbrug'!$E164,'Forbrug af biomasse'!$A$2:$A$425,'Resultat-Produktion &amp; forbrug'!H$3,'Forbrug af biomasse'!$B$2:$B$425,$F164)</f>
        <v>94889.448034412548</v>
      </c>
      <c r="I164">
        <f ca="1">IF(F164="Vestdanmark",-IF(A164="Halm",SUMIFS(IF(E164=År1,'Resultater - Vestdanmark'!H$3:H$504,IF(E164=År2,'Resultater - Vestdanmark'!I$3:I$504,'Resultater - Vestdanmark'!J$3:J$504)),'Resultater - Vestdanmark'!$F$3:$F$504,$A164,'Resultater - Vestdanmark'!H$3:H$504,"&lt;0"),0),-IF(A164="Halm",SUMIFS(IF(E164=År1,'Resultater - Østdanmark'!H$3:H$504,IF(E164=År2,'Resultater - Østdanmark'!I$3:I$504,'Resultater - Østdanmark'!J$3:J$504)),'Resultater - Østdanmark'!$F$3:$F$504,$A164,'Resultater - Østdanmark'!H$3:H$504,"&lt;0"),0))</f>
        <v>104128.58905499999</v>
      </c>
      <c r="J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forbrug'!J$3,'Forbrug af biomasse'!$B$2:$B$425,$F164)</f>
        <v>0</v>
      </c>
      <c r="K164" s="94">
        <f ca="1">SUMIFS('Forbrug af biomasse'!$E$2:$E$425,'Forbrug af biomasse'!$C$2:$C$425,'Resultat-Produktion &amp; forbrug'!$A164,'Forbrug af biomasse'!$D$2:$D$425,'Resultat-Produktion &amp; forbrug'!$E164,'Forbrug af biomasse'!$A$2:$A$425,'Resultat-Produktion &amp; forbrug'!K$3,'Forbrug af biomasse'!$B$2:$B$425,$F164)</f>
        <v>22739.095393183845</v>
      </c>
      <c r="L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forbrug'!L$3,'Forbrug af biomasse'!$B$2:$B$425,$F164)</f>
        <v>0</v>
      </c>
      <c r="M164" s="94">
        <f ca="1">IF(A164&lt;&gt;"Biogas",SUMIFS('Forbrug af biomasse'!$E$2:$E$425,'Forbrug af biomasse'!$C$2:$C$425,'Resultat-Produktion &amp; forbrug'!$A164,'Forbrug af biomasse'!$D$2:$D$425,'Resultat-Produktion &amp; forbrug'!$E164,'Forbrug af biomasse'!$A$2:$A$425,'Resultat-Produktion &amp; forbrug'!M$3,'Forbrug af biomasse'!$B$2:$B$425,$F164),G164)</f>
        <v>732655.58820898295</v>
      </c>
      <c r="N164" s="94">
        <f ca="1">SUMIFS('Forbrug af biomasse'!E:E,'Forbrug af biomasse'!C:C,'Resultat-Produktion &amp; forbrug'!$A164,'Forbrug af biomasse'!D:D,'Resultat-Produktion &amp; forbrug'!$E164,'Forbrug af biomasse'!G:G,1,'Forbrug af biomasse'!B:B,$F164)</f>
        <v>0</v>
      </c>
      <c r="O164" s="179">
        <f t="shared" ca="1" si="53"/>
        <v>0</v>
      </c>
      <c r="P164" s="94">
        <f t="shared" ca="1" si="43"/>
        <v>0</v>
      </c>
      <c r="Q164" s="180">
        <f t="shared" ca="1" si="54"/>
        <v>755394.68360216683</v>
      </c>
      <c r="R164">
        <f ca="1">IFERROR(VLOOKUP(A164,[1]Energiindhold!$A$2:$C$11,3,FALSE),IFERROR(VLOOKUP(A164,[1]Biogasudbytte!$A$2:$B$18,2,FALSE)*[1]Energiindhold!$C$10,0))*P164</f>
        <v>0</v>
      </c>
      <c r="S164">
        <f ca="1">IF(A164&lt;&gt;"Biogas",IFERROR(VLOOKUP(A164,[1]Biogasudbytte!$A$2:$B$18,2,FALSE)*[1]Energiindhold!$C$10,0)*K164*IFERROR(VLOOKUP(A164,Biogasanlæg!$F$3:$G$8,2,FALSE),1)+IFERROR(VLOOKUP(A164,[1]Energiindhold!$A$2:$C$11,3,FALSE),0)*M164+IF(E164&lt;&gt;År1,R164,0),0)</f>
        <v>7.7036894370658402</v>
      </c>
      <c r="T164">
        <f ca="1">IFERROR(VLOOKUP(A164,[1]Biogasudbytte!$A$2:$B$18,2,FALSE)*[1]Energiindhold!$C$10,0)*K164*IFERROR(VLOOKUP(A164,Biogasanlæg!$F$3:$G$8,2,FALSE),1)</f>
        <v>0.1311031640532172</v>
      </c>
      <c r="U164" s="170">
        <f t="shared" ca="1" si="55"/>
        <v>7.5725862730126234</v>
      </c>
      <c r="V164" s="169">
        <f ca="1">P164*IFERROR(VLOOKUP(A164,[1]Tørstofindhold!A$2:B$24,2,FALSE),0)</f>
        <v>0</v>
      </c>
      <c r="W164">
        <f ca="1">IF(E164=År1,Q164,SUM(P164,Q164))*IFERROR(VLOOKUP(A164,[1]Tørstofindhold!A$2:B$24,2,FALSE),0)</f>
        <v>642085.48106184183</v>
      </c>
      <c r="X164">
        <f ca="1">K164*IFERROR(VLOOKUP(A164,[1]Tørstofindhold!A$2:B$24,2,FALSE),0)</f>
        <v>19328.231084206269</v>
      </c>
      <c r="Y164" s="170">
        <f t="shared" ca="1" si="56"/>
        <v>622757.24997763557</v>
      </c>
      <c r="Z164">
        <f t="shared" ca="1" si="47"/>
        <v>0</v>
      </c>
      <c r="AA164">
        <f t="shared" ca="1" si="48"/>
        <v>0</v>
      </c>
      <c r="AB164" s="94">
        <f t="shared" ca="1" si="49"/>
        <v>732655.58820898295</v>
      </c>
      <c r="AC164">
        <f ca="1">AB164*D164*10000*VLOOKUP(A164,[1]kcal!$A$2:$C$49,3,FALSE)/1000000000000</f>
        <v>0</v>
      </c>
    </row>
    <row r="165" spans="1:29" x14ac:dyDescent="0.25">
      <c r="A165" s="171" t="s">
        <v>162</v>
      </c>
      <c r="B165" s="171" t="s">
        <v>230</v>
      </c>
      <c r="C165" s="171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1</v>
      </c>
      <c r="D165" s="171">
        <f t="shared" si="39"/>
        <v>0</v>
      </c>
      <c r="E165" s="171">
        <f t="shared" si="52"/>
        <v>2019</v>
      </c>
      <c r="F165" t="s">
        <v>24</v>
      </c>
      <c r="G165" s="94">
        <f>IF(F165="Vestdanmark",SUMIFS(IF(E165=År1,'Resultater - Vestdanmark'!H$3:H$504,IF(E165=År2,'Resultater - Vestdanmark'!I$3:I$504,'Resultater - Vestdanmark'!J$3:J$504)),'Resultater - Vestdanmark'!$F$3:$F$504,$A165,IF(E165=År1,'Resultater - Vestdanmark'!H$3:H$504,IF(E165=År2,'Resultater - Vestdanmark'!I$3:I$504,'Resultater - Vestdanmark'!J$3:J$504)),"&gt;0"),SUMIFS(IF(E165=År1,'Resultater - Østdanmark'!H$3:H$504,IF(E165=År2,'Resultater - Østdanmark'!I$3:I$504,'Resultater - Østdanmark'!J$3:J$504)),'Resultater - Østdanmark'!$F$3:$F$504,$A165,IF(E165=År1,'Resultater - Østdanmark'!H$3:H$504,IF(E165=År2,'Resultater - Østdanmark'!I$3:I$504,'Resultater - Østdanmark'!J$3:J$504)),"&gt;0"))</f>
        <v>452346.51233766804</v>
      </c>
      <c r="H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forbrug'!H$3,'Forbrug af biomasse'!$B$2:$B$425,$F165)</f>
        <v>0</v>
      </c>
      <c r="I165">
        <f>IF(F165="Vestdanmark",-IF(A165="Halm",SUMIFS(IF(E165=År1,'Resultater - Vestdanmark'!H$3:H$504,IF(E165=År2,'Resultater - Vestdanmark'!I$3:I$504,'Resultater - Vestdanmark'!J$3:J$504)),'Resultater - Vestdanmark'!$F$3:$F$504,$A165,'Resultater - Vestdanmark'!H$3:H$504,"&lt;0"),0),-IF(A165="Halm",SUMIFS(IF(E165=År1,'Resultater - Østdanmark'!H$3:H$504,IF(E165=År2,'Resultater - Østdanmark'!I$3:I$504,'Resultater - Østdanmark'!J$3:J$504)),'Resultater - Østdanmark'!$F$3:$F$504,$A165,'Resultater - Østdanmark'!H$3:H$504,"&lt;0"),0))</f>
        <v>0</v>
      </c>
      <c r="J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forbrug'!J$3,'Forbrug af biomasse'!$B$2:$B$425,$F165)</f>
        <v>0</v>
      </c>
      <c r="K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forbrug'!K$3,'Forbrug af biomasse'!$B$2:$B$425,$F165)</f>
        <v>35.900188095894634</v>
      </c>
      <c r="L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forbrug'!L$3,'Forbrug af biomasse'!$B$2:$B$425,$F165)</f>
        <v>0</v>
      </c>
      <c r="M165" s="94">
        <f>IF(A165&lt;&gt;"Biogas",SUMIFS('Forbrug af biomasse'!$E$2:$E$425,'Forbrug af biomasse'!$C$2:$C$425,'Resultat-Produktion &amp; forbrug'!$A165,'Forbrug af biomasse'!$D$2:$D$425,'Resultat-Produktion &amp; forbrug'!$E165,'Forbrug af biomasse'!$A$2:$A$425,'Resultat-Produktion &amp; forbrug'!M$3,'Forbrug af biomasse'!$B$2:$B$425,$F165),G165)</f>
        <v>452310.61214957217</v>
      </c>
      <c r="N165" s="94">
        <f>SUMIFS('Forbrug af biomasse'!E:E,'Forbrug af biomasse'!C:C,'Resultat-Produktion &amp; forbrug'!$A165,'Forbrug af biomasse'!D:D,'Resultat-Produktion &amp; forbrug'!$E165,'Forbrug af biomasse'!G:G,1,'Forbrug af biomasse'!B:B,$F165)</f>
        <v>0</v>
      </c>
      <c r="O165" s="179">
        <f t="shared" si="53"/>
        <v>0</v>
      </c>
      <c r="P165" s="94">
        <f t="shared" si="43"/>
        <v>0</v>
      </c>
      <c r="Q165" s="180">
        <f t="shared" si="54"/>
        <v>452346.51233766804</v>
      </c>
      <c r="R165">
        <f>IFERROR(VLOOKUP(A165,[1]Energiindhold!$A$2:$C$11,3,FALSE),IFERROR(VLOOKUP(A165,[1]Biogasudbytte!$A$2:$B$18,2,FALSE)*[1]Energiindhold!$C$10,0))*P165</f>
        <v>0</v>
      </c>
      <c r="S165">
        <f>IF(A165&lt;&gt;"Biogas",IFERROR(VLOOKUP(A165,[1]Biogasudbytte!$A$2:$B$18,2,FALSE)*[1]Energiindhold!$C$10,0)*K165*IFERROR(VLOOKUP(A165,Biogasanlæg!$F$3:$G$8,2,FALSE),1)+IFERROR(VLOOKUP(A165,[1]Energiindhold!$A$2:$C$11,3,FALSE),0)*M165+IF(E165&lt;&gt;År1,R165,0),0)</f>
        <v>8.0748097529675267</v>
      </c>
      <c r="T165">
        <f>IFERROR(VLOOKUP(A165,[1]Biogasudbytte!$A$2:$B$18,2,FALSE)*[1]Energiindhold!$C$10,0)*K165*IFERROR(VLOOKUP(A165,Biogasanlæg!$F$3:$G$8,2,FALSE),1)</f>
        <v>6.0961032399995807E-5</v>
      </c>
      <c r="U165" s="170">
        <f t="shared" si="55"/>
        <v>8.0747487919351268</v>
      </c>
      <c r="V165" s="169">
        <f>P165*IFERROR(VLOOKUP(A165,[1]Tørstofindhold!A$2:B$24,2,FALSE),0)</f>
        <v>0</v>
      </c>
      <c r="W165">
        <f>IF(E165=År1,Q165,SUM(P165,Q165))*IFERROR(VLOOKUP(A165,[1]Tørstofindhold!A$2:B$24,2,FALSE),0)</f>
        <v>135703.9537013004</v>
      </c>
      <c r="X165">
        <f>K165*IFERROR(VLOOKUP(A165,[1]Tørstofindhold!A$2:B$24,2,FALSE),0)</f>
        <v>10.77005642876839</v>
      </c>
      <c r="Y165" s="170">
        <f t="shared" si="56"/>
        <v>135693.18364487163</v>
      </c>
      <c r="Z165">
        <f t="shared" si="47"/>
        <v>0</v>
      </c>
      <c r="AA165">
        <f t="shared" si="48"/>
        <v>0</v>
      </c>
      <c r="AB165" s="94">
        <f t="shared" si="49"/>
        <v>452310.61214957217</v>
      </c>
      <c r="AC165">
        <f>AB165*D165*10000*VLOOKUP(A165,[1]kcal!$A$2:$C$49,3,FALSE)/1000000000000</f>
        <v>0</v>
      </c>
    </row>
    <row r="166" spans="1:29" x14ac:dyDescent="0.25">
      <c r="A166" t="s">
        <v>159</v>
      </c>
      <c r="B166" s="171"/>
      <c r="C166" s="171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0</v>
      </c>
      <c r="D166" s="171">
        <f t="shared" si="39"/>
        <v>1</v>
      </c>
      <c r="E166" s="171">
        <f t="shared" si="52"/>
        <v>2019</v>
      </c>
      <c r="F166" t="s">
        <v>24</v>
      </c>
      <c r="G166" s="94">
        <f>IF(F166="Vestdanmark",SUMIFS(IF(E166=År1,'Resultater - Vestdanmark'!H$3:H$504,IF(E166=År2,'Resultater - Vestdanmark'!I$3:I$504,'Resultater - Vestdanmark'!J$3:J$504)),'Resultater - Vestdanmark'!$F$3:$F$504,$A166,IF(E166=År1,'Resultater - Vestdanmark'!H$3:H$504,IF(E166=År2,'Resultater - Vestdanmark'!I$3:I$504,'Resultater - Vestdanmark'!J$3:J$504)),"&gt;0"),SUMIFS(IF(E166=År1,'Resultater - Østdanmark'!H$3:H$504,IF(E166=År2,'Resultater - Østdanmark'!I$3:I$504,'Resultater - Østdanmark'!J$3:J$504)),'Resultater - Østdanmark'!$F$3:$F$504,$A166,IF(E166=År1,'Resultater - Østdanmark'!H$3:H$504,IF(E166=År2,'Resultater - Østdanmark'!I$3:I$504,'Resultater - Østdanmark'!J$3:J$504)),"&gt;0"))</f>
        <v>0</v>
      </c>
      <c r="H166" s="94">
        <f ca="1">SUMIFS('Forbrug af biomasse'!$E$2:$E$425,'Forbrug af biomasse'!$C$2:$C$425,'Resultat-Produktion &amp; forbrug'!$A166,'Forbrug af biomasse'!$D$2:$D$425,'Resultat-Produktion &amp; forbrug'!$E166,'Forbrug af biomasse'!$A$2:$A$425,'Resultat-Produktion &amp; forbrug'!H$3,'Forbrug af biomasse'!$B$2:$B$425,$F166)</f>
        <v>592646.72642582108</v>
      </c>
      <c r="I166">
        <f>IF(F166="Vestdanmark",-IF(A166="Halm",SUMIFS(IF(E166=År1,'Resultater - Vestdanmark'!H$3:H$504,IF(E166=År2,'Resultater - Vestdanmark'!I$3:I$504,'Resultater - Vestdanmark'!J$3:J$504)),'Resultater - Vestdanmark'!$F$3:$F$504,$A166,'Resultater - Vestdanmark'!H$3:H$504,"&lt;0"),0),-IF(A166="Halm",SUMIFS(IF(E166=År1,'Resultater - Østdanmark'!H$3:H$504,IF(E166=År2,'Resultater - Østdanmark'!I$3:I$504,'Resultater - Østdanmark'!J$3:J$504)),'Resultater - Østdanmark'!$F$3:$F$504,$A166,'Resultater - Østdanmark'!H$3:H$504,"&lt;0"),0))</f>
        <v>0</v>
      </c>
      <c r="J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forbrug'!J$3,'Forbrug af biomasse'!$B$2:$B$425,$F166)</f>
        <v>0</v>
      </c>
      <c r="K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forbrug'!K$3,'Forbrug af biomasse'!$B$2:$B$425,$F166)</f>
        <v>0</v>
      </c>
      <c r="L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forbrug'!L$3,'Forbrug af biomasse'!$B$2:$B$425,$F166)</f>
        <v>0</v>
      </c>
      <c r="M166" s="94">
        <f>IF(A166&lt;&gt;"Biogas",SUMIFS('Forbrug af biomasse'!$E$2:$E$425,'Forbrug af biomasse'!$C$2:$C$425,'Resultat-Produktion &amp; forbrug'!$A166,'Forbrug af biomasse'!$D$2:$D$425,'Resultat-Produktion &amp; forbrug'!$E166,'Forbrug af biomasse'!$A$2:$A$425,'Resultat-Produktion &amp; forbrug'!M$3,'Forbrug af biomasse'!$B$2:$B$425,$F166),G166)</f>
        <v>0</v>
      </c>
      <c r="N166" s="94">
        <f>SUMIFS('Forbrug af biomasse'!E:E,'Forbrug af biomasse'!C:C,'Resultat-Produktion &amp; forbrug'!$A166,'Forbrug af biomasse'!D:D,'Resultat-Produktion &amp; forbrug'!$E166,'Forbrug af biomasse'!G:G,1,'Forbrug af biomasse'!B:B,$F166)</f>
        <v>0</v>
      </c>
      <c r="O166" s="179">
        <f t="shared" ca="1" si="53"/>
        <v>-592646.72642582108</v>
      </c>
      <c r="P166" s="94">
        <f t="shared" si="43"/>
        <v>0</v>
      </c>
      <c r="Q166" s="180">
        <f t="shared" si="54"/>
        <v>0</v>
      </c>
      <c r="R166">
        <f>IFERROR(VLOOKUP(A166,[1]Energiindhold!$A$2:$C$11,3,FALSE),IFERROR(VLOOKUP(A166,[1]Biogasudbytte!$A$2:$B$18,2,FALSE)*[1]Energiindhold!$C$10,0))*P166</f>
        <v>0</v>
      </c>
      <c r="S166">
        <f>IF(A166&lt;&gt;"Biogas",IFERROR(VLOOKUP(A166,[1]Biogasudbytte!$A$2:$B$18,2,FALSE)*[1]Energiindhold!$C$10,0)*K166*IFERROR(VLOOKUP(A166,Biogasanlæg!$F$3:$G$8,2,FALSE),1)+IFERROR(VLOOKUP(A166,[1]Energiindhold!$A$2:$C$11,3,FALSE),0)*M166+IF(E166&lt;&gt;År1,R166,0),0)</f>
        <v>0</v>
      </c>
      <c r="T166">
        <f>IFERROR(VLOOKUP(A166,[1]Biogasudbytte!$A$2:$B$18,2,FALSE)*[1]Energiindhold!$C$10,0)*K166*IFERROR(VLOOKUP(A166,Biogasanlæg!$F$3:$G$8,2,FALSE),1)</f>
        <v>0</v>
      </c>
      <c r="U166" s="170">
        <f t="shared" si="55"/>
        <v>0</v>
      </c>
      <c r="V166" s="169">
        <f>P166*IFERROR(VLOOKUP(A166,[1]Tørstofindhold!A$2:B$24,2,FALSE),0)</f>
        <v>0</v>
      </c>
      <c r="W166">
        <f>IF(E166=År1,Q166,SUM(P166,Q166))*IFERROR(VLOOKUP(A166,[1]Tørstofindhold!A$2:B$24,2,FALSE),0)</f>
        <v>0</v>
      </c>
      <c r="X166">
        <f>K166*IFERROR(VLOOKUP(A166,[1]Tørstofindhold!A$2:B$24,2,FALSE),0)</f>
        <v>0</v>
      </c>
      <c r="Y166" s="170">
        <f t="shared" si="56"/>
        <v>0</v>
      </c>
      <c r="Z166">
        <f t="shared" ca="1" si="47"/>
        <v>1</v>
      </c>
      <c r="AA166">
        <f t="shared" ca="1" si="48"/>
        <v>0</v>
      </c>
      <c r="AB166" s="94">
        <f t="shared" ca="1" si="49"/>
        <v>-592646.72642582108</v>
      </c>
      <c r="AC166">
        <f ca="1">AB166*D166*10000*VLOOKUP(A166,[1]kcal!$A$2:$C$49,3,FALSE)/1000000000000</f>
        <v>-0.33780863406271799</v>
      </c>
    </row>
    <row r="167" spans="1:29" x14ac:dyDescent="0.25">
      <c r="A167" s="171" t="s">
        <v>103</v>
      </c>
      <c r="B167" s="171" t="s">
        <v>230</v>
      </c>
      <c r="C167" s="171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1</v>
      </c>
      <c r="D167" s="171">
        <f t="shared" si="39"/>
        <v>0</v>
      </c>
      <c r="E167" s="171">
        <f t="shared" si="52"/>
        <v>2019</v>
      </c>
      <c r="F167" t="s">
        <v>24</v>
      </c>
      <c r="G167" s="94">
        <f ca="1">IF(F167="Vestdanmark",SUMIFS(IF(E167=År1,'Resultater - Vestdanmark'!H$3:H$504,IF(E167=År2,'Resultater - Vestdanmark'!I$3:I$504,'Resultater - Vestdanmark'!J$3:J$504)),'Resultater - Vestdanmark'!$F$3:$F$504,$A167,IF(E167=År1,'Resultater - Vestdanmark'!H$3:H$504,IF(E167=År2,'Resultater - Vestdanmark'!I$3:I$504,'Resultater - Vestdanmark'!J$3:J$504)),"&gt;0"),SUMIFS(IF(E167=År1,'Resultater - Østdanmark'!H$3:H$504,IF(E167=År2,'Resultater - Østdanmark'!I$3:I$504,'Resultater - Østdanmark'!J$3:J$504)),'Resultater - Østdanmark'!$F$3:$F$504,$A167,IF(E167=År1,'Resultater - Østdanmark'!H$3:H$504,IF(E167=År2,'Resultater - Østdanmark'!I$3:I$504,'Resultater - Østdanmark'!J$3:J$504)),"&gt;0"))</f>
        <v>200279.74928693369</v>
      </c>
      <c r="H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forbrug'!H$3,'Forbrug af biomasse'!$B$2:$B$425,$F167)</f>
        <v>0</v>
      </c>
      <c r="I167">
        <f>IF(F167="Vestdanmark",-IF(A167="Halm",SUMIFS(IF(E167=År1,'Resultater - Vestdanmark'!H$3:H$504,IF(E167=År2,'Resultater - Vestdanmark'!I$3:I$504,'Resultater - Vestdanmark'!J$3:J$504)),'Resultater - Vestdanmark'!$F$3:$F$504,$A167,'Resultater - Vestdanmark'!H$3:H$504,"&lt;0"),0),-IF(A167="Halm",SUMIFS(IF(E167=År1,'Resultater - Østdanmark'!H$3:H$504,IF(E167=År2,'Resultater - Østdanmark'!I$3:I$504,'Resultater - Østdanmark'!J$3:J$504)),'Resultater - Østdanmark'!$F$3:$F$504,$A167,'Resultater - Østdanmark'!H$3:H$504,"&lt;0"),0))</f>
        <v>0</v>
      </c>
      <c r="J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forbrug'!J$3,'Forbrug af biomasse'!$B$2:$B$425,$F167)</f>
        <v>0</v>
      </c>
      <c r="K167" s="94">
        <f ca="1">SUMIFS('Forbrug af biomasse'!$E$2:$E$425,'Forbrug af biomasse'!$C$2:$C$425,'Resultat-Produktion &amp; forbrug'!$A167,'Forbrug af biomasse'!$D$2:$D$425,'Resultat-Produktion &amp; forbrug'!$E167,'Forbrug af biomasse'!$A$2:$A$425,'Resultat-Produktion &amp; forbrug'!K$3,'Forbrug af biomasse'!$B$2:$B$425,$F167)</f>
        <v>279550.24796430691</v>
      </c>
      <c r="L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forbrug'!L$3,'Forbrug af biomasse'!$B$2:$B$425,$F167)</f>
        <v>0</v>
      </c>
      <c r="M167" s="94">
        <f>IF(A167&lt;&gt;"Biogas",SUMIFS('Forbrug af biomasse'!$E$2:$E$425,'Forbrug af biomasse'!$C$2:$C$425,'Resultat-Produktion &amp; forbrug'!$A167,'Forbrug af biomasse'!$D$2:$D$425,'Resultat-Produktion &amp; forbrug'!$E167,'Forbrug af biomasse'!$A$2:$A$425,'Resultat-Produktion &amp; forbrug'!M$3,'Forbrug af biomasse'!$B$2:$B$425,$F167),G167)</f>
        <v>0</v>
      </c>
      <c r="N167" s="94">
        <f>SUMIFS('Forbrug af biomasse'!E:E,'Forbrug af biomasse'!C:C,'Resultat-Produktion &amp; forbrug'!$A167,'Forbrug af biomasse'!D:D,'Resultat-Produktion &amp; forbrug'!$E167,'Forbrug af biomasse'!G:G,1,'Forbrug af biomasse'!B:B,$F167)</f>
        <v>0</v>
      </c>
      <c r="O167" s="179">
        <f t="shared" ca="1" si="53"/>
        <v>-79270.498677373223</v>
      </c>
      <c r="P167" s="94">
        <f t="shared" ca="1" si="43"/>
        <v>0</v>
      </c>
      <c r="Q167" s="180">
        <f t="shared" ca="1" si="54"/>
        <v>279550.24796430691</v>
      </c>
      <c r="R167">
        <f ca="1">IFERROR(VLOOKUP(A167,[1]Energiindhold!$A$2:$C$11,3,FALSE),IFERROR(VLOOKUP(A167,[1]Biogasudbytte!$A$2:$B$18,2,FALSE)*[1]Energiindhold!$C$10,0))*P167</f>
        <v>0</v>
      </c>
      <c r="S167">
        <f ca="1">IF(A167&lt;&gt;"Biogas",IFERROR(VLOOKUP(A167,[1]Biogasudbytte!$A$2:$B$18,2,FALSE)*[1]Energiindhold!$C$10,0)*K167*IFERROR(VLOOKUP(A167,Biogasanlæg!$F$3:$G$8,2,FALSE),1)+IFERROR(VLOOKUP(A167,[1]Energiindhold!$A$2:$C$11,3,FALSE),0)*M167+IF(E167&lt;&gt;År1,R167,0),0)</f>
        <v>1.0296284310673407</v>
      </c>
      <c r="T167">
        <f ca="1">IFERROR(VLOOKUP(A167,[1]Biogasudbytte!$A$2:$B$18,2,FALSE)*[1]Energiindhold!$C$10,0)*K167*IFERROR(VLOOKUP(A167,Biogasanlæg!$F$3:$G$8,2,FALSE),1)</f>
        <v>1.0296284310673407</v>
      </c>
      <c r="U167" s="170">
        <f t="shared" ca="1" si="55"/>
        <v>0</v>
      </c>
      <c r="V167" s="169">
        <f ca="1">P167*IFERROR(VLOOKUP(A167,[1]Tørstofindhold!A$2:B$24,2,FALSE),0)</f>
        <v>0</v>
      </c>
      <c r="W167">
        <f ca="1">IF(E167=År1,Q167,SUM(P167,Q167))*IFERROR(VLOOKUP(A167,[1]Tørstofindhold!A$2:B$24,2,FALSE),0)</f>
        <v>117411.1041450089</v>
      </c>
      <c r="X167">
        <f ca="1">K167*IFERROR(VLOOKUP(A167,[1]Tørstofindhold!A$2:B$24,2,FALSE),0)</f>
        <v>117411.1041450089</v>
      </c>
      <c r="Y167" s="170">
        <f t="shared" ca="1" si="56"/>
        <v>0</v>
      </c>
      <c r="Z167">
        <f t="shared" ca="1" si="47"/>
        <v>1</v>
      </c>
      <c r="AA167">
        <f t="shared" ca="1" si="48"/>
        <v>0</v>
      </c>
      <c r="AB167" s="94">
        <f t="shared" ca="1" si="49"/>
        <v>-79270.498677373223</v>
      </c>
      <c r="AC167">
        <f ca="1">AB167*D167*10000*VLOOKUP(A167,[1]kcal!$A$2:$C$49,3,FALSE)/1000000000000</f>
        <v>0</v>
      </c>
    </row>
    <row r="168" spans="1:29" x14ac:dyDescent="0.25">
      <c r="A168" s="171" t="s">
        <v>56</v>
      </c>
      <c r="B168" s="171"/>
      <c r="C168" s="171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71">
        <f t="shared" si="39"/>
        <v>0</v>
      </c>
      <c r="E168" s="171">
        <f t="shared" si="52"/>
        <v>2019</v>
      </c>
      <c r="F168" t="s">
        <v>24</v>
      </c>
      <c r="G168" s="94">
        <f>IF(F168="Vestdanmark",SUMIFS(IF(E168=År1,'Resultater - Vestdanmark'!H$3:H$504,IF(E168=År2,'Resultater - Vestdanmark'!I$3:I$504,'Resultater - Vestdanmark'!J$3:J$504)),'Resultater - Vestdanmark'!$F$3:$F$504,$A168,IF(E168=År1,'Resultater - Vestdanmark'!H$3:H$504,IF(E168=År2,'Resultater - Vestdanmark'!I$3:I$504,'Resultater - Vestdanmark'!J$3:J$504)),"&gt;0"),SUMIFS(IF(E168=År1,'Resultater - Østdanmark'!H$3:H$504,IF(E168=År2,'Resultater - Østdanmark'!I$3:I$504,'Resultater - Østdanmark'!J$3:J$504)),'Resultater - Østdanmark'!$F$3:$F$504,$A168,IF(E168=År1,'Resultater - Østdanmark'!H$3:H$504,IF(E168=År2,'Resultater - Østdanmark'!I$3:I$504,'Resultater - Østdanmark'!J$3:J$504)),"&gt;0"))</f>
        <v>145627.35347864506</v>
      </c>
      <c r="H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forbrug'!H$3,'Forbrug af biomasse'!$B$2:$B$425,$F168)</f>
        <v>0</v>
      </c>
      <c r="I168">
        <f>IF(F168="Vestdanmark",-IF(A168="Halm",SUMIFS(IF(E168=År1,'Resultater - Vestdanmark'!H$3:H$504,IF(E168=År2,'Resultater - Vestdanmark'!I$3:I$504,'Resultater - Vestdanmark'!J$3:J$504)),'Resultater - Vestdanmark'!$F$3:$F$504,$A168,'Resultater - Vestdanmark'!H$3:H$504,"&lt;0"),0),-IF(A168="Halm",SUMIFS(IF(E168=År1,'Resultater - Østdanmark'!H$3:H$504,IF(E168=År2,'Resultater - Østdanmark'!I$3:I$504,'Resultater - Østdanmark'!J$3:J$504)),'Resultater - Østdanmark'!$F$3:$F$504,$A168,'Resultater - Østdanmark'!H$3:H$504,"&lt;0"),0))</f>
        <v>0</v>
      </c>
      <c r="J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forbrug'!J$3,'Forbrug af biomasse'!$B$2:$B$425,$F168)</f>
        <v>0</v>
      </c>
      <c r="K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forbrug'!K$3,'Forbrug af biomasse'!$B$2:$B$425,$F168)</f>
        <v>0</v>
      </c>
      <c r="L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forbrug'!L$3,'Forbrug af biomasse'!$B$2:$B$425,$F168)</f>
        <v>0</v>
      </c>
      <c r="M168" s="94">
        <f>IF(A168&lt;&gt;"Biogas",SUMIFS('Forbrug af biomasse'!$E$2:$E$425,'Forbrug af biomasse'!$C$2:$C$425,'Resultat-Produktion &amp; forbrug'!$A168,'Forbrug af biomasse'!$D$2:$D$425,'Resultat-Produktion &amp; forbrug'!$E168,'Forbrug af biomasse'!$A$2:$A$425,'Resultat-Produktion &amp; forbrug'!M$3,'Forbrug af biomasse'!$B$2:$B$425,$F168),G168)</f>
        <v>0</v>
      </c>
      <c r="N168" s="94">
        <f>SUMIFS('Forbrug af biomasse'!E:E,'Forbrug af biomasse'!C:C,'Resultat-Produktion &amp; forbrug'!$A168,'Forbrug af biomasse'!D:D,'Resultat-Produktion &amp; forbrug'!$E168,'Forbrug af biomasse'!G:G,1,'Forbrug af biomasse'!B:B,$F168)</f>
        <v>0</v>
      </c>
      <c r="O168" s="179">
        <f t="shared" si="53"/>
        <v>145627.35347864506</v>
      </c>
      <c r="P168" s="94">
        <f t="shared" si="43"/>
        <v>0</v>
      </c>
      <c r="Q168" s="180">
        <f t="shared" si="54"/>
        <v>0</v>
      </c>
      <c r="R168">
        <f>IFERROR(VLOOKUP(A168,[1]Energiindhold!$A$2:$C$11,3,FALSE),IFERROR(VLOOKUP(A168,[1]Biogasudbytte!$A$2:$B$18,2,FALSE)*[1]Energiindhold!$C$10,0))*P168</f>
        <v>0</v>
      </c>
      <c r="S168">
        <f>IF(A168&lt;&gt;"Biogas",IFERROR(VLOOKUP(A168,[1]Biogasudbytte!$A$2:$B$18,2,FALSE)*[1]Energiindhold!$C$10,0)*K168*IFERROR(VLOOKUP(A168,Biogasanlæg!$F$3:$G$8,2,FALSE),1)+IFERROR(VLOOKUP(A168,[1]Energiindhold!$A$2:$C$11,3,FALSE),0)*M168+IF(E168&lt;&gt;År1,R168,0),0)</f>
        <v>0</v>
      </c>
      <c r="T168">
        <f>IFERROR(VLOOKUP(A168,[1]Biogasudbytte!$A$2:$B$18,2,FALSE)*[1]Energiindhold!$C$10,0)*K168*IFERROR(VLOOKUP(A168,Biogasanlæg!$F$3:$G$8,2,FALSE),1)</f>
        <v>0</v>
      </c>
      <c r="U168" s="170">
        <f t="shared" si="55"/>
        <v>0</v>
      </c>
      <c r="V168" s="169">
        <f>P168*IFERROR(VLOOKUP(A168,[1]Tørstofindhold!A$2:B$24,2,FALSE),0)</f>
        <v>0</v>
      </c>
      <c r="W168">
        <f>IF(E168=År1,Q168,SUM(P168,Q168))*IFERROR(VLOOKUP(A168,[1]Tørstofindhold!A$2:B$24,2,FALSE),0)</f>
        <v>0</v>
      </c>
      <c r="X168">
        <f>K168*IFERROR(VLOOKUP(A168,[1]Tørstofindhold!A$2:B$24,2,FALSE),0)</f>
        <v>0</v>
      </c>
      <c r="Y168" s="170">
        <f t="shared" si="56"/>
        <v>0</v>
      </c>
      <c r="Z168">
        <f t="shared" si="47"/>
        <v>0</v>
      </c>
      <c r="AA168">
        <f t="shared" si="48"/>
        <v>1</v>
      </c>
      <c r="AB168" s="94">
        <f t="shared" si="49"/>
        <v>145627.35347864506</v>
      </c>
      <c r="AC168">
        <f>AB168*D168*10000*VLOOKUP(A168,[1]kcal!$A$2:$C$49,3,FALSE)/1000000000000</f>
        <v>0</v>
      </c>
    </row>
    <row r="169" spans="1:29" x14ac:dyDescent="0.25">
      <c r="A169" s="171" t="s">
        <v>12</v>
      </c>
      <c r="B169" s="171"/>
      <c r="C169" s="171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0</v>
      </c>
      <c r="D169" s="171">
        <f t="shared" si="39"/>
        <v>1</v>
      </c>
      <c r="E169" s="171">
        <f t="shared" si="52"/>
        <v>2019</v>
      </c>
      <c r="F169" t="s">
        <v>24</v>
      </c>
      <c r="G169" s="94">
        <f>IF(F169="Vestdanmark",SUMIFS(IF(E169=År1,'Resultater - Vestdanmark'!H$3:H$504,IF(E169=År2,'Resultater - Vestdanmark'!I$3:I$504,'Resultater - Vestdanmark'!J$3:J$504)),'Resultater - Vestdanmark'!$F$3:$F$504,$A169,IF(E169=År1,'Resultater - Vestdanmark'!H$3:H$504,IF(E169=År2,'Resultater - Vestdanmark'!I$3:I$504,'Resultater - Vestdanmark'!J$3:J$504)),"&gt;0"),SUMIFS(IF(E169=År1,'Resultater - Østdanmark'!H$3:H$504,IF(E169=År2,'Resultater - Østdanmark'!I$3:I$504,'Resultater - Østdanmark'!J$3:J$504)),'Resultater - Østdanmark'!$F$3:$F$504,$A169,IF(E169=År1,'Resultater - Østdanmark'!H$3:H$504,IF(E169=År2,'Resultater - Østdanmark'!I$3:I$504,'Resultater - Østdanmark'!J$3:J$504)),"&gt;0"))</f>
        <v>116539.79424410909</v>
      </c>
      <c r="H169" s="94">
        <f ca="1">SUMIFS('Forbrug af biomasse'!$E$2:$E$425,'Forbrug af biomasse'!$C$2:$C$425,'Resultat-Produktion &amp; forbrug'!$A169,'Forbrug af biomasse'!$D$2:$D$425,'Resultat-Produktion &amp; forbrug'!$E169,'Forbrug af biomasse'!$A$2:$A$425,'Resultat-Produktion &amp; forbrug'!H$3,'Forbrug af biomasse'!$B$2:$B$425,$F169)</f>
        <v>0</v>
      </c>
      <c r="I169">
        <f>IF(F169="Vestdanmark",-IF(A169="Halm",SUMIFS(IF(E169=År1,'Resultater - Vestdanmark'!H$3:H$504,IF(E169=År2,'Resultater - Vestdanmark'!I$3:I$504,'Resultater - Vestdanmark'!J$3:J$504)),'Resultater - Vestdanmark'!$F$3:$F$504,$A169,'Resultater - Vestdanmark'!H$3:H$504,"&lt;0"),0),-IF(A169="Halm",SUMIFS(IF(E169=År1,'Resultater - Østdanmark'!H$3:H$504,IF(E169=År2,'Resultater - Østdanmark'!I$3:I$504,'Resultater - Østdanmark'!J$3:J$504)),'Resultater - Østdanmark'!$F$3:$F$504,$A169,'Resultater - Østdanmark'!H$3:H$504,"&lt;0"),0))</f>
        <v>0</v>
      </c>
      <c r="J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forbrug'!J$3,'Forbrug af biomasse'!$B$2:$B$425,$F169)</f>
        <v>101922.05609696274</v>
      </c>
      <c r="K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forbrug'!K$3,'Forbrug af biomasse'!$B$2:$B$425,$F169)</f>
        <v>0</v>
      </c>
      <c r="L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forbrug'!L$3,'Forbrug af biomasse'!$B$2:$B$425,$F169)</f>
        <v>0</v>
      </c>
      <c r="M169" s="94">
        <f>IF(A169&lt;&gt;"Biogas",SUMIFS('Forbrug af biomasse'!$E$2:$E$425,'Forbrug af biomasse'!$C$2:$C$425,'Resultat-Produktion &amp; forbrug'!$A169,'Forbrug af biomasse'!$D$2:$D$425,'Resultat-Produktion &amp; forbrug'!$E169,'Forbrug af biomasse'!$A$2:$A$425,'Resultat-Produktion &amp; forbrug'!M$3,'Forbrug af biomasse'!$B$2:$B$425,$F169),G169)</f>
        <v>0</v>
      </c>
      <c r="N169" s="94">
        <f>SUMIFS('Forbrug af biomasse'!E:E,'Forbrug af biomasse'!C:C,'Resultat-Produktion &amp; forbrug'!$A169,'Forbrug af biomasse'!D:D,'Resultat-Produktion &amp; forbrug'!$E169,'Forbrug af biomasse'!G:G,1,'Forbrug af biomasse'!B:B,$F169)</f>
        <v>0</v>
      </c>
      <c r="O169" s="179">
        <f t="shared" ca="1" si="53"/>
        <v>14617.738147146345</v>
      </c>
      <c r="P169" s="94">
        <f t="shared" si="43"/>
        <v>0</v>
      </c>
      <c r="Q169" s="180">
        <f t="shared" si="54"/>
        <v>0</v>
      </c>
      <c r="R169">
        <f>IFERROR(VLOOKUP(A169,[1]Energiindhold!$A$2:$C$11,3,FALSE),IFERROR(VLOOKUP(A169,[1]Biogasudbytte!$A$2:$B$18,2,FALSE)*[1]Energiindhold!$C$10,0))*P169</f>
        <v>0</v>
      </c>
      <c r="S169">
        <f>IF(A169&lt;&gt;"Biogas",IFERROR(VLOOKUP(A169,[1]Biogasudbytte!$A$2:$B$18,2,FALSE)*[1]Energiindhold!$C$10,0)*K169*IFERROR(VLOOKUP(A169,Biogasanlæg!$F$3:$G$8,2,FALSE),1)+IFERROR(VLOOKUP(A169,[1]Energiindhold!$A$2:$C$11,3,FALSE),0)*M169+IF(E169&lt;&gt;År1,R169,0),0)</f>
        <v>0</v>
      </c>
      <c r="T169">
        <f>IFERROR(VLOOKUP(A169,[1]Biogasudbytte!$A$2:$B$18,2,FALSE)*[1]Energiindhold!$C$10,0)*K169*IFERROR(VLOOKUP(A169,Biogasanlæg!$F$3:$G$8,2,FALSE),1)</f>
        <v>0</v>
      </c>
      <c r="U169" s="170">
        <f t="shared" si="55"/>
        <v>0</v>
      </c>
      <c r="V169" s="169">
        <f>P169*IFERROR(VLOOKUP(A169,[1]Tørstofindhold!A$2:B$24,2,FALSE),0)</f>
        <v>0</v>
      </c>
      <c r="W169">
        <f>IF(E169=År1,Q169,SUM(P169,Q169))*IFERROR(VLOOKUP(A169,[1]Tørstofindhold!A$2:B$24,2,FALSE),0)</f>
        <v>0</v>
      </c>
      <c r="X169">
        <f>K169*IFERROR(VLOOKUP(A169,[1]Tørstofindhold!A$2:B$24,2,FALSE),0)</f>
        <v>0</v>
      </c>
      <c r="Y169" s="170">
        <f t="shared" si="56"/>
        <v>0</v>
      </c>
      <c r="Z169">
        <f t="shared" ca="1" si="47"/>
        <v>0</v>
      </c>
      <c r="AA169">
        <f t="shared" ca="1" si="48"/>
        <v>1</v>
      </c>
      <c r="AB169" s="94">
        <f t="shared" ca="1" si="49"/>
        <v>116539.79424410909</v>
      </c>
      <c r="AC169">
        <f ca="1">AB169*D169*10000*VLOOKUP(A169,[1]kcal!$A$2:$C$49,3,FALSE)/1000000000000</f>
        <v>9.0901039510405096E-2</v>
      </c>
    </row>
    <row r="170" spans="1:29" x14ac:dyDescent="0.25">
      <c r="A170" s="171" t="s">
        <v>48</v>
      </c>
      <c r="B170" s="171" t="s">
        <v>227</v>
      </c>
      <c r="C170" s="171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1</v>
      </c>
      <c r="D170" s="171">
        <f t="shared" si="39"/>
        <v>1</v>
      </c>
      <c r="E170" s="171">
        <f t="shared" si="52"/>
        <v>2019</v>
      </c>
      <c r="F170" t="s">
        <v>24</v>
      </c>
      <c r="G170" s="94">
        <f>IF(F170="Vestdanmark",SUMIFS(IF(E170=År1,'Resultater - Vestdanmark'!H$3:H$504,IF(E170=År2,'Resultater - Vestdanmark'!I$3:I$504,'Resultater - Vestdanmark'!J$3:J$504)),'Resultater - Vestdanmark'!$F$3:$F$504,$A170,IF(E170=År1,'Resultater - Vestdanmark'!H$3:H$504,IF(E170=År2,'Resultater - Vestdanmark'!I$3:I$504,'Resultater - Vestdanmark'!J$3:J$504)),"&gt;0"),SUMIFS(IF(E170=År1,'Resultater - Østdanmark'!H$3:H$504,IF(E170=År2,'Resultater - Østdanmark'!I$3:I$504,'Resultater - Østdanmark'!J$3:J$504)),'Resultater - Østdanmark'!$F$3:$F$504,$A170,IF(E170=År1,'Resultater - Østdanmark'!H$3:H$504,IF(E170=År2,'Resultater - Østdanmark'!I$3:I$504,'Resultater - Østdanmark'!J$3:J$504)),"&gt;0"))</f>
        <v>2268650.5850062412</v>
      </c>
      <c r="H170" s="94">
        <f ca="1">SUMIFS('Forbrug af biomasse'!$E$2:$E$425,'Forbrug af biomasse'!$C$2:$C$425,'Resultat-Produktion &amp; forbrug'!$A170,'Forbrug af biomasse'!$D$2:$D$425,'Resultat-Produktion &amp; forbrug'!$E170,'Forbrug af biomasse'!$A$2:$A$425,'Resultat-Produktion &amp; forbrug'!H$3,'Forbrug af biomasse'!$B$2:$B$425,$F170)</f>
        <v>721621.60770550335</v>
      </c>
      <c r="I170">
        <f>IF(F170="Vestdanmark",-IF(A170="Halm",SUMIFS(IF(E170=År1,'Resultater - Vestdanmark'!H$3:H$504,IF(E170=År2,'Resultater - Vestdanmark'!I$3:I$504,'Resultater - Vestdanmark'!J$3:J$504)),'Resultater - Vestdanmark'!$F$3:$F$504,$A170,'Resultater - Vestdanmark'!H$3:H$504,"&lt;0"),0),-IF(A170="Halm",SUMIFS(IF(E170=År1,'Resultater - Østdanmark'!H$3:H$504,IF(E170=År2,'Resultater - Østdanmark'!I$3:I$504,'Resultater - Østdanmark'!J$3:J$504)),'Resultater - Østdanmark'!$F$3:$F$504,$A170,'Resultater - Østdanmark'!H$3:H$504,"&lt;0"),0))</f>
        <v>0</v>
      </c>
      <c r="J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forbrug'!J$3,'Forbrug af biomasse'!$B$2:$B$425,$F170)</f>
        <v>244164.92559492172</v>
      </c>
      <c r="K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forbrug'!K$3,'Forbrug af biomasse'!$B$2:$B$425,$F170)</f>
        <v>942.6064741945944</v>
      </c>
      <c r="L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forbrug'!L$3,'Forbrug af biomasse'!$B$2:$B$425,$F170)</f>
        <v>0</v>
      </c>
      <c r="M170" s="94">
        <f>IF(A170&lt;&gt;"Biogas",SUMIFS('Forbrug af biomasse'!$E$2:$E$425,'Forbrug af biomasse'!$C$2:$C$425,'Resultat-Produktion &amp; forbrug'!$A170,'Forbrug af biomasse'!$D$2:$D$425,'Resultat-Produktion &amp; forbrug'!$E170,'Forbrug af biomasse'!$A$2:$A$425,'Resultat-Produktion &amp; forbrug'!M$3,'Forbrug af biomasse'!$B$2:$B$425,$F170),G170)</f>
        <v>0</v>
      </c>
      <c r="N170" s="94">
        <f>SUMIFS('Forbrug af biomasse'!E:E,'Forbrug af biomasse'!C:C,'Resultat-Produktion &amp; forbrug'!$A170,'Forbrug af biomasse'!D:D,'Resultat-Produktion &amp; forbrug'!$E170,'Forbrug af biomasse'!G:G,1,'Forbrug af biomasse'!B:B,$F170)</f>
        <v>0</v>
      </c>
      <c r="O170" s="179">
        <f t="shared" ca="1" si="53"/>
        <v>1301921.4452316216</v>
      </c>
      <c r="P170" s="94">
        <f t="shared" ca="1" si="43"/>
        <v>1301921.4452316216</v>
      </c>
      <c r="Q170" s="180">
        <f t="shared" si="54"/>
        <v>942.6064741945944</v>
      </c>
      <c r="R170">
        <f ca="1">IFERROR(VLOOKUP(A170,[1]Energiindhold!$A$2:$C$11,3,FALSE),IFERROR(VLOOKUP(A170,[1]Biogasudbytte!$A$2:$B$18,2,FALSE)*[1]Energiindhold!$C$10,0))*P170</f>
        <v>4.4588986809159721</v>
      </c>
      <c r="S170">
        <f>IF(A170&lt;&gt;"Biogas",IFERROR(VLOOKUP(A170,[1]Biogasudbytte!$A$2:$B$18,2,FALSE)*[1]Energiindhold!$C$10,0)*K170*IFERROR(VLOOKUP(A170,Biogasanlæg!$F$3:$G$8,2,FALSE),1)+IFERROR(VLOOKUP(A170,[1]Energiindhold!$A$2:$C$11,3,FALSE),0)*M170+IF(E170&lt;&gt;År1,R170,0),0)</f>
        <v>3.2282952092100993E-3</v>
      </c>
      <c r="T170">
        <f>IFERROR(VLOOKUP(A170,[1]Biogasudbytte!$A$2:$B$18,2,FALSE)*[1]Energiindhold!$C$10,0)*K170*IFERROR(VLOOKUP(A170,Biogasanlæg!$F$3:$G$8,2,FALSE),1)</f>
        <v>3.2282952092100993E-3</v>
      </c>
      <c r="U170" s="170">
        <f t="shared" si="55"/>
        <v>0</v>
      </c>
      <c r="V170" s="169">
        <f ca="1">P170*IFERROR(VLOOKUP(A170,[1]Tørstofindhold!A$2:B$24,2,FALSE),0)</f>
        <v>403595.64802180271</v>
      </c>
      <c r="W170">
        <f>IF(E170=År1,Q170,SUM(P170,Q170))*IFERROR(VLOOKUP(A170,[1]Tørstofindhold!A$2:B$24,2,FALSE),0)</f>
        <v>292.20800700032424</v>
      </c>
      <c r="X170">
        <f>K170*IFERROR(VLOOKUP(A170,[1]Tørstofindhold!A$2:B$24,2,FALSE),0)</f>
        <v>292.20800700032424</v>
      </c>
      <c r="Y170" s="170">
        <f t="shared" si="56"/>
        <v>0</v>
      </c>
      <c r="Z170">
        <f t="shared" ca="1" si="47"/>
        <v>0</v>
      </c>
      <c r="AA170">
        <f t="shared" ca="1" si="48"/>
        <v>1</v>
      </c>
      <c r="AB170" s="94">
        <f t="shared" ca="1" si="49"/>
        <v>1546086.3708265433</v>
      </c>
      <c r="AC170">
        <f ca="1">AB170*D170*10000*VLOOKUP(A170,[1]kcal!$A$2:$C$49,3,FALSE)/1000000000000</f>
        <v>5.6586761172251485</v>
      </c>
    </row>
    <row r="171" spans="1:29" x14ac:dyDescent="0.25">
      <c r="A171" s="171" t="s">
        <v>115</v>
      </c>
      <c r="B171" s="171"/>
      <c r="C171" s="171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0</v>
      </c>
      <c r="D171" s="171">
        <f t="shared" si="39"/>
        <v>0</v>
      </c>
      <c r="E171" s="171">
        <f t="shared" si="52"/>
        <v>2019</v>
      </c>
      <c r="F171" t="s">
        <v>24</v>
      </c>
      <c r="G171" s="94">
        <f>IF(F171="Vestdanmark",SUMIFS(IF(E171=År1,'Resultater - Vestdanmark'!H$3:H$504,IF(E171=År2,'Resultater - Vestdanmark'!I$3:I$504,'Resultater - Vestdanmark'!J$3:J$504)),'Resultater - Vestdanmark'!$F$3:$F$504,$A171,IF(E171=År1,'Resultater - Vestdanmark'!H$3:H$504,IF(E171=År2,'Resultater - Vestdanmark'!I$3:I$504,'Resultater - Vestdanmark'!J$3:J$504)),"&gt;0"),SUMIFS(IF(E171=År1,'Resultater - Østdanmark'!H$3:H$504,IF(E171=År2,'Resultater - Østdanmark'!I$3:I$504,'Resultater - Østdanmark'!J$3:J$504)),'Resultater - Østdanmark'!$F$3:$F$504,$A171,IF(E171=År1,'Resultater - Østdanmark'!H$3:H$504,IF(E171=År2,'Resultater - Østdanmark'!I$3:I$504,'Resultater - Østdanmark'!J$3:J$504)),"&gt;0"))</f>
        <v>0</v>
      </c>
      <c r="H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forbrug'!H$3,'Forbrug af biomasse'!$B$2:$B$425,$F171)</f>
        <v>0</v>
      </c>
      <c r="I171">
        <f>IF(F171="Vestdanmark",-IF(A171="Halm",SUMIFS(IF(E171=År1,'Resultater - Vestdanmark'!H$3:H$504,IF(E171=År2,'Resultater - Vestdanmark'!I$3:I$504,'Resultater - Vestdanmark'!J$3:J$504)),'Resultater - Vestdanmark'!$F$3:$F$504,$A171,'Resultater - Vestdanmark'!H$3:H$504,"&lt;0"),0),-IF(A171="Halm",SUMIFS(IF(E171=År1,'Resultater - Østdanmark'!H$3:H$504,IF(E171=År2,'Resultater - Østdanmark'!I$3:I$504,'Resultater - Østdanmark'!J$3:J$504)),'Resultater - Østdanmark'!$F$3:$F$504,$A171,'Resultater - Østdanmark'!H$3:H$504,"&lt;0"),0))</f>
        <v>0</v>
      </c>
      <c r="J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forbrug'!J$3,'Forbrug af biomasse'!$B$2:$B$425,$F171)</f>
        <v>0</v>
      </c>
      <c r="K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forbrug'!K$3,'Forbrug af biomasse'!$B$2:$B$425,$F171)</f>
        <v>0</v>
      </c>
      <c r="L171" s="94">
        <f ca="1">SUMIFS('Forbrug af biomasse'!$E$2:$E$425,'Forbrug af biomasse'!$C$2:$C$425,'Resultat-Produktion &amp; forbrug'!$A171,'Forbrug af biomasse'!$D$2:$D$425,'Resultat-Produktion &amp; forbrug'!$E171,'Forbrug af biomasse'!$A$2:$A$425,'Resultat-Produktion &amp; forbrug'!L$3,'Forbrug af biomasse'!$B$2:$B$425,$F171)</f>
        <v>374820.3560243976</v>
      </c>
      <c r="M171" s="94">
        <f>IF(A171&lt;&gt;"Biogas",SUMIFS('Forbrug af biomasse'!$E$2:$E$425,'Forbrug af biomasse'!$C$2:$C$425,'Resultat-Produktion &amp; forbrug'!$A171,'Forbrug af biomasse'!$D$2:$D$425,'Resultat-Produktion &amp; forbrug'!$E171,'Forbrug af biomasse'!$A$2:$A$425,'Resultat-Produktion &amp; forbrug'!M$3,'Forbrug af biomasse'!$B$2:$B$425,$F171),G171)</f>
        <v>0</v>
      </c>
      <c r="N171" s="94">
        <f>SUMIFS('Forbrug af biomasse'!E:E,'Forbrug af biomasse'!C:C,'Resultat-Produktion &amp; forbrug'!$A171,'Forbrug af biomasse'!D:D,'Resultat-Produktion &amp; forbrug'!$E171,'Forbrug af biomasse'!G:G,1,'Forbrug af biomasse'!B:B,$F171)</f>
        <v>0</v>
      </c>
      <c r="O171" s="179">
        <f t="shared" ca="1" si="53"/>
        <v>-374820.3560243976</v>
      </c>
      <c r="P171" s="94">
        <f t="shared" si="43"/>
        <v>0</v>
      </c>
      <c r="Q171" s="180">
        <f t="shared" si="54"/>
        <v>0</v>
      </c>
      <c r="R171">
        <f>IFERROR(VLOOKUP(A171,[1]Energiindhold!$A$2:$C$11,3,FALSE),IFERROR(VLOOKUP(A171,[1]Biogasudbytte!$A$2:$B$18,2,FALSE)*[1]Energiindhold!$C$10,0))*P171</f>
        <v>0</v>
      </c>
      <c r="S171">
        <f>IF(A171&lt;&gt;"Biogas",IFERROR(VLOOKUP(A171,[1]Biogasudbytte!$A$2:$B$18,2,FALSE)*[1]Energiindhold!$C$10,0)*K171*IFERROR(VLOOKUP(A171,Biogasanlæg!$F$3:$G$8,2,FALSE),1)+IFERROR(VLOOKUP(A171,[1]Energiindhold!$A$2:$C$11,3,FALSE),0)*M171+IF(E171&lt;&gt;År1,R171,0),0)</f>
        <v>0</v>
      </c>
      <c r="T171">
        <f>IFERROR(VLOOKUP(A171,[1]Biogasudbytte!$A$2:$B$18,2,FALSE)*[1]Energiindhold!$C$10,0)*K171*IFERROR(VLOOKUP(A171,Biogasanlæg!$F$3:$G$8,2,FALSE),1)</f>
        <v>0</v>
      </c>
      <c r="U171" s="170">
        <f t="shared" si="55"/>
        <v>0</v>
      </c>
      <c r="V171" s="169">
        <f>P171*IFERROR(VLOOKUP(A171,[1]Tørstofindhold!A$2:B$24,2,FALSE),0)</f>
        <v>0</v>
      </c>
      <c r="W171">
        <f>IF(E171=År1,Q171,SUM(P171,Q171))*IFERROR(VLOOKUP(A171,[1]Tørstofindhold!A$2:B$24,2,FALSE),0)</f>
        <v>0</v>
      </c>
      <c r="X171">
        <f>K171*IFERROR(VLOOKUP(A171,[1]Tørstofindhold!A$2:B$24,2,FALSE),0)</f>
        <v>0</v>
      </c>
      <c r="Y171" s="170">
        <f t="shared" si="56"/>
        <v>0</v>
      </c>
      <c r="Z171">
        <f t="shared" ca="1" si="47"/>
        <v>1</v>
      </c>
      <c r="AA171">
        <f t="shared" ca="1" si="48"/>
        <v>0</v>
      </c>
      <c r="AB171" s="94">
        <f t="shared" ca="1" si="49"/>
        <v>-374820.3560243976</v>
      </c>
      <c r="AC171">
        <f ca="1">AB171*D171*10000*VLOOKUP(A171,[1]kcal!$A$2:$C$49,3,FALSE)/1000000000000</f>
        <v>0</v>
      </c>
    </row>
    <row r="172" spans="1:29" x14ac:dyDescent="0.25">
      <c r="A172" s="171" t="s">
        <v>136</v>
      </c>
      <c r="B172" s="171" t="s">
        <v>222</v>
      </c>
      <c r="C172" s="171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1</v>
      </c>
      <c r="D172" s="171">
        <f t="shared" si="39"/>
        <v>0</v>
      </c>
      <c r="E172" s="171">
        <f t="shared" si="52"/>
        <v>2019</v>
      </c>
      <c r="F172" t="s">
        <v>24</v>
      </c>
      <c r="G172" s="94">
        <f ca="1">IF(F172="Vestdanmark",SUMIFS(IF(E172=År1,'Resultater - Vestdanmark'!H$3:H$504,IF(E172=År2,'Resultater - Vestdanmark'!I$3:I$504,'Resultater - Vestdanmark'!J$3:J$504)),'Resultater - Vestdanmark'!$F$3:$F$504,$A172,IF(E172=År1,'Resultater - Vestdanmark'!H$3:H$504,IF(E172=År2,'Resultater - Vestdanmark'!I$3:I$504,'Resultater - Vestdanmark'!J$3:J$504)),"&gt;0"),SUMIFS(IF(E172=År1,'Resultater - Østdanmark'!H$3:H$504,IF(E172=År2,'Resultater - Østdanmark'!I$3:I$504,'Resultater - Østdanmark'!J$3:J$504)),'Resultater - Østdanmark'!$F$3:$F$504,$A172,IF(E172=År1,'Resultater - Østdanmark'!H$3:H$504,IF(E172=År2,'Resultater - Østdanmark'!I$3:I$504,'Resultater - Østdanmark'!J$3:J$504)),"&gt;0"))</f>
        <v>925084.21922943438</v>
      </c>
      <c r="H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forbrug'!H$3,'Forbrug af biomasse'!$B$2:$B$425,$F172)</f>
        <v>0</v>
      </c>
      <c r="I172">
        <f>IF(F172="Vestdanmark",-IF(A172="Halm",SUMIFS(IF(E172=År1,'Resultater - Vestdanmark'!H$3:H$504,IF(E172=År2,'Resultater - Vestdanmark'!I$3:I$504,'Resultater - Vestdanmark'!J$3:J$504)),'Resultater - Vestdanmark'!$F$3:$F$504,$A172,'Resultater - Vestdanmark'!H$3:H$504,"&lt;0"),0),-IF(A172="Halm",SUMIFS(IF(E172=År1,'Resultater - Østdanmark'!H$3:H$504,IF(E172=År2,'Resultater - Østdanmark'!I$3:I$504,'Resultater - Østdanmark'!J$3:J$504)),'Resultater - Østdanmark'!$F$3:$F$504,$A172,'Resultater - Østdanmark'!H$3:H$504,"&lt;0"),0))</f>
        <v>0</v>
      </c>
      <c r="J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forbrug'!J$3,'Forbrug af biomasse'!$B$2:$B$425,$F172)</f>
        <v>0</v>
      </c>
      <c r="K172" s="94">
        <f ca="1">SUMIFS('Forbrug af biomasse'!$E$2:$E$425,'Forbrug af biomasse'!$C$2:$C$425,'Resultat-Produktion &amp; forbrug'!$A172,'Forbrug af biomasse'!$D$2:$D$425,'Resultat-Produktion &amp; forbrug'!$E172,'Forbrug af biomasse'!$A$2:$A$425,'Resultat-Produktion &amp; forbrug'!K$3,'Forbrug af biomasse'!$B$2:$B$425,$F172)</f>
        <v>286645.05985025823</v>
      </c>
      <c r="L172" s="94">
        <f ca="1">SUMIFS('Forbrug af biomasse'!$E$2:$E$425,'Forbrug af biomasse'!$C$2:$C$425,'Resultat-Produktion &amp; forbrug'!$A172,'Forbrug af biomasse'!$D$2:$D$425,'Resultat-Produktion &amp; forbrug'!$E172,'Forbrug af biomasse'!$A$2:$A$425,'Resultat-Produktion &amp; forbrug'!L$3,'Forbrug af biomasse'!$B$2:$B$425,$F172)</f>
        <v>638439.1593791761</v>
      </c>
      <c r="M172" s="94">
        <f>IF(A172&lt;&gt;"Biogas",SUMIFS('Forbrug af biomasse'!$E$2:$E$425,'Forbrug af biomasse'!$C$2:$C$425,'Resultat-Produktion &amp; forbrug'!$A172,'Forbrug af biomasse'!$D$2:$D$425,'Resultat-Produktion &amp; forbrug'!$E172,'Forbrug af biomasse'!$A$2:$A$425,'Resultat-Produktion &amp; forbrug'!M$3,'Forbrug af biomasse'!$B$2:$B$425,$F172),G172)</f>
        <v>0</v>
      </c>
      <c r="N172" s="94">
        <f>SUMIFS('Forbrug af biomasse'!E:E,'Forbrug af biomasse'!C:C,'Resultat-Produktion &amp; forbrug'!$A172,'Forbrug af biomasse'!D:D,'Resultat-Produktion &amp; forbrug'!$E172,'Forbrug af biomasse'!G:G,1,'Forbrug af biomasse'!B:B,$F172)</f>
        <v>0</v>
      </c>
      <c r="O172" s="179">
        <f t="shared" ca="1" si="53"/>
        <v>0</v>
      </c>
      <c r="P172" s="94">
        <f t="shared" ca="1" si="43"/>
        <v>0</v>
      </c>
      <c r="Q172" s="180">
        <f t="shared" ca="1" si="54"/>
        <v>286645.05985025823</v>
      </c>
      <c r="R172">
        <f ca="1">IFERROR(VLOOKUP(A172,[1]Energiindhold!$A$2:$C$11,3,FALSE),IFERROR(VLOOKUP(A172,[1]Biogasudbytte!$A$2:$B$18,2,FALSE)*[1]Energiindhold!$C$10,0))*P172</f>
        <v>0</v>
      </c>
      <c r="S172">
        <f ca="1">IF(A172&lt;&gt;"Biogas",IFERROR(VLOOKUP(A172,[1]Biogasudbytte!$A$2:$B$18,2,FALSE)*[1]Energiindhold!$C$10,0)*K172*IFERROR(VLOOKUP(A172,Biogasanlæg!$F$3:$G$8,2,FALSE),1)+IFERROR(VLOOKUP(A172,[1]Energiindhold!$A$2:$C$11,3,FALSE),0)*M172+IF(E172&lt;&gt;År1,R172,0),0)</f>
        <v>0.14509686284560222</v>
      </c>
      <c r="T172">
        <f ca="1">IFERROR(VLOOKUP(A172,[1]Biogasudbytte!$A$2:$B$18,2,FALSE)*[1]Energiindhold!$C$10,0)*K172*IFERROR(VLOOKUP(A172,Biogasanlæg!$F$3:$G$8,2,FALSE),1)</f>
        <v>0.14509686284560222</v>
      </c>
      <c r="U172" s="170">
        <f t="shared" ca="1" si="55"/>
        <v>0</v>
      </c>
      <c r="V172" s="169">
        <f ca="1">P172*IFERROR(VLOOKUP(A172,[1]Tørstofindhold!A$2:B$24,2,FALSE),0)</f>
        <v>0</v>
      </c>
      <c r="W172">
        <f ca="1">IF(E172=År1,Q172,SUM(P172,Q172))*IFERROR(VLOOKUP(A172,[1]Tørstofindhold!A$2:B$24,2,FALSE),0)</f>
        <v>21785.024548619625</v>
      </c>
      <c r="X172">
        <f ca="1">K172*IFERROR(VLOOKUP(A172,[1]Tørstofindhold!A$2:B$24,2,FALSE),0)</f>
        <v>21785.024548619625</v>
      </c>
      <c r="Y172" s="170">
        <f t="shared" ca="1" si="56"/>
        <v>0</v>
      </c>
      <c r="Z172">
        <f t="shared" ca="1" si="47"/>
        <v>0</v>
      </c>
      <c r="AA172">
        <f t="shared" ca="1" si="48"/>
        <v>0</v>
      </c>
      <c r="AB172" s="94">
        <f t="shared" ca="1" si="49"/>
        <v>0</v>
      </c>
      <c r="AC172">
        <f ca="1">AB172*D172*10000*VLOOKUP(A172,[1]kcal!$A$2:$C$49,3,FALSE)/1000000000000</f>
        <v>0</v>
      </c>
    </row>
    <row r="173" spans="1:29" x14ac:dyDescent="0.25">
      <c r="A173" s="171" t="s">
        <v>108</v>
      </c>
      <c r="B173" s="171"/>
      <c r="C173" s="171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0</v>
      </c>
      <c r="D173" s="171">
        <f t="shared" si="39"/>
        <v>0</v>
      </c>
      <c r="E173" s="171">
        <f t="shared" si="52"/>
        <v>2019</v>
      </c>
      <c r="F173" t="s">
        <v>24</v>
      </c>
      <c r="G173" s="94">
        <f ca="1">IF(F173="Vestdanmark",SUMIFS(IF(E173=År1,'Resultater - Vestdanmark'!H$3:H$504,IF(E173=År2,'Resultater - Vestdanmark'!I$3:I$504,'Resultater - Vestdanmark'!J$3:J$504)),'Resultater - Vestdanmark'!$F$3:$F$504,$A173,IF(E173=År1,'Resultater - Vestdanmark'!H$3:H$504,IF(E173=År2,'Resultater - Vestdanmark'!I$3:I$504,'Resultater - Vestdanmark'!J$3:J$504)),"&gt;0"),SUMIFS(IF(E173=År1,'Resultater - Østdanmark'!H$3:H$504,IF(E173=År2,'Resultater - Østdanmark'!I$3:I$504,'Resultater - Østdanmark'!J$3:J$504)),'Resultater - Østdanmark'!$F$3:$F$504,$A173,IF(E173=År1,'Resultater - Østdanmark'!H$3:H$504,IF(E173=År2,'Resultater - Østdanmark'!I$3:I$504,'Resultater - Østdanmark'!J$3:J$504)),"&gt;0"))</f>
        <v>115489.08079619991</v>
      </c>
      <c r="H173" s="94">
        <f ca="1">SUMIFS('Forbrug af biomasse'!$E$2:$E$425,'Forbrug af biomasse'!$C$2:$C$425,'Resultat-Produktion &amp; forbrug'!$A173,'Forbrug af biomasse'!$D$2:$D$425,'Resultat-Produktion &amp; forbrug'!$E173,'Forbrug af biomasse'!$A$2:$A$425,'Resultat-Produktion &amp; forbrug'!H$3,'Forbrug af biomasse'!$B$2:$B$425,$F173)</f>
        <v>186040.49371289223</v>
      </c>
      <c r="I173">
        <f>IF(F173="Vestdanmark",-IF(A173="Halm",SUMIFS(IF(E173=År1,'Resultater - Vestdanmark'!H$3:H$504,IF(E173=År2,'Resultater - Vestdanmark'!I$3:I$504,'Resultater - Vestdanmark'!J$3:J$504)),'Resultater - Vestdanmark'!$F$3:$F$504,$A173,'Resultater - Vestdanmark'!H$3:H$504,"&lt;0"),0),-IF(A173="Halm",SUMIFS(IF(E173=År1,'Resultater - Østdanmark'!H$3:H$504,IF(E173=År2,'Resultater - Østdanmark'!I$3:I$504,'Resultater - Østdanmark'!J$3:J$504)),'Resultater - Østdanmark'!$F$3:$F$504,$A173,'Resultater - Østdanmark'!H$3:H$504,"&lt;0"),0))</f>
        <v>0</v>
      </c>
      <c r="J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forbrug'!J$3,'Forbrug af biomasse'!$B$2:$B$425,$F173)</f>
        <v>0</v>
      </c>
      <c r="K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forbrug'!K$3,'Forbrug af biomasse'!$B$2:$B$425,$F173)</f>
        <v>0</v>
      </c>
      <c r="L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forbrug'!L$3,'Forbrug af biomasse'!$B$2:$B$425,$F173)</f>
        <v>0</v>
      </c>
      <c r="M173" s="94">
        <f>IF(A173&lt;&gt;"Biogas",SUMIFS('Forbrug af biomasse'!$E$2:$E$425,'Forbrug af biomasse'!$C$2:$C$425,'Resultat-Produktion &amp; forbrug'!$A173,'Forbrug af biomasse'!$D$2:$D$425,'Resultat-Produktion &amp; forbrug'!$E173,'Forbrug af biomasse'!$A$2:$A$425,'Resultat-Produktion &amp; forbrug'!M$3,'Forbrug af biomasse'!$B$2:$B$425,$F173),G173)</f>
        <v>0</v>
      </c>
      <c r="N173" s="94">
        <f>SUMIFS('Forbrug af biomasse'!E:E,'Forbrug af biomasse'!C:C,'Resultat-Produktion &amp; forbrug'!$A173,'Forbrug af biomasse'!D:D,'Resultat-Produktion &amp; forbrug'!$E173,'Forbrug af biomasse'!G:G,1,'Forbrug af biomasse'!B:B,$F173)</f>
        <v>0</v>
      </c>
      <c r="O173" s="179">
        <f t="shared" ca="1" si="53"/>
        <v>-70551.412916692323</v>
      </c>
      <c r="P173" s="94">
        <f t="shared" si="43"/>
        <v>0</v>
      </c>
      <c r="Q173" s="180">
        <f t="shared" si="54"/>
        <v>0</v>
      </c>
      <c r="R173">
        <f>IFERROR(VLOOKUP(A173,[1]Energiindhold!$A$2:$C$11,3,FALSE),IFERROR(VLOOKUP(A173,[1]Biogasudbytte!$A$2:$B$18,2,FALSE)*[1]Energiindhold!$C$10,0))*P173</f>
        <v>0</v>
      </c>
      <c r="S173">
        <f>IF(A173&lt;&gt;"Biogas",IFERROR(VLOOKUP(A173,[1]Biogasudbytte!$A$2:$B$18,2,FALSE)*[1]Energiindhold!$C$10,0)*K173*IFERROR(VLOOKUP(A173,Biogasanlæg!$F$3:$G$8,2,FALSE),1)+IFERROR(VLOOKUP(A173,[1]Energiindhold!$A$2:$C$11,3,FALSE),0)*M173+IF(E173&lt;&gt;År1,R173,0),0)</f>
        <v>0</v>
      </c>
      <c r="T173">
        <f>IFERROR(VLOOKUP(A173,[1]Biogasudbytte!$A$2:$B$18,2,FALSE)*[1]Energiindhold!$C$10,0)*K173*IFERROR(VLOOKUP(A173,Biogasanlæg!$F$3:$G$8,2,FALSE),1)</f>
        <v>0</v>
      </c>
      <c r="U173" s="170">
        <f t="shared" si="55"/>
        <v>0</v>
      </c>
      <c r="V173" s="169">
        <f>P173*IFERROR(VLOOKUP(A173,[1]Tørstofindhold!A$2:B$24,2,FALSE),0)</f>
        <v>0</v>
      </c>
      <c r="W173">
        <f>IF(E173=År1,Q173,SUM(P173,Q173))*IFERROR(VLOOKUP(A173,[1]Tørstofindhold!A$2:B$24,2,FALSE),0)</f>
        <v>0</v>
      </c>
      <c r="X173">
        <f>K173*IFERROR(VLOOKUP(A173,[1]Tørstofindhold!A$2:B$24,2,FALSE),0)</f>
        <v>0</v>
      </c>
      <c r="Y173" s="170">
        <f t="shared" si="56"/>
        <v>0</v>
      </c>
      <c r="Z173">
        <f t="shared" ca="1" si="47"/>
        <v>0</v>
      </c>
      <c r="AA173">
        <f t="shared" ca="1" si="48"/>
        <v>1</v>
      </c>
      <c r="AB173" s="94">
        <f t="shared" ca="1" si="49"/>
        <v>-70551.412916692323</v>
      </c>
      <c r="AC173">
        <f ca="1">AB173*D173*10000*VLOOKUP(A173,[1]kcal!$A$2:$C$49,3,FALSE)/1000000000000</f>
        <v>0</v>
      </c>
    </row>
    <row r="174" spans="1:29" x14ac:dyDescent="0.25">
      <c r="A174" t="s">
        <v>53</v>
      </c>
      <c r="B174" s="171" t="s">
        <v>224</v>
      </c>
      <c r="C174" s="171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1</v>
      </c>
      <c r="D174" s="171">
        <f t="shared" si="39"/>
        <v>1</v>
      </c>
      <c r="E174" s="171">
        <f t="shared" si="52"/>
        <v>2019</v>
      </c>
      <c r="F174" t="s">
        <v>24</v>
      </c>
      <c r="G174" s="94">
        <f>IF(F174="Vestdanmark",SUMIFS(IF(E174=År1,'Resultater - Vestdanmark'!H$3:H$504,IF(E174=År2,'Resultater - Vestdanmark'!I$3:I$504,'Resultater - Vestdanmark'!J$3:J$504)),'Resultater - Vestdanmark'!$F$3:$F$504,$A174,IF(E174=År1,'Resultater - Vestdanmark'!H$3:H$504,IF(E174=År2,'Resultater - Vestdanmark'!I$3:I$504,'Resultater - Vestdanmark'!J$3:J$504)),"&gt;0"),SUMIFS(IF(E174=År1,'Resultater - Østdanmark'!H$3:H$504,IF(E174=År2,'Resultater - Østdanmark'!I$3:I$504,'Resultater - Østdanmark'!J$3:J$504)),'Resultater - Østdanmark'!$F$3:$F$504,$A174,IF(E174=År1,'Resultater - Østdanmark'!H$3:H$504,IF(E174=År2,'Resultater - Østdanmark'!I$3:I$504,'Resultater - Østdanmark'!J$3:J$504)),"&gt;0"))</f>
        <v>365245.73356828612</v>
      </c>
      <c r="H174" s="94">
        <f ca="1">SUMIFS('Forbrug af biomasse'!$E$2:$E$425,'Forbrug af biomasse'!$C$2:$C$425,'Resultat-Produktion &amp; forbrug'!$A174,'Forbrug af biomasse'!$D$2:$D$425,'Resultat-Produktion &amp; forbrug'!$E174,'Forbrug af biomasse'!$A$2:$A$425,'Resultat-Produktion &amp; forbrug'!H$3,'Forbrug af biomasse'!$B$2:$B$425,$F174)</f>
        <v>694353.2611092875</v>
      </c>
      <c r="I174">
        <f>IF(F174="Vestdanmark",-IF(A174="Halm",SUMIFS(IF(E174=År1,'Resultater - Vestdanmark'!H$3:H$504,IF(E174=År2,'Resultater - Vestdanmark'!I$3:I$504,'Resultater - Vestdanmark'!J$3:J$504)),'Resultater - Vestdanmark'!$F$3:$F$504,$A174,'Resultater - Vestdanmark'!H$3:H$504,"&lt;0"),0),-IF(A174="Halm",SUMIFS(IF(E174=År1,'Resultater - Østdanmark'!H$3:H$504,IF(E174=År2,'Resultater - Østdanmark'!I$3:I$504,'Resultater - Østdanmark'!J$3:J$504)),'Resultater - Østdanmark'!$F$3:$F$504,$A174,'Resultater - Østdanmark'!H$3:H$504,"&lt;0"),0))</f>
        <v>0</v>
      </c>
      <c r="J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forbrug'!J$3,'Forbrug af biomasse'!$B$2:$B$425,$F174)</f>
        <v>0</v>
      </c>
      <c r="K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forbrug'!K$3,'Forbrug af biomasse'!$B$2:$B$425,$F174)</f>
        <v>15151.053724986185</v>
      </c>
      <c r="L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forbrug'!L$3,'Forbrug af biomasse'!$B$2:$B$425,$F174)</f>
        <v>0</v>
      </c>
      <c r="M174" s="94">
        <f>IF(A174&lt;&gt;"Biogas",SUMIFS('Forbrug af biomasse'!$E$2:$E$425,'Forbrug af biomasse'!$C$2:$C$425,'Resultat-Produktion &amp; forbrug'!$A174,'Forbrug af biomasse'!$D$2:$D$425,'Resultat-Produktion &amp; forbrug'!$E174,'Forbrug af biomasse'!$A$2:$A$425,'Resultat-Produktion &amp; forbrug'!M$3,'Forbrug af biomasse'!$B$2:$B$425,$F174),G174)</f>
        <v>0</v>
      </c>
      <c r="N174" s="94">
        <f>SUMIFS('Forbrug af biomasse'!E:E,'Forbrug af biomasse'!C:C,'Resultat-Produktion &amp; forbrug'!$A174,'Forbrug af biomasse'!D:D,'Resultat-Produktion &amp; forbrug'!$E174,'Forbrug af biomasse'!G:G,1,'Forbrug af biomasse'!B:B,$F174)</f>
        <v>0</v>
      </c>
      <c r="O174" s="179">
        <f t="shared" ca="1" si="53"/>
        <v>-344258.58126598754</v>
      </c>
      <c r="P174" s="94">
        <f t="shared" ca="1" si="43"/>
        <v>0</v>
      </c>
      <c r="Q174" s="180">
        <f t="shared" si="54"/>
        <v>15151.053724986185</v>
      </c>
      <c r="R174">
        <f ca="1">IFERROR(VLOOKUP(A174,[1]Energiindhold!$A$2:$C$11,3,FALSE),IFERROR(VLOOKUP(A174,[1]Biogasudbytte!$A$2:$B$18,2,FALSE)*[1]Energiindhold!$C$10,0))*P174</f>
        <v>0</v>
      </c>
      <c r="S174">
        <f>IF(A174&lt;&gt;"Biogas",IFERROR(VLOOKUP(A174,[1]Biogasudbytte!$A$2:$B$18,2,FALSE)*[1]Energiindhold!$C$10,0)*K174*IFERROR(VLOOKUP(A174,Biogasanlæg!$F$3:$G$8,2,FALSE),1)+IFERROR(VLOOKUP(A174,[1]Energiindhold!$A$2:$C$11,3,FALSE),0)*M174+IF(E174&lt;&gt;År1,R174,0),0)</f>
        <v>5.4392282872700405E-2</v>
      </c>
      <c r="T174">
        <f>IFERROR(VLOOKUP(A174,[1]Biogasudbytte!$A$2:$B$18,2,FALSE)*[1]Energiindhold!$C$10,0)*K174*IFERROR(VLOOKUP(A174,Biogasanlæg!$F$3:$G$8,2,FALSE),1)</f>
        <v>5.4392282872700405E-2</v>
      </c>
      <c r="U174" s="170">
        <f t="shared" si="55"/>
        <v>0</v>
      </c>
      <c r="V174" s="169">
        <f ca="1">P174*IFERROR(VLOOKUP(A174,[1]Tørstofindhold!A$2:B$24,2,FALSE),0)</f>
        <v>0</v>
      </c>
      <c r="W174">
        <f>IF(E174=År1,Q174,SUM(P174,Q174))*IFERROR(VLOOKUP(A174,[1]Tørstofindhold!A$2:B$24,2,FALSE),0)</f>
        <v>4545.316117495855</v>
      </c>
      <c r="X174">
        <f>K174*IFERROR(VLOOKUP(A174,[1]Tørstofindhold!A$2:B$24,2,FALSE),0)</f>
        <v>4545.316117495855</v>
      </c>
      <c r="Y174" s="170">
        <f t="shared" si="56"/>
        <v>0</v>
      </c>
      <c r="Z174">
        <f t="shared" ca="1" si="47"/>
        <v>0</v>
      </c>
      <c r="AA174">
        <f t="shared" ca="1" si="48"/>
        <v>1</v>
      </c>
      <c r="AB174" s="94">
        <f t="shared" ca="1" si="49"/>
        <v>-344258.58126598754</v>
      </c>
      <c r="AC174">
        <f ca="1">AB174*D174*10000*VLOOKUP(A174,[1]kcal!$A$2:$C$49,3,FALSE)/1000000000000</f>
        <v>-0.31327530895204864</v>
      </c>
    </row>
    <row r="175" spans="1:29" x14ac:dyDescent="0.25">
      <c r="A175" s="171" t="s">
        <v>116</v>
      </c>
      <c r="B175" s="171"/>
      <c r="C175" s="171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0</v>
      </c>
      <c r="D175" s="171">
        <f t="shared" si="39"/>
        <v>1</v>
      </c>
      <c r="E175" s="171">
        <f t="shared" si="52"/>
        <v>2019</v>
      </c>
      <c r="F175" t="s">
        <v>24</v>
      </c>
      <c r="G175" s="94">
        <f ca="1">IF(F175="Vestdanmark",SUMIFS(IF(E175=År1,'Resultater - Vestdanmark'!H$3:H$504,IF(E175=År2,'Resultater - Vestdanmark'!I$3:I$504,'Resultater - Vestdanmark'!J$3:J$504)),'Resultater - Vestdanmark'!$F$3:$F$504,$A175,IF(E175=År1,'Resultater - Vestdanmark'!H$3:H$504,IF(E175=År2,'Resultater - Vestdanmark'!I$3:I$504,'Resultater - Vestdanmark'!J$3:J$504)),"&gt;0"),SUMIFS(IF(E175=År1,'Resultater - Østdanmark'!H$3:H$504,IF(E175=År2,'Resultater - Østdanmark'!I$3:I$504,'Resultater - Østdanmark'!J$3:J$504)),'Resultater - Østdanmark'!$F$3:$F$504,$A175,IF(E175=År1,'Resultater - Østdanmark'!H$3:H$504,IF(E175=År2,'Resultater - Østdanmark'!I$3:I$504,'Resultater - Østdanmark'!J$3:J$504)),"&gt;0"))</f>
        <v>222833.98833453824</v>
      </c>
      <c r="H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forbrug'!H$3,'Forbrug af biomasse'!$B$2:$B$425,$F175)</f>
        <v>0</v>
      </c>
      <c r="I175">
        <f>IF(F175="Vestdanmark",-IF(A175="Halm",SUMIFS(IF(E175=År1,'Resultater - Vestdanmark'!H$3:H$504,IF(E175=År2,'Resultater - Vestdanmark'!I$3:I$504,'Resultater - Vestdanmark'!J$3:J$504)),'Resultater - Vestdanmark'!$F$3:$F$504,$A175,'Resultater - Vestdanmark'!H$3:H$504,"&lt;0"),0),-IF(A175="Halm",SUMIFS(IF(E175=År1,'Resultater - Østdanmark'!H$3:H$504,IF(E175=År2,'Resultater - Østdanmark'!I$3:I$504,'Resultater - Østdanmark'!J$3:J$504)),'Resultater - Østdanmark'!$F$3:$F$504,$A175,'Resultater - Østdanmark'!H$3:H$504,"&lt;0"),0))</f>
        <v>0</v>
      </c>
      <c r="J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forbrug'!J$3,'Forbrug af biomasse'!$B$2:$B$425,$F175)</f>
        <v>389767.86287629709</v>
      </c>
      <c r="K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forbrug'!K$3,'Forbrug af biomasse'!$B$2:$B$425,$F175)</f>
        <v>0</v>
      </c>
      <c r="L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forbrug'!L$3,'Forbrug af biomasse'!$B$2:$B$425,$F175)</f>
        <v>0</v>
      </c>
      <c r="M175" s="94">
        <f>IF(A175&lt;&gt;"Biogas",SUMIFS('Forbrug af biomasse'!$E$2:$E$425,'Forbrug af biomasse'!$C$2:$C$425,'Resultat-Produktion &amp; forbrug'!$A175,'Forbrug af biomasse'!$D$2:$D$425,'Resultat-Produktion &amp; forbrug'!$E175,'Forbrug af biomasse'!$A$2:$A$425,'Resultat-Produktion &amp; forbrug'!M$3,'Forbrug af biomasse'!$B$2:$B$425,$F175),G175)</f>
        <v>0</v>
      </c>
      <c r="N175" s="94">
        <f>SUMIFS('Forbrug af biomasse'!E:E,'Forbrug af biomasse'!C:C,'Resultat-Produktion &amp; forbrug'!$A175,'Forbrug af biomasse'!D:D,'Resultat-Produktion &amp; forbrug'!$E175,'Forbrug af biomasse'!G:G,1,'Forbrug af biomasse'!B:B,$F175)</f>
        <v>0</v>
      </c>
      <c r="O175" s="179">
        <f t="shared" ca="1" si="53"/>
        <v>-166933.87454175885</v>
      </c>
      <c r="P175" s="94">
        <f t="shared" si="43"/>
        <v>0</v>
      </c>
      <c r="Q175" s="180">
        <f t="shared" si="54"/>
        <v>0</v>
      </c>
      <c r="R175">
        <f>IFERROR(VLOOKUP(A175,[1]Energiindhold!$A$2:$C$11,3,FALSE),IFERROR(VLOOKUP(A175,[1]Biogasudbytte!$A$2:$B$18,2,FALSE)*[1]Energiindhold!$C$10,0))*P175</f>
        <v>0</v>
      </c>
      <c r="S175">
        <f>IF(A175&lt;&gt;"Biogas",IFERROR(VLOOKUP(A175,[1]Biogasudbytte!$A$2:$B$18,2,FALSE)*[1]Energiindhold!$C$10,0)*K175*IFERROR(VLOOKUP(A175,Biogasanlæg!$F$3:$G$8,2,FALSE),1)+IFERROR(VLOOKUP(A175,[1]Energiindhold!$A$2:$C$11,3,FALSE),0)*M175+IF(E175&lt;&gt;År1,R175,0),0)</f>
        <v>0</v>
      </c>
      <c r="T175">
        <f>IFERROR(VLOOKUP(A175,[1]Biogasudbytte!$A$2:$B$18,2,FALSE)*[1]Energiindhold!$C$10,0)*K175*IFERROR(VLOOKUP(A175,Biogasanlæg!$F$3:$G$8,2,FALSE),1)</f>
        <v>0</v>
      </c>
      <c r="U175" s="170">
        <f t="shared" si="55"/>
        <v>0</v>
      </c>
      <c r="V175" s="169">
        <f>P175*IFERROR(VLOOKUP(A175,[1]Tørstofindhold!A$2:B$24,2,FALSE),0)</f>
        <v>0</v>
      </c>
      <c r="W175">
        <f>IF(E175=År1,Q175,SUM(P175,Q175))*IFERROR(VLOOKUP(A175,[1]Tørstofindhold!A$2:B$24,2,FALSE),0)</f>
        <v>0</v>
      </c>
      <c r="X175">
        <f>K175*IFERROR(VLOOKUP(A175,[1]Tørstofindhold!A$2:B$24,2,FALSE),0)</f>
        <v>0</v>
      </c>
      <c r="Y175" s="170">
        <f t="shared" si="56"/>
        <v>0</v>
      </c>
      <c r="Z175">
        <f t="shared" ca="1" si="47"/>
        <v>0</v>
      </c>
      <c r="AA175">
        <f t="shared" ca="1" si="48"/>
        <v>1</v>
      </c>
      <c r="AB175" s="94">
        <f t="shared" ca="1" si="49"/>
        <v>222833.98833453824</v>
      </c>
      <c r="AC175">
        <f ca="1">AB175*D175*10000*VLOOKUP(A175,[1]kcal!$A$2:$C$49,3,FALSE)/1000000000000</f>
        <v>0.1403854126507591</v>
      </c>
    </row>
    <row r="176" spans="1:29" x14ac:dyDescent="0.25">
      <c r="A176" s="171" t="s">
        <v>106</v>
      </c>
      <c r="B176" s="171" t="s">
        <v>226</v>
      </c>
      <c r="C176" s="171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1</v>
      </c>
      <c r="D176" s="171">
        <f t="shared" si="39"/>
        <v>1</v>
      </c>
      <c r="E176" s="171">
        <f t="shared" si="52"/>
        <v>2019</v>
      </c>
      <c r="F176" t="s">
        <v>24</v>
      </c>
      <c r="G176" s="94">
        <f>IF(F176="Vestdanmark",SUMIFS(IF(E176=År1,'Resultater - Vestdanmark'!H$3:H$504,IF(E176=År2,'Resultater - Vestdanmark'!I$3:I$504,'Resultater - Vestdanmark'!J$3:J$504)),'Resultater - Vestdanmark'!$F$3:$F$504,$A176,IF(E176=År1,'Resultater - Vestdanmark'!H$3:H$504,IF(E176=År2,'Resultater - Vestdanmark'!I$3:I$504,'Resultater - Vestdanmark'!J$3:J$504)),"&gt;0"),SUMIFS(IF(E176=År1,'Resultater - Østdanmark'!H$3:H$504,IF(E176=År2,'Resultater - Østdanmark'!I$3:I$504,'Resultater - Østdanmark'!J$3:J$504)),'Resultater - Østdanmark'!$F$3:$F$504,$A176,IF(E176=År1,'Resultater - Østdanmark'!H$3:H$504,IF(E176=År2,'Resultater - Østdanmark'!I$3:I$504,'Resultater - Østdanmark'!J$3:J$504)),"&gt;0"))</f>
        <v>1.1976865502381491</v>
      </c>
      <c r="H176" s="94">
        <f ca="1">SUMIFS('Forbrug af biomasse'!$E$2:$E$425,'Forbrug af biomasse'!$C$2:$C$425,'Resultat-Produktion &amp; forbrug'!$A176,'Forbrug af biomasse'!$D$2:$D$425,'Resultat-Produktion &amp; forbrug'!$E176,'Forbrug af biomasse'!$A$2:$A$425,'Resultat-Produktion &amp; forbrug'!H$3,'Forbrug af biomasse'!$B$2:$B$425,$F176)</f>
        <v>0</v>
      </c>
      <c r="I176">
        <f>IF(F176="Vestdanmark",-IF(A176="Halm",SUMIFS(IF(E176=År1,'Resultater - Vestdanmark'!H$3:H$504,IF(E176=År2,'Resultater - Vestdanmark'!I$3:I$504,'Resultater - Vestdanmark'!J$3:J$504)),'Resultater - Vestdanmark'!$F$3:$F$504,$A176,'Resultater - Vestdanmark'!H$3:H$504,"&lt;0"),0),-IF(A176="Halm",SUMIFS(IF(E176=År1,'Resultater - Østdanmark'!H$3:H$504,IF(E176=År2,'Resultater - Østdanmark'!I$3:I$504,'Resultater - Østdanmark'!J$3:J$504)),'Resultater - Østdanmark'!$F$3:$F$504,$A176,'Resultater - Østdanmark'!H$3:H$504,"&lt;0"),0))</f>
        <v>0</v>
      </c>
      <c r="J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forbrug'!J$3,'Forbrug af biomasse'!$B$2:$B$425,$F176)</f>
        <v>0</v>
      </c>
      <c r="K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forbrug'!K$3,'Forbrug af biomasse'!$B$2:$B$425,$F176)</f>
        <v>0</v>
      </c>
      <c r="L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forbrug'!L$3,'Forbrug af biomasse'!$B$2:$B$425,$F176)</f>
        <v>0</v>
      </c>
      <c r="M176" s="94">
        <f>IF(A176&lt;&gt;"Biogas",SUMIFS('Forbrug af biomasse'!$E$2:$E$425,'Forbrug af biomasse'!$C$2:$C$425,'Resultat-Produktion &amp; forbrug'!$A176,'Forbrug af biomasse'!$D$2:$D$425,'Resultat-Produktion &amp; forbrug'!$E176,'Forbrug af biomasse'!$A$2:$A$425,'Resultat-Produktion &amp; forbrug'!M$3,'Forbrug af biomasse'!$B$2:$B$425,$F176),G176)</f>
        <v>0</v>
      </c>
      <c r="N176" s="94">
        <f>SUMIFS('Forbrug af biomasse'!E:E,'Forbrug af biomasse'!C:C,'Resultat-Produktion &amp; forbrug'!$A176,'Forbrug af biomasse'!D:D,'Resultat-Produktion &amp; forbrug'!$E176,'Forbrug af biomasse'!G:G,1,'Forbrug af biomasse'!B:B,$F176)</f>
        <v>0</v>
      </c>
      <c r="O176" s="179">
        <f t="shared" ca="1" si="53"/>
        <v>1.1976865502381491</v>
      </c>
      <c r="P176" s="94">
        <f t="shared" ca="1" si="43"/>
        <v>1.1976865502381491</v>
      </c>
      <c r="Q176" s="180">
        <f t="shared" si="54"/>
        <v>0</v>
      </c>
      <c r="R176">
        <f ca="1">IFERROR(VLOOKUP(A176,[1]Energiindhold!$A$2:$C$11,3,FALSE),IFERROR(VLOOKUP(A176,[1]Biogasudbytte!$A$2:$B$18,2,FALSE)*[1]Energiindhold!$C$10,0))*P176</f>
        <v>1.0749236788387388E-6</v>
      </c>
      <c r="S176">
        <f>IF(A176&lt;&gt;"Biogas",IFERROR(VLOOKUP(A176,[1]Biogasudbytte!$A$2:$B$18,2,FALSE)*[1]Energiindhold!$C$10,0)*K176*IFERROR(VLOOKUP(A176,Biogasanlæg!$F$3:$G$8,2,FALSE),1)+IFERROR(VLOOKUP(A176,[1]Energiindhold!$A$2:$C$11,3,FALSE),0)*M176+IF(E176&lt;&gt;År1,R176,0),0)</f>
        <v>0</v>
      </c>
      <c r="T176">
        <f>IFERROR(VLOOKUP(A176,[1]Biogasudbytte!$A$2:$B$18,2,FALSE)*[1]Energiindhold!$C$10,0)*K176*IFERROR(VLOOKUP(A176,Biogasanlæg!$F$3:$G$8,2,FALSE),1)</f>
        <v>0</v>
      </c>
      <c r="U176" s="170">
        <f t="shared" si="55"/>
        <v>0</v>
      </c>
      <c r="V176" s="169">
        <f ca="1">P176*IFERROR(VLOOKUP(A176,[1]Tørstofindhold!A$2:B$24,2,FALSE),0)</f>
        <v>0.17965298253572234</v>
      </c>
      <c r="W176">
        <f>IF(E176=År1,Q176,SUM(P176,Q176))*IFERROR(VLOOKUP(A176,[1]Tørstofindhold!A$2:B$24,2,FALSE),0)</f>
        <v>0</v>
      </c>
      <c r="X176">
        <f>K176*IFERROR(VLOOKUP(A176,[1]Tørstofindhold!A$2:B$24,2,FALSE),0)</f>
        <v>0</v>
      </c>
      <c r="Y176" s="170">
        <f t="shared" si="56"/>
        <v>0</v>
      </c>
      <c r="Z176">
        <f t="shared" ca="1" si="47"/>
        <v>0</v>
      </c>
      <c r="AA176">
        <f t="shared" ca="1" si="48"/>
        <v>1</v>
      </c>
      <c r="AB176" s="94">
        <f t="shared" ca="1" si="49"/>
        <v>1.1976865502381491</v>
      </c>
      <c r="AC176">
        <f ca="1">AB176*D176*10000*VLOOKUP(A176,[1]kcal!$A$2:$C$49,3,FALSE)/1000000000000</f>
        <v>9.9407983669766362E-7</v>
      </c>
    </row>
    <row r="177" spans="1:29" x14ac:dyDescent="0.25">
      <c r="A177" s="171" t="s">
        <v>14</v>
      </c>
      <c r="B177" s="171"/>
      <c r="C177" s="171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71">
        <f t="shared" si="39"/>
        <v>1</v>
      </c>
      <c r="E177" s="171">
        <f t="shared" si="52"/>
        <v>2019</v>
      </c>
      <c r="F177" t="s">
        <v>24</v>
      </c>
      <c r="G177" s="94">
        <f ca="1">IF(F177="Vestdanmark",SUMIFS(IF(E177=År1,'Resultater - Vestdanmark'!H$3:H$504,IF(E177=År2,'Resultater - Vestdanmark'!I$3:I$504,'Resultater - Vestdanmark'!J$3:J$504)),'Resultater - Vestdanmark'!$F$3:$F$504,$A177,IF(E177=År1,'Resultater - Vestdanmark'!H$3:H$504,IF(E177=År2,'Resultater - Vestdanmark'!I$3:I$504,'Resultater - Vestdanmark'!J$3:J$504)),"&gt;0"),SUMIFS(IF(E177=År1,'Resultater - Østdanmark'!H$3:H$504,IF(E177=År2,'Resultater - Østdanmark'!I$3:I$504,'Resultater - Østdanmark'!J$3:J$504)),'Resultater - Østdanmark'!$F$3:$F$504,$A177,IF(E177=År1,'Resultater - Østdanmark'!H$3:H$504,IF(E177=År2,'Resultater - Østdanmark'!I$3:I$504,'Resultater - Østdanmark'!J$3:J$504)),"&gt;0"))</f>
        <v>7577.0634215631153</v>
      </c>
      <c r="H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forbrug'!H$3,'Forbrug af biomasse'!$B$2:$B$425,$F177)</f>
        <v>0</v>
      </c>
      <c r="I177">
        <f>IF(F177="Vestdanmark",-IF(A177="Halm",SUMIFS(IF(E177=År1,'Resultater - Vestdanmark'!H$3:H$504,IF(E177=År2,'Resultater - Vestdanmark'!I$3:I$504,'Resultater - Vestdanmark'!J$3:J$504)),'Resultater - Vestdanmark'!$F$3:$F$504,$A177,'Resultater - Vestdanmark'!H$3:H$504,"&lt;0"),0),-IF(A177="Halm",SUMIFS(IF(E177=År1,'Resultater - Østdanmark'!H$3:H$504,IF(E177=År2,'Resultater - Østdanmark'!I$3:I$504,'Resultater - Østdanmark'!J$3:J$504)),'Resultater - Østdanmark'!$F$3:$F$504,$A177,'Resultater - Østdanmark'!H$3:H$504,"&lt;0"),0))</f>
        <v>0</v>
      </c>
      <c r="J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forbrug'!J$3,'Forbrug af biomasse'!$B$2:$B$425,$F177)</f>
        <v>49527.399127557059</v>
      </c>
      <c r="K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forbrug'!K$3,'Forbrug af biomasse'!$B$2:$B$425,$F177)</f>
        <v>0</v>
      </c>
      <c r="L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forbrug'!L$3,'Forbrug af biomasse'!$B$2:$B$425,$F177)</f>
        <v>0</v>
      </c>
      <c r="M177" s="94">
        <f>IF(A177&lt;&gt;"Biogas",SUMIFS('Forbrug af biomasse'!$E$2:$E$425,'Forbrug af biomasse'!$C$2:$C$425,'Resultat-Produktion &amp; forbrug'!$A177,'Forbrug af biomasse'!$D$2:$D$425,'Resultat-Produktion &amp; forbrug'!$E177,'Forbrug af biomasse'!$A$2:$A$425,'Resultat-Produktion &amp; forbrug'!M$3,'Forbrug af biomasse'!$B$2:$B$425,$F177),G177)</f>
        <v>0</v>
      </c>
      <c r="N177" s="94">
        <f>SUMIFS('Forbrug af biomasse'!E:E,'Forbrug af biomasse'!C:C,'Resultat-Produktion &amp; forbrug'!$A177,'Forbrug af biomasse'!D:D,'Resultat-Produktion &amp; forbrug'!$E177,'Forbrug af biomasse'!G:G,1,'Forbrug af biomasse'!B:B,$F177)</f>
        <v>0</v>
      </c>
      <c r="O177" s="179">
        <f t="shared" ca="1" si="53"/>
        <v>-41950.335705993944</v>
      </c>
      <c r="P177" s="94">
        <f t="shared" si="43"/>
        <v>0</v>
      </c>
      <c r="Q177" s="180">
        <f t="shared" si="54"/>
        <v>0</v>
      </c>
      <c r="R177">
        <f>IFERROR(VLOOKUP(A177,[1]Energiindhold!$A$2:$C$11,3,FALSE),IFERROR(VLOOKUP(A177,[1]Biogasudbytte!$A$2:$B$18,2,FALSE)*[1]Energiindhold!$C$10,0))*P177</f>
        <v>0</v>
      </c>
      <c r="S177">
        <f>IF(A177&lt;&gt;"Biogas",IFERROR(VLOOKUP(A177,[1]Biogasudbytte!$A$2:$B$18,2,FALSE)*[1]Energiindhold!$C$10,0)*K177*IFERROR(VLOOKUP(A177,Biogasanlæg!$F$3:$G$8,2,FALSE),1)+IFERROR(VLOOKUP(A177,[1]Energiindhold!$A$2:$C$11,3,FALSE),0)*M177+IF(E177&lt;&gt;År1,R177,0),0)</f>
        <v>0</v>
      </c>
      <c r="T177">
        <f>IFERROR(VLOOKUP(A177,[1]Biogasudbytte!$A$2:$B$18,2,FALSE)*[1]Energiindhold!$C$10,0)*K177*IFERROR(VLOOKUP(A177,Biogasanlæg!$F$3:$G$8,2,FALSE),1)</f>
        <v>0</v>
      </c>
      <c r="U177" s="170">
        <f t="shared" si="55"/>
        <v>0</v>
      </c>
      <c r="V177" s="169">
        <f>P177*IFERROR(VLOOKUP(A177,[1]Tørstofindhold!A$2:B$24,2,FALSE),0)</f>
        <v>0</v>
      </c>
      <c r="W177">
        <f>IF(E177=År1,Q177,SUM(P177,Q177))*IFERROR(VLOOKUP(A177,[1]Tørstofindhold!A$2:B$24,2,FALSE),0)</f>
        <v>0</v>
      </c>
      <c r="X177">
        <f>K177*IFERROR(VLOOKUP(A177,[1]Tørstofindhold!A$2:B$24,2,FALSE),0)</f>
        <v>0</v>
      </c>
      <c r="Y177" s="170">
        <f t="shared" si="56"/>
        <v>0</v>
      </c>
      <c r="Z177">
        <f t="shared" ca="1" si="47"/>
        <v>0</v>
      </c>
      <c r="AA177">
        <f t="shared" ca="1" si="48"/>
        <v>1</v>
      </c>
      <c r="AB177" s="94">
        <f t="shared" ca="1" si="49"/>
        <v>7577.0634215631153</v>
      </c>
      <c r="AC177">
        <f ca="1">AB177*D177*10000*VLOOKUP(A177,[1]kcal!$A$2:$C$49,3,FALSE)/1000000000000</f>
        <v>1.4775273672048075E-2</v>
      </c>
    </row>
    <row r="178" spans="1:29" x14ac:dyDescent="0.25">
      <c r="A178" s="171" t="s">
        <v>55</v>
      </c>
      <c r="B178" s="171"/>
      <c r="C178" s="171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0</v>
      </c>
      <c r="D178" s="171">
        <f t="shared" si="39"/>
        <v>1</v>
      </c>
      <c r="E178" s="171">
        <f t="shared" si="52"/>
        <v>2019</v>
      </c>
      <c r="F178" t="s">
        <v>24</v>
      </c>
      <c r="G178" s="94">
        <f>IF(F178="Vestdanmark",SUMIFS(IF(E178=År1,'Resultater - Vestdanmark'!H$3:H$504,IF(E178=År2,'Resultater - Vestdanmark'!I$3:I$504,'Resultater - Vestdanmark'!J$3:J$504)),'Resultater - Vestdanmark'!$F$3:$F$504,$A178,IF(E178=År1,'Resultater - Vestdanmark'!H$3:H$504,IF(E178=År2,'Resultater - Vestdanmark'!I$3:I$504,'Resultater - Vestdanmark'!J$3:J$504)),"&gt;0"),SUMIFS(IF(E178=År1,'Resultater - Østdanmark'!H$3:H$504,IF(E178=År2,'Resultater - Østdanmark'!I$3:I$504,'Resultater - Østdanmark'!J$3:J$504)),'Resultater - Østdanmark'!$F$3:$F$504,$A178,IF(E178=År1,'Resultater - Østdanmark'!H$3:H$504,IF(E178=År2,'Resultater - Østdanmark'!I$3:I$504,'Resultater - Østdanmark'!J$3:J$504)),"&gt;0"))</f>
        <v>395448.91426064254</v>
      </c>
      <c r="H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forbrug'!H$3,'Forbrug af biomasse'!$B$2:$B$425,$F178)</f>
        <v>0</v>
      </c>
      <c r="I178">
        <f>IF(F178="Vestdanmark",-IF(A178="Halm",SUMIFS(IF(E178=År1,'Resultater - Vestdanmark'!H$3:H$504,IF(E178=År2,'Resultater - Vestdanmark'!I$3:I$504,'Resultater - Vestdanmark'!J$3:J$504)),'Resultater - Vestdanmark'!$F$3:$F$504,$A178,'Resultater - Vestdanmark'!H$3:H$504,"&lt;0"),0),-IF(A178="Halm",SUMIFS(IF(E178=År1,'Resultater - Østdanmark'!H$3:H$504,IF(E178=År2,'Resultater - Østdanmark'!I$3:I$504,'Resultater - Østdanmark'!J$3:J$504)),'Resultater - Østdanmark'!$F$3:$F$504,$A178,'Resultater - Østdanmark'!H$3:H$504,"&lt;0"),0))</f>
        <v>0</v>
      </c>
      <c r="J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forbrug'!J$3,'Forbrug af biomasse'!$B$2:$B$425,$F178)</f>
        <v>0</v>
      </c>
      <c r="K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forbrug'!K$3,'Forbrug af biomasse'!$B$2:$B$425,$F178)</f>
        <v>0</v>
      </c>
      <c r="L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forbrug'!L$3,'Forbrug af biomasse'!$B$2:$B$425,$F178)</f>
        <v>0</v>
      </c>
      <c r="M178" s="94">
        <f>IF(A178&lt;&gt;"Biogas",SUMIFS('Forbrug af biomasse'!$E$2:$E$425,'Forbrug af biomasse'!$C$2:$C$425,'Resultat-Produktion &amp; forbrug'!$A178,'Forbrug af biomasse'!$D$2:$D$425,'Resultat-Produktion &amp; forbrug'!$E178,'Forbrug af biomasse'!$A$2:$A$425,'Resultat-Produktion &amp; forbrug'!M$3,'Forbrug af biomasse'!$B$2:$B$425,$F178),G178)</f>
        <v>0</v>
      </c>
      <c r="N178" s="94">
        <f>SUMIFS('Forbrug af biomasse'!E:E,'Forbrug af biomasse'!C:C,'Resultat-Produktion &amp; forbrug'!$A178,'Forbrug af biomasse'!D:D,'Resultat-Produktion &amp; forbrug'!$E178,'Forbrug af biomasse'!G:G,1,'Forbrug af biomasse'!B:B,$F178)</f>
        <v>0</v>
      </c>
      <c r="O178" s="179">
        <f t="shared" si="53"/>
        <v>395448.91426064254</v>
      </c>
      <c r="P178" s="94">
        <f t="shared" si="43"/>
        <v>0</v>
      </c>
      <c r="Q178" s="180">
        <f t="shared" si="54"/>
        <v>0</v>
      </c>
      <c r="R178">
        <f>IFERROR(VLOOKUP(A178,[1]Energiindhold!$A$2:$C$11,3,FALSE),IFERROR(VLOOKUP(A178,[1]Biogasudbytte!$A$2:$B$18,2,FALSE)*[1]Energiindhold!$C$10,0))*P178</f>
        <v>0</v>
      </c>
      <c r="S178">
        <f>IF(A178&lt;&gt;"Biogas",IFERROR(VLOOKUP(A178,[1]Biogasudbytte!$A$2:$B$18,2,FALSE)*[1]Energiindhold!$C$10,0)*K178*IFERROR(VLOOKUP(A178,Biogasanlæg!$F$3:$G$8,2,FALSE),1)+IFERROR(VLOOKUP(A178,[1]Energiindhold!$A$2:$C$11,3,FALSE),0)*M178+IF(E178&lt;&gt;År1,R178,0),0)</f>
        <v>0</v>
      </c>
      <c r="T178">
        <f>IFERROR(VLOOKUP(A178,[1]Biogasudbytte!$A$2:$B$18,2,FALSE)*[1]Energiindhold!$C$10,0)*K178*IFERROR(VLOOKUP(A178,Biogasanlæg!$F$3:$G$8,2,FALSE),1)</f>
        <v>0</v>
      </c>
      <c r="U178" s="170">
        <f t="shared" si="55"/>
        <v>0</v>
      </c>
      <c r="V178" s="169">
        <f>P178*IFERROR(VLOOKUP(A178,[1]Tørstofindhold!A$2:B$24,2,FALSE),0)</f>
        <v>0</v>
      </c>
      <c r="W178">
        <f>IF(E178=År1,Q178,SUM(P178,Q178))*IFERROR(VLOOKUP(A178,[1]Tørstofindhold!A$2:B$24,2,FALSE),0)</f>
        <v>0</v>
      </c>
      <c r="X178">
        <f>K178*IFERROR(VLOOKUP(A178,[1]Tørstofindhold!A$2:B$24,2,FALSE),0)</f>
        <v>0</v>
      </c>
      <c r="Y178" s="170">
        <f t="shared" si="56"/>
        <v>0</v>
      </c>
      <c r="Z178">
        <f t="shared" si="47"/>
        <v>0</v>
      </c>
      <c r="AA178">
        <f t="shared" si="48"/>
        <v>1</v>
      </c>
      <c r="AB178" s="94">
        <f t="shared" si="49"/>
        <v>395448.91426064254</v>
      </c>
      <c r="AC178">
        <f>AB178*D178*10000*VLOOKUP(A178,[1]kcal!$A$2:$C$49,3,FALSE)/1000000000000</f>
        <v>0.15422507656165058</v>
      </c>
    </row>
    <row r="179" spans="1:29" x14ac:dyDescent="0.25">
      <c r="A179" s="171" t="s">
        <v>95</v>
      </c>
      <c r="B179" s="171" t="s">
        <v>225</v>
      </c>
      <c r="C179" s="171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71">
        <f t="shared" si="39"/>
        <v>0</v>
      </c>
      <c r="E179" s="171">
        <f t="shared" si="52"/>
        <v>2019</v>
      </c>
      <c r="F179" t="s">
        <v>24</v>
      </c>
      <c r="G179" s="94">
        <f>IF(F179="Vestdanmark",SUMIFS(IF(E179=År1,'Resultater - Vestdanmark'!H$3:H$504,IF(E179=År2,'Resultater - Vestdanmark'!I$3:I$504,'Resultater - Vestdanmark'!J$3:J$504)),'Resultater - Vestdanmark'!$F$3:$F$504,$A179,IF(E179=År1,'Resultater - Vestdanmark'!H$3:H$504,IF(E179=År2,'Resultater - Vestdanmark'!I$3:I$504,'Resultater - Vestdanmark'!J$3:J$504)),"&gt;0"),SUMIFS(IF(E179=År1,'Resultater - Østdanmark'!H$3:H$504,IF(E179=År2,'Resultater - Østdanmark'!I$3:I$504,'Resultater - Østdanmark'!J$3:J$504)),'Resultater - Østdanmark'!$F$3:$F$504,$A179,IF(E179=År1,'Resultater - Østdanmark'!H$3:H$504,IF(E179=År2,'Resultater - Østdanmark'!I$3:I$504,'Resultater - Østdanmark'!J$3:J$504)),"&gt;0"))</f>
        <v>38860.356190289756</v>
      </c>
      <c r="H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forbrug'!H$3,'Forbrug af biomasse'!$B$2:$B$425,$F179)</f>
        <v>0</v>
      </c>
      <c r="I179">
        <f>IF(F179="Vestdanmark",-IF(A179="Halm",SUMIFS(IF(E179=År1,'Resultater - Vestdanmark'!H$3:H$504,IF(E179=År2,'Resultater - Vestdanmark'!I$3:I$504,'Resultater - Vestdanmark'!J$3:J$504)),'Resultater - Vestdanmark'!$F$3:$F$504,$A179,'Resultater - Vestdanmark'!H$3:H$504,"&lt;0"),0),-IF(A179="Halm",SUMIFS(IF(E179=År1,'Resultater - Østdanmark'!H$3:H$504,IF(E179=År2,'Resultater - Østdanmark'!I$3:I$504,'Resultater - Østdanmark'!J$3:J$504)),'Resultater - Østdanmark'!$F$3:$F$504,$A179,'Resultater - Østdanmark'!H$3:H$504,"&lt;0"),0))</f>
        <v>0</v>
      </c>
      <c r="J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forbrug'!J$3,'Forbrug af biomasse'!$B$2:$B$425,$F179)</f>
        <v>0</v>
      </c>
      <c r="K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forbrug'!K$3,'Forbrug af biomasse'!$B$2:$B$425,$F179)</f>
        <v>0</v>
      </c>
      <c r="L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forbrug'!L$3,'Forbrug af biomasse'!$B$2:$B$425,$F179)</f>
        <v>0</v>
      </c>
      <c r="M179" s="94">
        <f>IF(A179&lt;&gt;"Biogas",SUMIFS('Forbrug af biomasse'!$E$2:$E$425,'Forbrug af biomasse'!$C$2:$C$425,'Resultat-Produktion &amp; forbrug'!$A179,'Forbrug af biomasse'!$D$2:$D$425,'Resultat-Produktion &amp; forbrug'!$E179,'Forbrug af biomasse'!$A$2:$A$425,'Resultat-Produktion &amp; forbrug'!M$3,'Forbrug af biomasse'!$B$2:$B$425,$F179),G179)</f>
        <v>38860.356190289756</v>
      </c>
      <c r="N179" s="94">
        <f>SUMIFS('Forbrug af biomasse'!E:E,'Forbrug af biomasse'!C:C,'Resultat-Produktion &amp; forbrug'!$A179,'Forbrug af biomasse'!D:D,'Resultat-Produktion &amp; forbrug'!$E179,'Forbrug af biomasse'!G:G,1,'Forbrug af biomasse'!B:B,$F179)</f>
        <v>0</v>
      </c>
      <c r="O179" s="179">
        <f t="shared" si="53"/>
        <v>0</v>
      </c>
      <c r="P179" s="94">
        <f t="shared" si="43"/>
        <v>0</v>
      </c>
      <c r="Q179" s="180">
        <f t="shared" si="54"/>
        <v>38860.356190289756</v>
      </c>
      <c r="R179">
        <f>IFERROR(VLOOKUP(A179,[1]Energiindhold!$A$2:$C$11,3,FALSE),IFERROR(VLOOKUP(A179,[1]Biogasudbytte!$A$2:$B$18,2,FALSE)*[1]Energiindhold!$C$10,0))*P179</f>
        <v>0</v>
      </c>
      <c r="S179">
        <f>IF(A179&lt;&gt;"Biogas",IFERROR(VLOOKUP(A179,[1]Biogasudbytte!$A$2:$B$18,2,FALSE)*[1]Energiindhold!$C$10,0)*K179*IFERROR(VLOOKUP(A179,Biogasanlæg!$F$3:$G$8,2,FALSE),1)+IFERROR(VLOOKUP(A179,[1]Energiindhold!$A$2:$C$11,3,FALSE),0)*M179+IF(E179&lt;&gt;År1,R179,0),0)</f>
        <v>0.71503055390133141</v>
      </c>
      <c r="T179">
        <f>IFERROR(VLOOKUP(A179,[1]Biogasudbytte!$A$2:$B$18,2,FALSE)*[1]Energiindhold!$C$10,0)*K179*IFERROR(VLOOKUP(A179,Biogasanlæg!$F$3:$G$8,2,FALSE),1)</f>
        <v>0</v>
      </c>
      <c r="U179" s="170">
        <f t="shared" si="55"/>
        <v>0.71503055390133141</v>
      </c>
      <c r="V179" s="169">
        <f>P179*IFERROR(VLOOKUP(A179,[1]Tørstofindhold!A$2:B$24,2,FALSE),0)</f>
        <v>0</v>
      </c>
      <c r="W179">
        <f>IF(E179=År1,Q179,SUM(P179,Q179))*IFERROR(VLOOKUP(A179,[1]Tørstofindhold!A$2:B$24,2,FALSE),0)</f>
        <v>16127.04781897025</v>
      </c>
      <c r="X179">
        <f>K179*IFERROR(VLOOKUP(A179,[1]Tørstofindhold!A$2:B$24,2,FALSE),0)</f>
        <v>0</v>
      </c>
      <c r="Y179" s="170">
        <f t="shared" si="56"/>
        <v>16127.04781897025</v>
      </c>
      <c r="Z179">
        <f t="shared" si="47"/>
        <v>0</v>
      </c>
      <c r="AA179">
        <f t="shared" si="48"/>
        <v>0</v>
      </c>
      <c r="AB179" s="94">
        <f t="shared" si="49"/>
        <v>38860.356190289756</v>
      </c>
      <c r="AC179">
        <f>AB179*D179*10000*VLOOKUP(A179,[1]kcal!$A$2:$C$49,3,FALSE)/1000000000000</f>
        <v>0</v>
      </c>
    </row>
    <row r="180" spans="1:29" x14ac:dyDescent="0.25">
      <c r="A180" s="171" t="s">
        <v>306</v>
      </c>
      <c r="B180" s="171" t="s">
        <v>312</v>
      </c>
      <c r="C180" s="171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71">
        <f t="shared" si="39"/>
        <v>0</v>
      </c>
      <c r="E180" s="171">
        <f t="shared" si="52"/>
        <v>2019</v>
      </c>
      <c r="F180" t="s">
        <v>24</v>
      </c>
      <c r="G180" s="94">
        <f ca="1">IF(F180="Vestdanmark",SUMIFS(IF(E180=År1,'Resultater - Vestdanmark'!H$3:H$504,IF(E180=År2,'Resultater - Vestdanmark'!I$3:I$504,'Resultater - Vestdanmark'!J$3:J$504)),'Resultater - Vestdanmark'!$F$3:$F$504,$A180,IF(E180=År1,'Resultater - Vestdanmark'!H$3:H$504,IF(E180=År2,'Resultater - Vestdanmark'!I$3:I$504,'Resultater - Vestdanmark'!J$3:J$504)),"&gt;0"),SUMIFS(IF(E180=År1,'Resultater - Østdanmark'!H$3:H$504,IF(E180=År2,'Resultater - Østdanmark'!I$3:I$504,'Resultater - Østdanmark'!J$3:J$504)),'Resultater - Østdanmark'!$F$3:$F$504,$A180,IF(E180=År1,'Resultater - Østdanmark'!H$3:H$504,IF(E180=År2,'Resultater - Østdanmark'!I$3:I$504,'Resultater - Østdanmark'!J$3:J$504)),"&gt;0"))</f>
        <v>0</v>
      </c>
      <c r="H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forbrug'!H$3,'Forbrug af biomasse'!$B$2:$B$425,$F180)</f>
        <v>0</v>
      </c>
      <c r="I180">
        <f>IF(F180="Vestdanmark",-IF(A180="Halm",SUMIFS(IF(E180=År1,'Resultater - Vestdanmark'!H$3:H$504,IF(E180=År2,'Resultater - Vestdanmark'!I$3:I$504,'Resultater - Vestdanmark'!J$3:J$504)),'Resultater - Vestdanmark'!$F$3:$F$504,$A180,'Resultater - Vestdanmark'!H$3:H$504,"&lt;0"),0),-IF(A180="Halm",SUMIFS(IF(E180=År1,'Resultater - Østdanmark'!H$3:H$504,IF(E180=År2,'Resultater - Østdanmark'!I$3:I$504,'Resultater - Østdanmark'!J$3:J$504)),'Resultater - Østdanmark'!$F$3:$F$504,$A180,'Resultater - Østdanmark'!H$3:H$504,"&lt;0"),0))</f>
        <v>0</v>
      </c>
      <c r="J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forbrug'!J$3,'Forbrug af biomasse'!$B$2:$B$425,$F180)</f>
        <v>0</v>
      </c>
      <c r="K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forbrug'!K$3,'Forbrug af biomasse'!$B$2:$B$425,$F180)</f>
        <v>0</v>
      </c>
      <c r="L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forbrug'!L$3,'Forbrug af biomasse'!$B$2:$B$425,$F180)</f>
        <v>0</v>
      </c>
      <c r="M180" s="94">
        <f ca="1">IF(A180&lt;&gt;"Biogas",SUMIFS('Forbrug af biomasse'!$E$2:$E$425,'Forbrug af biomasse'!$C$2:$C$425,'Resultat-Produktion &amp; forbrug'!$A180,'Forbrug af biomasse'!$D$2:$D$425,'Resultat-Produktion &amp; forbrug'!$E180,'Forbrug af biomasse'!$A$2:$A$425,'Resultat-Produktion &amp; forbrug'!M$3,'Forbrug af biomasse'!$B$2:$B$425,$F180),G180)</f>
        <v>0</v>
      </c>
      <c r="N180" s="94">
        <f>SUMIFS('Forbrug af biomasse'!E:E,'Forbrug af biomasse'!C:C,'Resultat-Produktion &amp; forbrug'!$A180,'Forbrug af biomasse'!D:D,'Resultat-Produktion &amp; forbrug'!$E180,'Forbrug af biomasse'!G:G,1,'Forbrug af biomasse'!B:B,$F180)</f>
        <v>0</v>
      </c>
      <c r="O180" s="179">
        <f t="shared" ref="O180:O181" ca="1" si="57">G180-SUM(H180:N180)</f>
        <v>0</v>
      </c>
      <c r="P180" s="94">
        <f t="shared" ca="1" si="43"/>
        <v>0</v>
      </c>
      <c r="Q180" s="180">
        <f t="shared" ref="Q180:Q181" ca="1" si="58">SUM(K180,M180)</f>
        <v>0</v>
      </c>
      <c r="R180">
        <f ca="1">IFERROR(VLOOKUP(A180,[1]Energiindhold!$A$2:$C$11,3,FALSE),IFERROR(VLOOKUP(A180,[1]Biogasudbytte!$A$2:$B$18,2,FALSE)*[1]Energiindhold!$C$10,0))*P180</f>
        <v>0</v>
      </c>
      <c r="S180">
        <f ca="1">IF(A180&lt;&gt;"Biogas",IFERROR(VLOOKUP(A180,[1]Biogasudbytte!$A$2:$B$18,2,FALSE)*[1]Energiindhold!$C$10,0)*K180*IFERROR(VLOOKUP(A180,Biogasanlæg!$F$3:$G$8,2,FALSE),1)+IFERROR(VLOOKUP(A180,[1]Energiindhold!$A$2:$C$11,3,FALSE),0)*M180+IF(E180&lt;&gt;År1,R180,0),0)</f>
        <v>0</v>
      </c>
      <c r="T180">
        <f>IFERROR(VLOOKUP(A180,[1]Biogasudbytte!$A$2:$B$18,2,FALSE)*[1]Energiindhold!$C$10,0)*K180*IFERROR(VLOOKUP(A180,Biogasanlæg!$F$3:$G$8,2,FALSE),1)</f>
        <v>0</v>
      </c>
      <c r="U180" s="170">
        <f t="shared" ref="U180:U181" ca="1" si="59">S180-T180</f>
        <v>0</v>
      </c>
      <c r="V180" s="169">
        <f ca="1">P180*IFERROR(VLOOKUP(A180,[1]Tørstofindhold!A$2:B$24,2,FALSE),0)</f>
        <v>0</v>
      </c>
      <c r="W180">
        <f ca="1">IF(E180=År1,Q180,SUM(P180,Q180))*IFERROR(VLOOKUP(A180,[1]Tørstofindhold!A$2:B$24,2,FALSE),0)</f>
        <v>0</v>
      </c>
      <c r="X180">
        <f>K180*IFERROR(VLOOKUP(A180,[1]Tørstofindhold!A$2:B$24,2,FALSE),0)</f>
        <v>0</v>
      </c>
      <c r="Y180" s="170">
        <f t="shared" ref="Y180:Y181" ca="1" si="60">W180-X180</f>
        <v>0</v>
      </c>
      <c r="Z180">
        <f t="shared" ca="1" si="47"/>
        <v>0</v>
      </c>
      <c r="AA180">
        <f t="shared" ca="1" si="48"/>
        <v>0</v>
      </c>
      <c r="AB180" s="94">
        <f t="shared" ca="1" si="49"/>
        <v>0</v>
      </c>
      <c r="AC180">
        <f ca="1">AB180*D180*10000*VLOOKUP(A180,[1]kcal!$A$2:$C$49,3,FALSE)/1000000000000</f>
        <v>0</v>
      </c>
    </row>
    <row r="181" spans="1:29" x14ac:dyDescent="0.25">
      <c r="A181" s="171" t="s">
        <v>307</v>
      </c>
      <c r="B181" s="171" t="s">
        <v>312</v>
      </c>
      <c r="C181" s="171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1</v>
      </c>
      <c r="D181" s="171">
        <f t="shared" ref="D181:D244" si="61">D133</f>
        <v>0</v>
      </c>
      <c r="E181" s="171">
        <f t="shared" si="52"/>
        <v>2019</v>
      </c>
      <c r="F181" t="s">
        <v>24</v>
      </c>
      <c r="G181" s="94">
        <f ca="1">IF(F181="Vestdanmark",SUMIFS(IF(E181=År1,'Resultater - Vestdanmark'!H$3:H$504,IF(E181=År2,'Resultater - Vestdanmark'!I$3:I$504,'Resultater - Vestdanmark'!J$3:J$504)),'Resultater - Vestdanmark'!$F$3:$F$504,$A181,IF(E181=År1,'Resultater - Vestdanmark'!H$3:H$504,IF(E181=År2,'Resultater - Vestdanmark'!I$3:I$504,'Resultater - Vestdanmark'!J$3:J$504)),"&gt;0"),SUMIFS(IF(E181=År1,'Resultater - Østdanmark'!H$3:H$504,IF(E181=År2,'Resultater - Østdanmark'!I$3:I$504,'Resultater - Østdanmark'!J$3:J$504)),'Resultater - Østdanmark'!$F$3:$F$504,$A181,IF(E181=År1,'Resultater - Østdanmark'!H$3:H$504,IF(E181=År2,'Resultater - Østdanmark'!I$3:I$504,'Resultater - Østdanmark'!J$3:J$504)),"&gt;0"))</f>
        <v>0</v>
      </c>
      <c r="H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forbrug'!H$3,'Forbrug af biomasse'!$B$2:$B$425,$F181)</f>
        <v>0</v>
      </c>
      <c r="I181">
        <f>IF(F181="Vestdanmark",-IF(A181="Halm",SUMIFS(IF(E181=År1,'Resultater - Vestdanmark'!H$3:H$504,IF(E181=År2,'Resultater - Vestdanmark'!I$3:I$504,'Resultater - Vestdanmark'!J$3:J$504)),'Resultater - Vestdanmark'!$F$3:$F$504,$A181,'Resultater - Vestdanmark'!H$3:H$504,"&lt;0"),0),-IF(A181="Halm",SUMIFS(IF(E181=År1,'Resultater - Østdanmark'!H$3:H$504,IF(E181=År2,'Resultater - Østdanmark'!I$3:I$504,'Resultater - Østdanmark'!J$3:J$504)),'Resultater - Østdanmark'!$F$3:$F$504,$A181,'Resultater - Østdanmark'!H$3:H$504,"&lt;0"),0))</f>
        <v>0</v>
      </c>
      <c r="J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forbrug'!J$3,'Forbrug af biomasse'!$B$2:$B$425,$F181)</f>
        <v>0</v>
      </c>
      <c r="K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forbrug'!K$3,'Forbrug af biomasse'!$B$2:$B$425,$F181)</f>
        <v>0</v>
      </c>
      <c r="L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forbrug'!L$3,'Forbrug af biomasse'!$B$2:$B$425,$F181)</f>
        <v>0</v>
      </c>
      <c r="M181" s="94">
        <f ca="1">IF(A181&lt;&gt;"Biogas",SUMIFS('Forbrug af biomasse'!$E$2:$E$425,'Forbrug af biomasse'!$C$2:$C$425,'Resultat-Produktion &amp; forbrug'!$A181,'Forbrug af biomasse'!$D$2:$D$425,'Resultat-Produktion &amp; forbrug'!$E181,'Forbrug af biomasse'!$A$2:$A$425,'Resultat-Produktion &amp; forbrug'!M$3,'Forbrug af biomasse'!$B$2:$B$425,$F181),G181)</f>
        <v>0</v>
      </c>
      <c r="N181" s="94">
        <f>SUMIFS('Forbrug af biomasse'!E:E,'Forbrug af biomasse'!C:C,'Resultat-Produktion &amp; forbrug'!$A181,'Forbrug af biomasse'!D:D,'Resultat-Produktion &amp; forbrug'!$E181,'Forbrug af biomasse'!G:G,1,'Forbrug af biomasse'!B:B,$F181)</f>
        <v>0</v>
      </c>
      <c r="O181" s="179">
        <f t="shared" ca="1" si="57"/>
        <v>0</v>
      </c>
      <c r="P181" s="94">
        <f t="shared" ca="1" si="43"/>
        <v>0</v>
      </c>
      <c r="Q181" s="180">
        <f t="shared" ca="1" si="58"/>
        <v>0</v>
      </c>
      <c r="R181">
        <f ca="1">IFERROR(VLOOKUP(A181,[1]Energiindhold!$A$2:$C$11,3,FALSE),IFERROR(VLOOKUP(A181,[1]Biogasudbytte!$A$2:$B$18,2,FALSE)*[1]Energiindhold!$C$10,0))*P181</f>
        <v>0</v>
      </c>
      <c r="S181">
        <f ca="1">IF(A181&lt;&gt;"Biogas",IFERROR(VLOOKUP(A181,[1]Biogasudbytte!$A$2:$B$18,2,FALSE)*[1]Energiindhold!$C$10,0)*K181*IFERROR(VLOOKUP(A181,Biogasanlæg!$F$3:$G$8,2,FALSE),1)+IFERROR(VLOOKUP(A181,[1]Energiindhold!$A$2:$C$11,3,FALSE),0)*M181+IF(E181&lt;&gt;År1,R181,0),0)</f>
        <v>0</v>
      </c>
      <c r="T181">
        <f>IFERROR(VLOOKUP(A181,[1]Biogasudbytte!$A$2:$B$18,2,FALSE)*[1]Energiindhold!$C$10,0)*K181*IFERROR(VLOOKUP(A181,Biogasanlæg!$F$3:$G$8,2,FALSE),1)</f>
        <v>0</v>
      </c>
      <c r="U181" s="170">
        <f t="shared" ca="1" si="59"/>
        <v>0</v>
      </c>
      <c r="V181" s="169">
        <f ca="1">P181*IFERROR(VLOOKUP(A181,[1]Tørstofindhold!A$2:B$24,2,FALSE),0)</f>
        <v>0</v>
      </c>
      <c r="W181">
        <f ca="1">IF(E181=År1,Q181,SUM(P181,Q181))*IFERROR(VLOOKUP(A181,[1]Tørstofindhold!A$2:B$24,2,FALSE),0)</f>
        <v>0</v>
      </c>
      <c r="X181">
        <f>K181*IFERROR(VLOOKUP(A181,[1]Tørstofindhold!A$2:B$24,2,FALSE),0)</f>
        <v>0</v>
      </c>
      <c r="Y181" s="170">
        <f t="shared" ca="1" si="60"/>
        <v>0</v>
      </c>
      <c r="Z181">
        <f t="shared" ca="1" si="47"/>
        <v>0</v>
      </c>
      <c r="AA181">
        <f t="shared" ca="1" si="48"/>
        <v>0</v>
      </c>
      <c r="AB181" s="94">
        <f t="shared" ca="1" si="49"/>
        <v>0</v>
      </c>
      <c r="AC181">
        <f ca="1">AB181*D181*10000*VLOOKUP(A181,[1]kcal!$A$2:$C$49,3,FALSE)/1000000000000</f>
        <v>0</v>
      </c>
    </row>
    <row r="182" spans="1:29" x14ac:dyDescent="0.25">
      <c r="A182" s="171" t="s">
        <v>117</v>
      </c>
      <c r="B182" s="171"/>
      <c r="C182" s="171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71">
        <f t="shared" si="61"/>
        <v>0</v>
      </c>
      <c r="E182" s="171">
        <f t="shared" si="52"/>
        <v>2019</v>
      </c>
      <c r="F182" t="s">
        <v>24</v>
      </c>
      <c r="G182" s="94">
        <f ca="1">IF(F182="Vestdanmark",SUMIFS(IF(E182=År1,'Resultater - Vestdanmark'!H$3:H$504,IF(E182=År2,'Resultater - Vestdanmark'!I$3:I$504,'Resultater - Vestdanmark'!J$3:J$504)),'Resultater - Vestdanmark'!$F$3:$F$504,$A182,IF(E182=År1,'Resultater - Vestdanmark'!H$3:H$504,IF(E182=År2,'Resultater - Vestdanmark'!I$3:I$504,'Resultater - Vestdanmark'!J$3:J$504)),"&gt;0"),SUMIFS(IF(E182=År1,'Resultater - Østdanmark'!H$3:H$504,IF(E182=År2,'Resultater - Østdanmark'!I$3:I$504,'Resultater - Østdanmark'!J$3:J$504)),'Resultater - Østdanmark'!$F$3:$F$504,$A182,IF(E182=År1,'Resultater - Østdanmark'!H$3:H$504,IF(E182=År2,'Resultater - Østdanmark'!I$3:I$504,'Resultater - Østdanmark'!J$3:J$504)),"&gt;0"))</f>
        <v>346998.01962126989</v>
      </c>
      <c r="H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forbrug'!H$3,'Forbrug af biomasse'!$B$2:$B$425,$F182)</f>
        <v>0</v>
      </c>
      <c r="I182">
        <f>IF(F182="Vestdanmark",-IF(A182="Halm",SUMIFS(IF(E182=År1,'Resultater - Vestdanmark'!H$3:H$504,IF(E182=År2,'Resultater - Vestdanmark'!I$3:I$504,'Resultater - Vestdanmark'!J$3:J$504)),'Resultater - Vestdanmark'!$F$3:$F$504,$A182,'Resultater - Vestdanmark'!H$3:H$504,"&lt;0"),0),-IF(A182="Halm",SUMIFS(IF(E182=År1,'Resultater - Østdanmark'!H$3:H$504,IF(E182=År2,'Resultater - Østdanmark'!I$3:I$504,'Resultater - Østdanmark'!J$3:J$504)),'Resultater - Østdanmark'!$F$3:$F$504,$A182,'Resultater - Østdanmark'!H$3:H$504,"&lt;0"),0))</f>
        <v>0</v>
      </c>
      <c r="J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forbrug'!J$3,'Forbrug af biomasse'!$B$2:$B$425,$F182)</f>
        <v>0</v>
      </c>
      <c r="K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forbrug'!K$3,'Forbrug af biomasse'!$B$2:$B$425,$F182)</f>
        <v>0</v>
      </c>
      <c r="L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forbrug'!L$3,'Forbrug af biomasse'!$B$2:$B$425,$F182)</f>
        <v>0</v>
      </c>
      <c r="M182" s="94">
        <f>IF(A182&lt;&gt;"Biogas",SUMIFS('Forbrug af biomasse'!$E$2:$E$425,'Forbrug af biomasse'!$C$2:$C$425,'Resultat-Produktion &amp; forbrug'!$A182,'Forbrug af biomasse'!$D$2:$D$425,'Resultat-Produktion &amp; forbrug'!$E182,'Forbrug af biomasse'!$A$2:$A$425,'Resultat-Produktion &amp; forbrug'!M$3,'Forbrug af biomasse'!$B$2:$B$425,$F182),G182)</f>
        <v>0</v>
      </c>
      <c r="N182" s="94">
        <f>SUMIFS('Forbrug af biomasse'!E:E,'Forbrug af biomasse'!C:C,'Resultat-Produktion &amp; forbrug'!$A182,'Forbrug af biomasse'!D:D,'Resultat-Produktion &amp; forbrug'!$E182,'Forbrug af biomasse'!G:G,1,'Forbrug af biomasse'!B:B,$F182)</f>
        <v>0</v>
      </c>
      <c r="O182" s="179">
        <f t="shared" ca="1" si="53"/>
        <v>346998.01962126989</v>
      </c>
      <c r="P182" s="94">
        <f t="shared" si="43"/>
        <v>0</v>
      </c>
      <c r="Q182" s="180">
        <f t="shared" si="54"/>
        <v>0</v>
      </c>
      <c r="R182">
        <f>IFERROR(VLOOKUP(A182,[1]Energiindhold!$A$2:$C$11,3,FALSE),IFERROR(VLOOKUP(A182,[1]Biogasudbytte!$A$2:$B$18,2,FALSE)*[1]Energiindhold!$C$10,0))*P182</f>
        <v>0</v>
      </c>
      <c r="S182">
        <f>IF(A182&lt;&gt;"Biogas",IFERROR(VLOOKUP(A182,[1]Biogasudbytte!$A$2:$B$18,2,FALSE)*[1]Energiindhold!$C$10,0)*K182*IFERROR(VLOOKUP(A182,Biogasanlæg!$F$3:$G$8,2,FALSE),1)+IFERROR(VLOOKUP(A182,[1]Energiindhold!$A$2:$C$11,3,FALSE),0)*M182+IF(E182&lt;&gt;År1,R182,0),0)</f>
        <v>0</v>
      </c>
      <c r="T182">
        <f>IFERROR(VLOOKUP(A182,[1]Biogasudbytte!$A$2:$B$18,2,FALSE)*[1]Energiindhold!$C$10,0)*K182*IFERROR(VLOOKUP(A182,Biogasanlæg!$F$3:$G$8,2,FALSE),1)</f>
        <v>0</v>
      </c>
      <c r="U182" s="170">
        <f t="shared" si="55"/>
        <v>0</v>
      </c>
      <c r="V182" s="169">
        <f>P182*IFERROR(VLOOKUP(A182,[1]Tørstofindhold!A$2:B$24,2,FALSE),0)</f>
        <v>0</v>
      </c>
      <c r="W182">
        <f>IF(E182=År1,Q182,SUM(P182,Q182))*IFERROR(VLOOKUP(A182,[1]Tørstofindhold!A$2:B$24,2,FALSE),0)</f>
        <v>0</v>
      </c>
      <c r="X182">
        <f>K182*IFERROR(VLOOKUP(A182,[1]Tørstofindhold!A$2:B$24,2,FALSE),0)</f>
        <v>0</v>
      </c>
      <c r="Y182" s="170">
        <f t="shared" si="56"/>
        <v>0</v>
      </c>
      <c r="Z182">
        <f t="shared" ca="1" si="47"/>
        <v>0</v>
      </c>
      <c r="AA182">
        <f t="shared" ca="1" si="48"/>
        <v>1</v>
      </c>
      <c r="AB182" s="94">
        <f t="shared" ca="1" si="49"/>
        <v>346998.01962126989</v>
      </c>
      <c r="AC182">
        <f ca="1">AB182*D182*10000*VLOOKUP(A182,[1]kcal!$A$2:$C$49,3,FALSE)/1000000000000</f>
        <v>0</v>
      </c>
    </row>
    <row r="183" spans="1:29" x14ac:dyDescent="0.25">
      <c r="A183" t="s">
        <v>50</v>
      </c>
      <c r="B183" s="171"/>
      <c r="C183" s="171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71">
        <f t="shared" si="61"/>
        <v>0</v>
      </c>
      <c r="E183" s="171">
        <f t="shared" si="52"/>
        <v>2019</v>
      </c>
      <c r="F183" t="s">
        <v>24</v>
      </c>
      <c r="G183" s="94">
        <f>IF(F183="Vestdanmark",SUMIFS(IF(E183=År1,'Resultater - Vestdanmark'!H$3:H$504,IF(E183=År2,'Resultater - Vestdanmark'!I$3:I$504,'Resultater - Vestdanmark'!J$3:J$504)),'Resultater - Vestdanmark'!$F$3:$F$504,$A183,IF(E183=År1,'Resultater - Vestdanmark'!H$3:H$504,IF(E183=År2,'Resultater - Vestdanmark'!I$3:I$504,'Resultater - Vestdanmark'!J$3:J$504)),"&gt;0"),SUMIFS(IF(E183=År1,'Resultater - Østdanmark'!H$3:H$504,IF(E183=År2,'Resultater - Østdanmark'!I$3:I$504,'Resultater - Østdanmark'!J$3:J$504)),'Resultater - Østdanmark'!$F$3:$F$504,$A183,IF(E183=År1,'Resultater - Østdanmark'!H$3:H$504,IF(E183=År2,'Resultater - Østdanmark'!I$3:I$504,'Resultater - Østdanmark'!J$3:J$504)),"&gt;0"))</f>
        <v>192563.22613808865</v>
      </c>
      <c r="H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forbrug'!H$3,'Forbrug af biomasse'!$B$2:$B$425,$F183)</f>
        <v>0</v>
      </c>
      <c r="I183">
        <f>IF(F183="Vestdanmark",-IF(A183="Halm",SUMIFS(IF(E183=År1,'Resultater - Vestdanmark'!H$3:H$504,IF(E183=År2,'Resultater - Vestdanmark'!I$3:I$504,'Resultater - Vestdanmark'!J$3:J$504)),'Resultater - Vestdanmark'!$F$3:$F$504,$A183,'Resultater - Vestdanmark'!H$3:H$504,"&lt;0"),0),-IF(A183="Halm",SUMIFS(IF(E183=År1,'Resultater - Østdanmark'!H$3:H$504,IF(E183=År2,'Resultater - Østdanmark'!I$3:I$504,'Resultater - Østdanmark'!J$3:J$504)),'Resultater - Østdanmark'!$F$3:$F$504,$A183,'Resultater - Østdanmark'!H$3:H$504,"&lt;0"),0))</f>
        <v>0</v>
      </c>
      <c r="J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forbrug'!J$3,'Forbrug af biomasse'!$B$2:$B$425,$F183)</f>
        <v>0</v>
      </c>
      <c r="K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forbrug'!K$3,'Forbrug af biomasse'!$B$2:$B$425,$F183)</f>
        <v>0</v>
      </c>
      <c r="L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forbrug'!L$3,'Forbrug af biomasse'!$B$2:$B$425,$F183)</f>
        <v>0</v>
      </c>
      <c r="M183" s="94">
        <f>IF(A183&lt;&gt;"Biogas",SUMIFS('Forbrug af biomasse'!$E$2:$E$425,'Forbrug af biomasse'!$C$2:$C$425,'Resultat-Produktion &amp; forbrug'!$A183,'Forbrug af biomasse'!$D$2:$D$425,'Resultat-Produktion &amp; forbrug'!$E183,'Forbrug af biomasse'!$A$2:$A$425,'Resultat-Produktion &amp; forbrug'!M$3,'Forbrug af biomasse'!$B$2:$B$425,$F183),G183)</f>
        <v>0</v>
      </c>
      <c r="N183" s="94">
        <f>SUMIFS('Forbrug af biomasse'!E:E,'Forbrug af biomasse'!C:C,'Resultat-Produktion &amp; forbrug'!$A183,'Forbrug af biomasse'!D:D,'Resultat-Produktion &amp; forbrug'!$E183,'Forbrug af biomasse'!G:G,1,'Forbrug af biomasse'!B:B,$F183)</f>
        <v>192563.22613808865</v>
      </c>
      <c r="O183" s="179">
        <f t="shared" si="53"/>
        <v>0</v>
      </c>
      <c r="P183" s="94">
        <f t="shared" si="43"/>
        <v>0</v>
      </c>
      <c r="Q183" s="180">
        <f t="shared" si="54"/>
        <v>0</v>
      </c>
      <c r="R183">
        <f>IFERROR(VLOOKUP(A183,[1]Energiindhold!$A$2:$C$11,3,FALSE),IFERROR(VLOOKUP(A183,[1]Biogasudbytte!$A$2:$B$18,2,FALSE)*[1]Energiindhold!$C$10,0))*P183</f>
        <v>0</v>
      </c>
      <c r="S183">
        <f>IF(A183&lt;&gt;"Biogas",IFERROR(VLOOKUP(A183,[1]Biogasudbytte!$A$2:$B$18,2,FALSE)*[1]Energiindhold!$C$10,0)*K183*IFERROR(VLOOKUP(A183,Biogasanlæg!$F$3:$G$8,2,FALSE),1)+IFERROR(VLOOKUP(A183,[1]Energiindhold!$A$2:$C$11,3,FALSE),0)*M183+IF(E183&lt;&gt;År1,R183,0),0)</f>
        <v>0</v>
      </c>
      <c r="T183">
        <f>IFERROR(VLOOKUP(A183,[1]Biogasudbytte!$A$2:$B$18,2,FALSE)*[1]Energiindhold!$C$10,0)*K183*IFERROR(VLOOKUP(A183,Biogasanlæg!$F$3:$G$8,2,FALSE),1)</f>
        <v>0</v>
      </c>
      <c r="U183" s="170">
        <f t="shared" si="55"/>
        <v>0</v>
      </c>
      <c r="V183" s="169">
        <f>P183*IFERROR(VLOOKUP(A183,[1]Tørstofindhold!A$2:B$24,2,FALSE),0)</f>
        <v>0</v>
      </c>
      <c r="W183">
        <f>IF(E183=År1,Q183,SUM(P183,Q183))*IFERROR(VLOOKUP(A183,[1]Tørstofindhold!A$2:B$24,2,FALSE),0)</f>
        <v>0</v>
      </c>
      <c r="X183">
        <f>K183*IFERROR(VLOOKUP(A183,[1]Tørstofindhold!A$2:B$24,2,FALSE),0)</f>
        <v>0</v>
      </c>
      <c r="Y183" s="170">
        <f t="shared" si="56"/>
        <v>0</v>
      </c>
      <c r="Z183">
        <f t="shared" si="47"/>
        <v>0</v>
      </c>
      <c r="AA183">
        <f t="shared" si="48"/>
        <v>0</v>
      </c>
      <c r="AB183" s="94">
        <f t="shared" si="49"/>
        <v>192563.22613808865</v>
      </c>
      <c r="AC183">
        <f>AB183*D183*10000*VLOOKUP(A183,[1]kcal!$A$2:$C$49,3,FALSE)/1000000000000</f>
        <v>0</v>
      </c>
    </row>
    <row r="184" spans="1:29" x14ac:dyDescent="0.25">
      <c r="A184" t="s">
        <v>238</v>
      </c>
      <c r="B184" s="171"/>
      <c r="C184" s="171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0</v>
      </c>
      <c r="D184" s="171">
        <f t="shared" si="61"/>
        <v>0</v>
      </c>
      <c r="E184" s="171">
        <f t="shared" si="52"/>
        <v>2019</v>
      </c>
      <c r="F184" t="s">
        <v>24</v>
      </c>
      <c r="G184" s="94">
        <f>IF(F184="Vestdanmark",SUMIFS(IF(E184=År1,'Resultater - Vestdanmark'!H$3:H$504,IF(E184=År2,'Resultater - Vestdanmark'!I$3:I$504,'Resultater - Vestdanmark'!J$3:J$504)),'Resultater - Vestdanmark'!$F$3:$F$504,$A184,IF(E184=År1,'Resultater - Vestdanmark'!H$3:H$504,IF(E184=År2,'Resultater - Vestdanmark'!I$3:I$504,'Resultater - Vestdanmark'!J$3:J$504)),"&gt;0"),SUMIFS(IF(E184=År1,'Resultater - Østdanmark'!H$3:H$504,IF(E184=År2,'Resultater - Østdanmark'!I$3:I$504,'Resultater - Østdanmark'!J$3:J$504)),'Resultater - Østdanmark'!$F$3:$F$504,$A184,IF(E184=År1,'Resultater - Østdanmark'!H$3:H$504,IF(E184=År2,'Resultater - Østdanmark'!I$3:I$504,'Resultater - Østdanmark'!J$3:J$504)),"&gt;0"))</f>
        <v>96281.613069044324</v>
      </c>
      <c r="H184" s="94">
        <f ca="1">SUMIFS('Forbrug af biomasse'!$E$2:$E$425,'Forbrug af biomasse'!$C$2:$C$425,'Resultat-Produktion &amp; forbrug'!$A184,'Forbrug af biomasse'!$D$2:$D$425,'Resultat-Produktion &amp; forbrug'!$E184,'Forbrug af biomasse'!$A$2:$A$425,'Resultat-Produktion &amp; forbrug'!H$3,'Forbrug af biomasse'!$B$2:$B$425,$F184)</f>
        <v>26278.769501998373</v>
      </c>
      <c r="I184">
        <f>IF(F184="Vestdanmark",-IF(A184="Halm",SUMIFS(IF(E184=År1,'Resultater - Vestdanmark'!H$3:H$504,IF(E184=År2,'Resultater - Vestdanmark'!I$3:I$504,'Resultater - Vestdanmark'!J$3:J$504)),'Resultater - Vestdanmark'!$F$3:$F$504,$A184,'Resultater - Vestdanmark'!H$3:H$504,"&lt;0"),0),-IF(A184="Halm",SUMIFS(IF(E184=År1,'Resultater - Østdanmark'!H$3:H$504,IF(E184=År2,'Resultater - Østdanmark'!I$3:I$504,'Resultater - Østdanmark'!J$3:J$504)),'Resultater - Østdanmark'!$F$3:$F$504,$A184,'Resultater - Østdanmark'!H$3:H$504,"&lt;0"),0))</f>
        <v>0</v>
      </c>
      <c r="J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forbrug'!J$3,'Forbrug af biomasse'!$B$2:$B$425,$F184)</f>
        <v>0</v>
      </c>
      <c r="K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forbrug'!K$3,'Forbrug af biomasse'!$B$2:$B$425,$F184)</f>
        <v>0</v>
      </c>
      <c r="L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forbrug'!L$3,'Forbrug af biomasse'!$B$2:$B$425,$F184)</f>
        <v>0</v>
      </c>
      <c r="M184" s="94">
        <f>IF(A184&lt;&gt;"Biogas",SUMIFS('Forbrug af biomasse'!$E$2:$E$425,'Forbrug af biomasse'!$C$2:$C$425,'Resultat-Produktion &amp; forbrug'!$A184,'Forbrug af biomasse'!$D$2:$D$425,'Resultat-Produktion &amp; forbrug'!$E184,'Forbrug af biomasse'!$A$2:$A$425,'Resultat-Produktion &amp; forbrug'!M$3,'Forbrug af biomasse'!$B$2:$B$425,$F184),G184)</f>
        <v>0</v>
      </c>
      <c r="N184" s="94">
        <f>SUMIFS('Forbrug af biomasse'!E:E,'Forbrug af biomasse'!C:C,'Resultat-Produktion &amp; forbrug'!$A184,'Forbrug af biomasse'!D:D,'Resultat-Produktion &amp; forbrug'!$E184,'Forbrug af biomasse'!G:G,1,'Forbrug af biomasse'!B:B,$F184)</f>
        <v>0</v>
      </c>
      <c r="O184" s="179">
        <f t="shared" ca="1" si="53"/>
        <v>70002.843567045958</v>
      </c>
      <c r="P184" s="94">
        <f t="shared" si="43"/>
        <v>0</v>
      </c>
      <c r="Q184" s="180">
        <f t="shared" si="54"/>
        <v>0</v>
      </c>
      <c r="R184">
        <f>IFERROR(VLOOKUP(A184,[1]Energiindhold!$A$2:$C$11,3,FALSE),IFERROR(VLOOKUP(A184,[1]Biogasudbytte!$A$2:$B$18,2,FALSE)*[1]Energiindhold!$C$10,0))*P184</f>
        <v>0</v>
      </c>
      <c r="S184">
        <f>IF(A184&lt;&gt;"Biogas",IFERROR(VLOOKUP(A184,[1]Biogasudbytte!$A$2:$B$18,2,FALSE)*[1]Energiindhold!$C$10,0)*K184*IFERROR(VLOOKUP(A184,Biogasanlæg!$F$3:$G$8,2,FALSE),1)+IFERROR(VLOOKUP(A184,[1]Energiindhold!$A$2:$C$11,3,FALSE),0)*M184+IF(E184&lt;&gt;År1,R184,0),0)</f>
        <v>0</v>
      </c>
      <c r="T184">
        <f>IFERROR(VLOOKUP(A184,[1]Biogasudbytte!$A$2:$B$18,2,FALSE)*[1]Energiindhold!$C$10,0)*K184*IFERROR(VLOOKUP(A184,Biogasanlæg!$F$3:$G$8,2,FALSE),1)</f>
        <v>0</v>
      </c>
      <c r="U184" s="170">
        <f t="shared" si="55"/>
        <v>0</v>
      </c>
      <c r="V184" s="169">
        <f>P184*IFERROR(VLOOKUP(A184,[1]Tørstofindhold!A$2:B$24,2,FALSE),0)</f>
        <v>0</v>
      </c>
      <c r="W184">
        <f>IF(E184=År1,Q184,SUM(P184,Q184))*IFERROR(VLOOKUP(A184,[1]Tørstofindhold!A$2:B$24,2,FALSE),0)</f>
        <v>0</v>
      </c>
      <c r="X184">
        <f>K184*IFERROR(VLOOKUP(A184,[1]Tørstofindhold!A$2:B$24,2,FALSE),0)</f>
        <v>0</v>
      </c>
      <c r="Y184" s="170">
        <f t="shared" si="56"/>
        <v>0</v>
      </c>
      <c r="Z184">
        <f t="shared" ca="1" si="47"/>
        <v>0</v>
      </c>
      <c r="AA184">
        <f t="shared" ca="1" si="48"/>
        <v>1</v>
      </c>
      <c r="AB184" s="94">
        <f t="shared" ca="1" si="49"/>
        <v>70002.843567045958</v>
      </c>
      <c r="AC184">
        <f ca="1">AB184*D184*10000*VLOOKUP(A184,[1]kcal!$A$2:$C$49,3,FALSE)/1000000000000</f>
        <v>0</v>
      </c>
    </row>
    <row r="185" spans="1:29" x14ac:dyDescent="0.25">
      <c r="A185" t="s">
        <v>231</v>
      </c>
      <c r="B185" s="171" t="s">
        <v>231</v>
      </c>
      <c r="C185" s="171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71">
        <f t="shared" si="61"/>
        <v>1</v>
      </c>
      <c r="E185" s="171">
        <f t="shared" si="52"/>
        <v>2019</v>
      </c>
      <c r="F185" t="s">
        <v>24</v>
      </c>
      <c r="G185" s="94">
        <f>IF(F185="Vestdanmark",SUMIFS(IF(E185=År1,'Resultater - Vestdanmark'!H$3:H$504,IF(E185=År2,'Resultater - Vestdanmark'!I$3:I$504,'Resultater - Vestdanmark'!J$3:J$504)),'Resultater - Vestdanmark'!$F$3:$F$504,$A185,IF(E185=År1,'Resultater - Vestdanmark'!H$3:H$504,IF(E185=År2,'Resultater - Vestdanmark'!I$3:I$504,'Resultater - Vestdanmark'!J$3:J$504)),"&gt;0"),SUMIFS(IF(E185=År1,'Resultater - Østdanmark'!H$3:H$504,IF(E185=År2,'Resultater - Østdanmark'!I$3:I$504,'Resultater - Østdanmark'!J$3:J$504)),'Resultater - Østdanmark'!$F$3:$F$504,$A185,IF(E185=År1,'Resultater - Østdanmark'!H$3:H$504,IF(E185=År2,'Resultater - Østdanmark'!I$3:I$504,'Resultater - Østdanmark'!J$3:J$504)),"&gt;0"))</f>
        <v>61620.23236418837</v>
      </c>
      <c r="H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forbrug'!H$3,'Forbrug af biomasse'!$B$2:$B$425,$F185)</f>
        <v>0</v>
      </c>
      <c r="I185">
        <f>IF(F185="Vestdanmark",-IF(A185="Halm",SUMIFS(IF(E185=År1,'Resultater - Vestdanmark'!H$3:H$504,IF(E185=År2,'Resultater - Vestdanmark'!I$3:I$504,'Resultater - Vestdanmark'!J$3:J$504)),'Resultater - Vestdanmark'!$F$3:$F$504,$A185,'Resultater - Vestdanmark'!H$3:H$504,"&lt;0"),0),-IF(A185="Halm",SUMIFS(IF(E185=År1,'Resultater - Østdanmark'!H$3:H$504,IF(E185=År2,'Resultater - Østdanmark'!I$3:I$504,'Resultater - Østdanmark'!J$3:J$504)),'Resultater - Østdanmark'!$F$3:$F$504,$A185,'Resultater - Østdanmark'!H$3:H$504,"&lt;0"),0))</f>
        <v>0</v>
      </c>
      <c r="J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forbrug'!J$3,'Forbrug af biomasse'!$B$2:$B$425,$F185)</f>
        <v>0</v>
      </c>
      <c r="K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forbrug'!K$3,'Forbrug af biomasse'!$B$2:$B$425,$F185)</f>
        <v>0</v>
      </c>
      <c r="L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forbrug'!L$3,'Forbrug af biomasse'!$B$2:$B$425,$F185)</f>
        <v>0</v>
      </c>
      <c r="M185" s="94">
        <f>IF(A185&lt;&gt;"Biogas",SUMIFS('Forbrug af biomasse'!$E$2:$E$425,'Forbrug af biomasse'!$C$2:$C$425,'Resultat-Produktion &amp; forbrug'!$A185,'Forbrug af biomasse'!$D$2:$D$425,'Resultat-Produktion &amp; forbrug'!$E185,'Forbrug af biomasse'!$A$2:$A$425,'Resultat-Produktion &amp; forbrug'!M$3,'Forbrug af biomasse'!$B$2:$B$425,$F185),G185)</f>
        <v>32042.520829377954</v>
      </c>
      <c r="N185" s="94">
        <f>SUMIFS('Forbrug af biomasse'!E:E,'Forbrug af biomasse'!C:C,'Resultat-Produktion &amp; forbrug'!$A185,'Forbrug af biomasse'!D:D,'Resultat-Produktion &amp; forbrug'!$E185,'Forbrug af biomasse'!G:G,1,'Forbrug af biomasse'!B:B,$F185)</f>
        <v>29577.711534810416</v>
      </c>
      <c r="O185" s="179">
        <f t="shared" si="53"/>
        <v>0</v>
      </c>
      <c r="P185" s="94">
        <f t="shared" si="43"/>
        <v>0</v>
      </c>
      <c r="Q185" s="180">
        <f t="shared" si="54"/>
        <v>32042.520829377954</v>
      </c>
      <c r="R185">
        <f>IFERROR(VLOOKUP(A185,[1]Energiindhold!$A$2:$C$11,3,FALSE),IFERROR(VLOOKUP(A185,[1]Biogasudbytte!$A$2:$B$18,2,FALSE)*[1]Energiindhold!$C$10,0))*P185</f>
        <v>0</v>
      </c>
      <c r="S185">
        <f>IF(A185&lt;&gt;"Biogas",IFERROR(VLOOKUP(A185,[1]Biogasudbytte!$A$2:$B$18,2,FALSE)*[1]Energiindhold!$C$10,0)*K185*IFERROR(VLOOKUP(A185,Biogasanlæg!$F$3:$G$8,2,FALSE),1)+IFERROR(VLOOKUP(A185,[1]Energiindhold!$A$2:$C$11,3,FALSE),0)*M185+IF(E185&lt;&gt;År1,R185,0),0)</f>
        <v>1.1214882290282282</v>
      </c>
      <c r="T185">
        <f>IFERROR(VLOOKUP(A185,[1]Biogasudbytte!$A$2:$B$18,2,FALSE)*[1]Energiindhold!$C$10,0)*K185*IFERROR(VLOOKUP(A185,Biogasanlæg!$F$3:$G$8,2,FALSE),1)</f>
        <v>0</v>
      </c>
      <c r="U185" s="170">
        <f t="shared" si="55"/>
        <v>1.1214882290282282</v>
      </c>
      <c r="V185" s="169">
        <f>P185*IFERROR(VLOOKUP(A185,[1]Tørstofindhold!A$2:B$24,2,FALSE),0)</f>
        <v>0</v>
      </c>
      <c r="W185">
        <f>IF(E185=År1,Q185,SUM(P185,Q185))*IFERROR(VLOOKUP(A185,[1]Tørstofindhold!A$2:B$24,2,FALSE),0)</f>
        <v>0</v>
      </c>
      <c r="X185">
        <f>K185*IFERROR(VLOOKUP(A185,[1]Tørstofindhold!A$2:B$24,2,FALSE),0)</f>
        <v>0</v>
      </c>
      <c r="Y185" s="170">
        <f t="shared" si="56"/>
        <v>0</v>
      </c>
      <c r="Z185">
        <f t="shared" si="47"/>
        <v>0</v>
      </c>
      <c r="AA185">
        <f t="shared" si="48"/>
        <v>0</v>
      </c>
      <c r="AB185" s="94">
        <f t="shared" si="49"/>
        <v>61620.23236418837</v>
      </c>
      <c r="AC185">
        <f>AB185*D185*10000*VLOOKUP(A185,[1]kcal!$A$2:$C$49,3,FALSE)/1000000000000</f>
        <v>0.55458209127769531</v>
      </c>
    </row>
    <row r="186" spans="1:29" x14ac:dyDescent="0.25">
      <c r="A186" t="s">
        <v>52</v>
      </c>
      <c r="B186" s="171" t="s">
        <v>224</v>
      </c>
      <c r="C186" s="171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1</v>
      </c>
      <c r="D186" s="171">
        <f t="shared" si="61"/>
        <v>1</v>
      </c>
      <c r="E186" s="171">
        <f t="shared" si="52"/>
        <v>2019</v>
      </c>
      <c r="F186" t="s">
        <v>24</v>
      </c>
      <c r="G186" s="94">
        <f>IF(F186="Vestdanmark",SUMIFS(IF(E186=År1,'Resultater - Vestdanmark'!H$3:H$504,IF(E186=År2,'Resultater - Vestdanmark'!I$3:I$504,'Resultater - Vestdanmark'!J$3:J$504)),'Resultater - Vestdanmark'!$F$3:$F$504,$A186,IF(E186=År1,'Resultater - Vestdanmark'!H$3:H$504,IF(E186=År2,'Resultater - Vestdanmark'!I$3:I$504,'Resultater - Vestdanmark'!J$3:J$504)),"&gt;0"),SUMIFS(IF(E186=År1,'Resultater - Østdanmark'!H$3:H$504,IF(E186=År2,'Resultater - Østdanmark'!I$3:I$504,'Resultater - Østdanmark'!J$3:J$504)),'Resultater - Østdanmark'!$F$3:$F$504,$A186,IF(E186=År1,'Resultater - Østdanmark'!H$3:H$504,IF(E186=År2,'Resultater - Østdanmark'!I$3:I$504,'Resultater - Østdanmark'!J$3:J$504)),"&gt;0"))</f>
        <v>2233316.4654569654</v>
      </c>
      <c r="H186" s="94">
        <f ca="1">SUMIFS('Forbrug af biomasse'!$E$2:$E$425,'Forbrug af biomasse'!$C$2:$C$425,'Resultat-Produktion &amp; forbrug'!$A186,'Forbrug af biomasse'!$D$2:$D$425,'Resultat-Produktion &amp; forbrug'!$E186,'Forbrug af biomasse'!$A$2:$A$425,'Resultat-Produktion &amp; forbrug'!H$3,'Forbrug af biomasse'!$B$2:$B$425,$F186)</f>
        <v>103245.87683002709</v>
      </c>
      <c r="I186">
        <f>IF(F186="Vestdanmark",-IF(A186="Halm",SUMIFS(IF(E186=År1,'Resultater - Vestdanmark'!H$3:H$504,IF(E186=År2,'Resultater - Vestdanmark'!I$3:I$504,'Resultater - Vestdanmark'!J$3:J$504)),'Resultater - Vestdanmark'!$F$3:$F$504,$A186,'Resultater - Vestdanmark'!H$3:H$504,"&lt;0"),0),-IF(A186="Halm",SUMIFS(IF(E186=År1,'Resultater - Østdanmark'!H$3:H$504,IF(E186=År2,'Resultater - Østdanmark'!I$3:I$504,'Resultater - Østdanmark'!J$3:J$504)),'Resultater - Østdanmark'!$F$3:$F$504,$A186,'Resultater - Østdanmark'!H$3:H$504,"&lt;0"),0))</f>
        <v>0</v>
      </c>
      <c r="J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forbrug'!J$3,'Forbrug af biomasse'!$B$2:$B$425,$F186)</f>
        <v>0</v>
      </c>
      <c r="K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forbrug'!K$3,'Forbrug af biomasse'!$B$2:$B$425,$F186)</f>
        <v>24503.032029712213</v>
      </c>
      <c r="L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forbrug'!L$3,'Forbrug af biomasse'!$B$2:$B$425,$F186)</f>
        <v>0</v>
      </c>
      <c r="M186" s="94">
        <f>IF(A186&lt;&gt;"Biogas",SUMIFS('Forbrug af biomasse'!$E$2:$E$425,'Forbrug af biomasse'!$C$2:$C$425,'Resultat-Produktion &amp; forbrug'!$A186,'Forbrug af biomasse'!$D$2:$D$425,'Resultat-Produktion &amp; forbrug'!$E186,'Forbrug af biomasse'!$A$2:$A$425,'Resultat-Produktion &amp; forbrug'!M$3,'Forbrug af biomasse'!$B$2:$B$425,$F186),G186)</f>
        <v>0</v>
      </c>
      <c r="N186" s="94">
        <f>SUMIFS('Forbrug af biomasse'!E:E,'Forbrug af biomasse'!C:C,'Resultat-Produktion &amp; forbrug'!$A186,'Forbrug af biomasse'!D:D,'Resultat-Produktion &amp; forbrug'!$E186,'Forbrug af biomasse'!G:G,1,'Forbrug af biomasse'!B:B,$F186)</f>
        <v>0</v>
      </c>
      <c r="O186" s="179">
        <f t="shared" ca="1" si="53"/>
        <v>2105567.5565972263</v>
      </c>
      <c r="P186" s="94">
        <f t="shared" ca="1" si="43"/>
        <v>1637775.5474174484</v>
      </c>
      <c r="Q186" s="180">
        <f t="shared" si="54"/>
        <v>24503.032029712213</v>
      </c>
      <c r="R186">
        <f ca="1">IFERROR(VLOOKUP(A186,[1]Energiindhold!$A$2:$C$11,3,FALSE),IFERROR(VLOOKUP(A186,[1]Biogasudbytte!$A$2:$B$18,2,FALSE)*[1]Energiindhold!$C$10,0))*P186</f>
        <v>4.4449883467128517</v>
      </c>
      <c r="S186">
        <f>IF(A186&lt;&gt;"Biogas",IFERROR(VLOOKUP(A186,[1]Biogasudbytte!$A$2:$B$18,2,FALSE)*[1]Energiindhold!$C$10,0)*K186*IFERROR(VLOOKUP(A186,Biogasanlæg!$F$3:$G$8,2,FALSE),1)+IFERROR(VLOOKUP(A186,[1]Energiindhold!$A$2:$C$11,3,FALSE),0)*M186+IF(E186&lt;&gt;År1,R186,0),0)</f>
        <v>6.650220904992013E-2</v>
      </c>
      <c r="T186">
        <f>IFERROR(VLOOKUP(A186,[1]Biogasudbytte!$A$2:$B$18,2,FALSE)*[1]Energiindhold!$C$10,0)*K186*IFERROR(VLOOKUP(A186,Biogasanlæg!$F$3:$G$8,2,FALSE),1)</f>
        <v>6.650220904992013E-2</v>
      </c>
      <c r="U186" s="170">
        <f t="shared" si="55"/>
        <v>0</v>
      </c>
      <c r="V186" s="169">
        <f ca="1">P186*IFERROR(VLOOKUP(A186,[1]Tørstofindhold!A$2:B$24,2,FALSE),0)</f>
        <v>327555.10948348971</v>
      </c>
      <c r="W186">
        <f>IF(E186=År1,Q186,SUM(P186,Q186))*IFERROR(VLOOKUP(A186,[1]Tørstofindhold!A$2:B$24,2,FALSE),0)</f>
        <v>4900.6064059424425</v>
      </c>
      <c r="X186">
        <f>K186*IFERROR(VLOOKUP(A186,[1]Tørstofindhold!A$2:B$24,2,FALSE),0)</f>
        <v>4900.6064059424425</v>
      </c>
      <c r="Y186" s="170">
        <f t="shared" si="56"/>
        <v>0</v>
      </c>
      <c r="Z186">
        <f t="shared" ca="1" si="47"/>
        <v>0</v>
      </c>
      <c r="AA186">
        <f t="shared" ca="1" si="48"/>
        <v>1</v>
      </c>
      <c r="AB186" s="94">
        <f t="shared" ca="1" si="49"/>
        <v>2105567.5565972263</v>
      </c>
      <c r="AC186">
        <f ca="1">AB186*D186*10000*VLOOKUP(A186,[1]kcal!$A$2:$C$49,3,FALSE)/1000000000000</f>
        <v>0.63167026697916784</v>
      </c>
    </row>
    <row r="187" spans="1:29" x14ac:dyDescent="0.25">
      <c r="A187" t="s">
        <v>121</v>
      </c>
      <c r="B187" s="171"/>
      <c r="C187" s="171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71">
        <f t="shared" si="61"/>
        <v>0</v>
      </c>
      <c r="E187" s="171">
        <f t="shared" si="52"/>
        <v>2019</v>
      </c>
      <c r="F187" t="s">
        <v>24</v>
      </c>
      <c r="G187" s="94">
        <f ca="1">IF(F187="Vestdanmark",SUMIFS(IF(E187=År1,'Resultater - Vestdanmark'!H$3:H$504,IF(E187=År2,'Resultater - Vestdanmark'!I$3:I$504,'Resultater - Vestdanmark'!J$3:J$504)),'Resultater - Vestdanmark'!$F$3:$F$504,$A187,IF(E187=År1,'Resultater - Vestdanmark'!H$3:H$504,IF(E187=År2,'Resultater - Vestdanmark'!I$3:I$504,'Resultater - Vestdanmark'!J$3:J$504)),"&gt;0"),SUMIFS(IF(E187=År1,'Resultater - Østdanmark'!H$3:H$504,IF(E187=År2,'Resultater - Østdanmark'!I$3:I$504,'Resultater - Østdanmark'!J$3:J$504)),'Resultater - Østdanmark'!$F$3:$F$504,$A187,IF(E187=År1,'Resultater - Østdanmark'!H$3:H$504,IF(E187=År2,'Resultater - Østdanmark'!I$3:I$504,'Resultater - Østdanmark'!J$3:J$504)),"&gt;0"))</f>
        <v>23179.475218292017</v>
      </c>
      <c r="H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forbrug'!H$3,'Forbrug af biomasse'!$B$2:$B$425,$F187)</f>
        <v>0</v>
      </c>
      <c r="I187">
        <f>IF(F187="Vestdanmark",-IF(A187="Halm",SUMIFS(IF(E187=År1,'Resultater - Vestdanmark'!H$3:H$504,IF(E187=År2,'Resultater - Vestdanmark'!I$3:I$504,'Resultater - Vestdanmark'!J$3:J$504)),'Resultater - Vestdanmark'!$F$3:$F$504,$A187,'Resultater - Vestdanmark'!H$3:H$504,"&lt;0"),0),-IF(A187="Halm",SUMIFS(IF(E187=År1,'Resultater - Østdanmark'!H$3:H$504,IF(E187=År2,'Resultater - Østdanmark'!I$3:I$504,'Resultater - Østdanmark'!J$3:J$504)),'Resultater - Østdanmark'!$F$3:$F$504,$A187,'Resultater - Østdanmark'!H$3:H$504,"&lt;0"),0))</f>
        <v>0</v>
      </c>
      <c r="J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forbrug'!J$3,'Forbrug af biomasse'!$B$2:$B$425,$F187)</f>
        <v>0</v>
      </c>
      <c r="K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forbrug'!K$3,'Forbrug af biomasse'!$B$2:$B$425,$F187)</f>
        <v>0</v>
      </c>
      <c r="L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forbrug'!L$3,'Forbrug af biomasse'!$B$2:$B$425,$F187)</f>
        <v>0</v>
      </c>
      <c r="M187" s="94">
        <f>IF(A187&lt;&gt;"Biogas",SUMIFS('Forbrug af biomasse'!$E$2:$E$425,'Forbrug af biomasse'!$C$2:$C$425,'Resultat-Produktion &amp; forbrug'!$A187,'Forbrug af biomasse'!$D$2:$D$425,'Resultat-Produktion &amp; forbrug'!$E187,'Forbrug af biomasse'!$A$2:$A$425,'Resultat-Produktion &amp; forbrug'!M$3,'Forbrug af biomasse'!$B$2:$B$425,$F187),G187)</f>
        <v>0</v>
      </c>
      <c r="N187" s="94">
        <f>SUMIFS('Forbrug af biomasse'!E:E,'Forbrug af biomasse'!C:C,'Resultat-Produktion &amp; forbrug'!$A187,'Forbrug af biomasse'!D:D,'Resultat-Produktion &amp; forbrug'!$E187,'Forbrug af biomasse'!G:G,1,'Forbrug af biomasse'!B:B,$F187)</f>
        <v>0</v>
      </c>
      <c r="O187" s="179">
        <f t="shared" ca="1" si="53"/>
        <v>23179.475218292017</v>
      </c>
      <c r="P187" s="94">
        <f t="shared" si="43"/>
        <v>0</v>
      </c>
      <c r="Q187" s="180">
        <f t="shared" si="54"/>
        <v>0</v>
      </c>
      <c r="R187">
        <f>IFERROR(VLOOKUP(A187,[1]Energiindhold!$A$2:$C$11,3,FALSE),IFERROR(VLOOKUP(A187,[1]Biogasudbytte!$A$2:$B$18,2,FALSE)*[1]Energiindhold!$C$10,0))*P187</f>
        <v>0</v>
      </c>
      <c r="S187">
        <f>IF(A187&lt;&gt;"Biogas",IFERROR(VLOOKUP(A187,[1]Biogasudbytte!$A$2:$B$18,2,FALSE)*[1]Energiindhold!$C$10,0)*K187*IFERROR(VLOOKUP(A187,Biogasanlæg!$F$3:$G$8,2,FALSE),1)+IFERROR(VLOOKUP(A187,[1]Energiindhold!$A$2:$C$11,3,FALSE),0)*M187+IF(E187&lt;&gt;År1,R187,0),0)</f>
        <v>0</v>
      </c>
      <c r="T187">
        <f>IFERROR(VLOOKUP(A187,[1]Biogasudbytte!$A$2:$B$18,2,FALSE)*[1]Energiindhold!$C$10,0)*K187*IFERROR(VLOOKUP(A187,Biogasanlæg!$F$3:$G$8,2,FALSE),1)</f>
        <v>0</v>
      </c>
      <c r="U187" s="170">
        <f t="shared" si="55"/>
        <v>0</v>
      </c>
      <c r="V187" s="169">
        <f>P187*IFERROR(VLOOKUP(A187,[1]Tørstofindhold!A$2:B$24,2,FALSE),0)</f>
        <v>0</v>
      </c>
      <c r="W187">
        <f>IF(E187=År1,Q187,SUM(P187,Q187))*IFERROR(VLOOKUP(A187,[1]Tørstofindhold!A$2:B$24,2,FALSE),0)</f>
        <v>0</v>
      </c>
      <c r="X187">
        <f>K187*IFERROR(VLOOKUP(A187,[1]Tørstofindhold!A$2:B$24,2,FALSE),0)</f>
        <v>0</v>
      </c>
      <c r="Y187" s="170">
        <f t="shared" si="56"/>
        <v>0</v>
      </c>
      <c r="Z187">
        <f t="shared" ca="1" si="47"/>
        <v>0</v>
      </c>
      <c r="AA187">
        <f t="shared" ca="1" si="48"/>
        <v>1</v>
      </c>
      <c r="AB187" s="94">
        <f t="shared" ca="1" si="49"/>
        <v>23179.475218292017</v>
      </c>
      <c r="AC187">
        <f ca="1">AB187*D187*10000*VLOOKUP(A187,[1]kcal!$A$2:$C$49,3,FALSE)/1000000000000</f>
        <v>0</v>
      </c>
    </row>
    <row r="188" spans="1:29" x14ac:dyDescent="0.25">
      <c r="A188" t="s">
        <v>107</v>
      </c>
      <c r="B188" s="171"/>
      <c r="C188" s="171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0</v>
      </c>
      <c r="D188" s="171">
        <f t="shared" si="61"/>
        <v>0</v>
      </c>
      <c r="E188" s="171">
        <f t="shared" si="52"/>
        <v>2019</v>
      </c>
      <c r="F188" t="s">
        <v>24</v>
      </c>
      <c r="G188" s="94">
        <f ca="1">IF(F188="Vestdanmark",SUMIFS(IF(E188=År1,'Resultater - Vestdanmark'!H$3:H$504,IF(E188=År2,'Resultater - Vestdanmark'!I$3:I$504,'Resultater - Vestdanmark'!J$3:J$504)),'Resultater - Vestdanmark'!$F$3:$F$504,$A188,IF(E188=År1,'Resultater - Vestdanmark'!H$3:H$504,IF(E188=År2,'Resultater - Vestdanmark'!I$3:I$504,'Resultater - Vestdanmark'!J$3:J$504)),"&gt;0"),SUMIFS(IF(E188=År1,'Resultater - Østdanmark'!H$3:H$504,IF(E188=År2,'Resultater - Østdanmark'!I$3:I$504,'Resultater - Østdanmark'!J$3:J$504)),'Resultater - Østdanmark'!$F$3:$F$504,$A188,IF(E188=År1,'Resultater - Østdanmark'!H$3:H$504,IF(E188=År2,'Resultater - Østdanmark'!I$3:I$504,'Resultater - Østdanmark'!J$3:J$504)),"&gt;0"))</f>
        <v>18923.903166389329</v>
      </c>
      <c r="H188" s="94">
        <f ca="1">SUMIFS('Forbrug af biomasse'!$E$2:$E$425,'Forbrug af biomasse'!$C$2:$C$425,'Resultat-Produktion &amp; forbrug'!$A188,'Forbrug af biomasse'!$D$2:$D$425,'Resultat-Produktion &amp; forbrug'!$E188,'Forbrug af biomasse'!$A$2:$A$425,'Resultat-Produktion &amp; forbrug'!H$3,'Forbrug af biomasse'!$B$2:$B$425,$F188)</f>
        <v>4837.9324606189475</v>
      </c>
      <c r="I188">
        <f>IF(F188="Vestdanmark",-IF(A188="Halm",SUMIFS(IF(E188=År1,'Resultater - Vestdanmark'!H$3:H$504,IF(E188=År2,'Resultater - Vestdanmark'!I$3:I$504,'Resultater - Vestdanmark'!J$3:J$504)),'Resultater - Vestdanmark'!$F$3:$F$504,$A188,'Resultater - Vestdanmark'!H$3:H$504,"&lt;0"),0),-IF(A188="Halm",SUMIFS(IF(E188=År1,'Resultater - Østdanmark'!H$3:H$504,IF(E188=År2,'Resultater - Østdanmark'!I$3:I$504,'Resultater - Østdanmark'!J$3:J$504)),'Resultater - Østdanmark'!$F$3:$F$504,$A188,'Resultater - Østdanmark'!H$3:H$504,"&lt;0"),0))</f>
        <v>0</v>
      </c>
      <c r="J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forbrug'!J$3,'Forbrug af biomasse'!$B$2:$B$425,$F188)</f>
        <v>0</v>
      </c>
      <c r="K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forbrug'!K$3,'Forbrug af biomasse'!$B$2:$B$425,$F188)</f>
        <v>0</v>
      </c>
      <c r="L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forbrug'!L$3,'Forbrug af biomasse'!$B$2:$B$425,$F188)</f>
        <v>0</v>
      </c>
      <c r="M188" s="94">
        <f>IF(A188&lt;&gt;"Biogas",SUMIFS('Forbrug af biomasse'!$E$2:$E$425,'Forbrug af biomasse'!$C$2:$C$425,'Resultat-Produktion &amp; forbrug'!$A188,'Forbrug af biomasse'!$D$2:$D$425,'Resultat-Produktion &amp; forbrug'!$E188,'Forbrug af biomasse'!$A$2:$A$425,'Resultat-Produktion &amp; forbrug'!M$3,'Forbrug af biomasse'!$B$2:$B$425,$F188),G188)</f>
        <v>0</v>
      </c>
      <c r="N188" s="94">
        <f>SUMIFS('Forbrug af biomasse'!E:E,'Forbrug af biomasse'!C:C,'Resultat-Produktion &amp; forbrug'!$A188,'Forbrug af biomasse'!D:D,'Resultat-Produktion &amp; forbrug'!$E188,'Forbrug af biomasse'!G:G,1,'Forbrug af biomasse'!B:B,$F188)</f>
        <v>0</v>
      </c>
      <c r="O188" s="179">
        <f t="shared" ca="1" si="53"/>
        <v>14085.970705770382</v>
      </c>
      <c r="P188" s="94">
        <f t="shared" si="43"/>
        <v>0</v>
      </c>
      <c r="Q188" s="180">
        <f t="shared" si="54"/>
        <v>0</v>
      </c>
      <c r="R188">
        <f>IFERROR(VLOOKUP(A188,[1]Energiindhold!$A$2:$C$11,3,FALSE),IFERROR(VLOOKUP(A188,[1]Biogasudbytte!$A$2:$B$18,2,FALSE)*[1]Energiindhold!$C$10,0))*P188</f>
        <v>0</v>
      </c>
      <c r="S188">
        <f>IF(A188&lt;&gt;"Biogas",IFERROR(VLOOKUP(A188,[1]Biogasudbytte!$A$2:$B$18,2,FALSE)*[1]Energiindhold!$C$10,0)*K188*IFERROR(VLOOKUP(A188,Biogasanlæg!$F$3:$G$8,2,FALSE),1)+IFERROR(VLOOKUP(A188,[1]Energiindhold!$A$2:$C$11,3,FALSE),0)*M188+IF(E188&lt;&gt;År1,R188,0),0)</f>
        <v>0</v>
      </c>
      <c r="T188">
        <f>IFERROR(VLOOKUP(A188,[1]Biogasudbytte!$A$2:$B$18,2,FALSE)*[1]Energiindhold!$C$10,0)*K188*IFERROR(VLOOKUP(A188,Biogasanlæg!$F$3:$G$8,2,FALSE),1)</f>
        <v>0</v>
      </c>
      <c r="U188" s="170">
        <f t="shared" si="55"/>
        <v>0</v>
      </c>
      <c r="V188" s="169">
        <f>P188*IFERROR(VLOOKUP(A188,[1]Tørstofindhold!A$2:B$24,2,FALSE),0)</f>
        <v>0</v>
      </c>
      <c r="W188">
        <f>IF(E188=År1,Q188,SUM(P188,Q188))*IFERROR(VLOOKUP(A188,[1]Tørstofindhold!A$2:B$24,2,FALSE),0)</f>
        <v>0</v>
      </c>
      <c r="X188">
        <f>K188*IFERROR(VLOOKUP(A188,[1]Tørstofindhold!A$2:B$24,2,FALSE),0)</f>
        <v>0</v>
      </c>
      <c r="Y188" s="170">
        <f t="shared" si="56"/>
        <v>0</v>
      </c>
      <c r="Z188">
        <f t="shared" ca="1" si="47"/>
        <v>0</v>
      </c>
      <c r="AA188">
        <f t="shared" ca="1" si="48"/>
        <v>1</v>
      </c>
      <c r="AB188" s="94">
        <f t="shared" ca="1" si="49"/>
        <v>14085.970705770382</v>
      </c>
      <c r="AC188">
        <f ca="1">AB188*D188*10000*VLOOKUP(A188,[1]kcal!$A$2:$C$49,3,FALSE)/1000000000000</f>
        <v>0</v>
      </c>
    </row>
    <row r="189" spans="1:29" x14ac:dyDescent="0.25">
      <c r="A189" s="171" t="s">
        <v>140</v>
      </c>
      <c r="B189" s="171" t="s">
        <v>230</v>
      </c>
      <c r="C189" s="171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71">
        <f t="shared" si="61"/>
        <v>0</v>
      </c>
      <c r="E189" s="171">
        <f t="shared" si="52"/>
        <v>2019</v>
      </c>
      <c r="F189" t="s">
        <v>24</v>
      </c>
      <c r="G189" s="94">
        <f ca="1">IF(F189="Vestdanmark",SUMIFS(IF(E189=År1,'Resultater - Vestdanmark'!H$3:H$504,IF(E189=År2,'Resultater - Vestdanmark'!I$3:I$504,'Resultater - Vestdanmark'!J$3:J$504)),'Resultater - Vestdanmark'!$F$3:$F$504,$A189,IF(E189=År1,'Resultater - Vestdanmark'!H$3:H$504,IF(E189=År2,'Resultater - Vestdanmark'!I$3:I$504,'Resultater - Vestdanmark'!J$3:J$504)),"&gt;0"),SUMIFS(IF(E189=År1,'Resultater - Østdanmark'!H$3:H$504,IF(E189=År2,'Resultater - Østdanmark'!I$3:I$504,'Resultater - Østdanmark'!J$3:J$504)),'Resultater - Østdanmark'!$F$3:$F$504,$A189,IF(E189=År1,'Resultater - Østdanmark'!H$3:H$504,IF(E189=År2,'Resultater - Østdanmark'!I$3:I$504,'Resultater - Østdanmark'!J$3:J$504)),"&gt;0"))</f>
        <v>3186961.3614372411</v>
      </c>
      <c r="H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forbrug'!H$3,'Forbrug af biomasse'!$B$2:$B$425,$F189)</f>
        <v>0</v>
      </c>
      <c r="I189">
        <f>IF(F189="Vestdanmark",-IF(A189="Halm",SUMIFS(IF(E189=År1,'Resultater - Vestdanmark'!H$3:H$504,IF(E189=År2,'Resultater - Vestdanmark'!I$3:I$504,'Resultater - Vestdanmark'!J$3:J$504)),'Resultater - Vestdanmark'!$F$3:$F$504,$A189,'Resultater - Vestdanmark'!H$3:H$504,"&lt;0"),0),-IF(A189="Halm",SUMIFS(IF(E189=År1,'Resultater - Østdanmark'!H$3:H$504,IF(E189=År2,'Resultater - Østdanmark'!I$3:I$504,'Resultater - Østdanmark'!J$3:J$504)),'Resultater - Østdanmark'!$F$3:$F$504,$A189,'Resultater - Østdanmark'!H$3:H$504,"&lt;0"),0))</f>
        <v>0</v>
      </c>
      <c r="J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forbrug'!J$3,'Forbrug af biomasse'!$B$2:$B$425,$F189)</f>
        <v>0</v>
      </c>
      <c r="K189" s="94">
        <f ca="1">SUMIFS('Forbrug af biomasse'!$E$2:$E$425,'Forbrug af biomasse'!$C$2:$C$425,'Resultat-Produktion &amp; forbrug'!$A189,'Forbrug af biomasse'!$D$2:$D$425,'Resultat-Produktion &amp; forbrug'!$E189,'Forbrug af biomasse'!$A$2:$A$425,'Resultat-Produktion &amp; forbrug'!K$3,'Forbrug af biomasse'!$B$2:$B$425,$F189)</f>
        <v>1208651.4125341829</v>
      </c>
      <c r="L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forbrug'!L$3,'Forbrug af biomasse'!$B$2:$B$425,$F189)</f>
        <v>0</v>
      </c>
      <c r="M189" s="94">
        <f>IF(A189&lt;&gt;"Biogas",SUMIFS('Forbrug af biomasse'!$E$2:$E$425,'Forbrug af biomasse'!$C$2:$C$425,'Resultat-Produktion &amp; forbrug'!$A189,'Forbrug af biomasse'!$D$2:$D$425,'Resultat-Produktion &amp; forbrug'!$E189,'Forbrug af biomasse'!$A$2:$A$425,'Resultat-Produktion &amp; forbrug'!M$3,'Forbrug af biomasse'!$B$2:$B$425,$F189),G189)</f>
        <v>0</v>
      </c>
      <c r="N189" s="94">
        <f>SUMIFS('Forbrug af biomasse'!E:E,'Forbrug af biomasse'!C:C,'Resultat-Produktion &amp; forbrug'!$A189,'Forbrug af biomasse'!D:D,'Resultat-Produktion &amp; forbrug'!$E189,'Forbrug af biomasse'!G:G,1,'Forbrug af biomasse'!B:B,$F189)</f>
        <v>0</v>
      </c>
      <c r="O189" s="179">
        <f t="shared" ca="1" si="53"/>
        <v>1978309.9489030582</v>
      </c>
      <c r="P189" s="94">
        <f t="shared" ca="1" si="43"/>
        <v>1978309.9489030582</v>
      </c>
      <c r="Q189" s="180">
        <f t="shared" ca="1" si="54"/>
        <v>1208651.4125341829</v>
      </c>
      <c r="R189">
        <f ca="1">IFERROR(VLOOKUP(A189,[1]Energiindhold!$A$2:$C$11,3,FALSE),IFERROR(VLOOKUP(A189,[1]Biogasudbytte!$A$2:$B$18,2,FALSE)*[1]Energiindhold!$C$10,0))*P189</f>
        <v>0.98719644760211522</v>
      </c>
      <c r="S189">
        <f ca="1">IF(A189&lt;&gt;"Biogas",IFERROR(VLOOKUP(A189,[1]Biogasudbytte!$A$2:$B$18,2,FALSE)*[1]Energiindhold!$C$10,0)*K189*IFERROR(VLOOKUP(A189,Biogasanlæg!$F$3:$G$8,2,FALSE),1)+IFERROR(VLOOKUP(A189,[1]Energiindhold!$A$2:$C$11,3,FALSE),0)*M189+IF(E189&lt;&gt;År1,R189,0),0)</f>
        <v>0.60312914136868268</v>
      </c>
      <c r="T189">
        <f ca="1">IFERROR(VLOOKUP(A189,[1]Biogasudbytte!$A$2:$B$18,2,FALSE)*[1]Energiindhold!$C$10,0)*K189*IFERROR(VLOOKUP(A189,Biogasanlæg!$F$3:$G$8,2,FALSE),1)</f>
        <v>0.60312914136868268</v>
      </c>
      <c r="U189" s="170">
        <f t="shared" ca="1" si="55"/>
        <v>0</v>
      </c>
      <c r="V189" s="169">
        <f ca="1">P189*IFERROR(VLOOKUP(A189,[1]Tørstofindhold!A$2:B$24,2,FALSE),0)</f>
        <v>118698.59693418349</v>
      </c>
      <c r="W189">
        <f ca="1">IF(E189=År1,Q189,SUM(P189,Q189))*IFERROR(VLOOKUP(A189,[1]Tørstofindhold!A$2:B$24,2,FALSE),0)</f>
        <v>72519.084752050971</v>
      </c>
      <c r="X189">
        <f ca="1">K189*IFERROR(VLOOKUP(A189,[1]Tørstofindhold!A$2:B$24,2,FALSE),0)</f>
        <v>72519.084752050971</v>
      </c>
      <c r="Y189" s="170">
        <f t="shared" ca="1" si="56"/>
        <v>0</v>
      </c>
      <c r="Z189">
        <f t="shared" ca="1" si="47"/>
        <v>0</v>
      </c>
      <c r="AA189">
        <f t="shared" ca="1" si="48"/>
        <v>1</v>
      </c>
      <c r="AB189" s="94">
        <f t="shared" ca="1" si="49"/>
        <v>1978309.9489030582</v>
      </c>
      <c r="AC189">
        <f ca="1">AB189*D189*10000*VLOOKUP(A189,[1]kcal!$A$2:$C$49,3,FALSE)/1000000000000</f>
        <v>0</v>
      </c>
    </row>
    <row r="190" spans="1:29" x14ac:dyDescent="0.25">
      <c r="A190" s="171" t="s">
        <v>135</v>
      </c>
      <c r="B190" s="171" t="s">
        <v>222</v>
      </c>
      <c r="C190" s="171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1</v>
      </c>
      <c r="D190" s="171">
        <f t="shared" si="61"/>
        <v>0</v>
      </c>
      <c r="E190" s="171">
        <f t="shared" si="52"/>
        <v>2019</v>
      </c>
      <c r="F190" t="s">
        <v>24</v>
      </c>
      <c r="G190" s="94">
        <f>IF(F190="Vestdanmark",SUMIFS(IF(E190=År1,'Resultater - Vestdanmark'!H$3:H$504,IF(E190=År2,'Resultater - Vestdanmark'!I$3:I$504,'Resultater - Vestdanmark'!J$3:J$504)),'Resultater - Vestdanmark'!$F$3:$F$504,$A190,IF(E190=År1,'Resultater - Vestdanmark'!H$3:H$504,IF(E190=År2,'Resultater - Vestdanmark'!I$3:I$504,'Resultater - Vestdanmark'!J$3:J$504)),"&gt;0"),SUMIFS(IF(E190=År1,'Resultater - Østdanmark'!H$3:H$504,IF(E190=År2,'Resultater - Østdanmark'!I$3:I$504,'Resultater - Østdanmark'!J$3:J$504)),'Resultater - Østdanmark'!$F$3:$F$504,$A190,IF(E190=År1,'Resultater - Østdanmark'!H$3:H$504,IF(E190=År2,'Resultater - Østdanmark'!I$3:I$504,'Resultater - Østdanmark'!J$3:J$504)),"&gt;0"))</f>
        <v>2304461.4931079326</v>
      </c>
      <c r="H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forbrug'!H$3,'Forbrug af biomasse'!$B$2:$B$425,$F190)</f>
        <v>0</v>
      </c>
      <c r="I190">
        <f>IF(F190="Vestdanmark",-IF(A190="Halm",SUMIFS(IF(E190=År1,'Resultater - Vestdanmark'!H$3:H$504,IF(E190=År2,'Resultater - Vestdanmark'!I$3:I$504,'Resultater - Vestdanmark'!J$3:J$504)),'Resultater - Vestdanmark'!$F$3:$F$504,$A190,'Resultater - Vestdanmark'!H$3:H$504,"&lt;0"),0),-IF(A190="Halm",SUMIFS(IF(E190=År1,'Resultater - Østdanmark'!H$3:H$504,IF(E190=År2,'Resultater - Østdanmark'!I$3:I$504,'Resultater - Østdanmark'!J$3:J$504)),'Resultater - Østdanmark'!$F$3:$F$504,$A190,'Resultater - Østdanmark'!H$3:H$504,"&lt;0"),0))</f>
        <v>0</v>
      </c>
      <c r="J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forbrug'!J$3,'Forbrug af biomasse'!$B$2:$B$425,$F190)</f>
        <v>0</v>
      </c>
      <c r="K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forbrug'!K$3,'Forbrug af biomasse'!$B$2:$B$425,$F190)</f>
        <v>380427.26035611134</v>
      </c>
      <c r="L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forbrug'!L$3,'Forbrug af biomasse'!$B$2:$B$425,$F190)</f>
        <v>1924034.2327518209</v>
      </c>
      <c r="M190" s="94">
        <f>IF(A190&lt;&gt;"Biogas",SUMIFS('Forbrug af biomasse'!$E$2:$E$425,'Forbrug af biomasse'!$C$2:$C$425,'Resultat-Produktion &amp; forbrug'!$A190,'Forbrug af biomasse'!$D$2:$D$425,'Resultat-Produktion &amp; forbrug'!$E190,'Forbrug af biomasse'!$A$2:$A$425,'Resultat-Produktion &amp; forbrug'!M$3,'Forbrug af biomasse'!$B$2:$B$425,$F190),G190)</f>
        <v>0</v>
      </c>
      <c r="N190" s="94">
        <f>SUMIFS('Forbrug af biomasse'!E:E,'Forbrug af biomasse'!C:C,'Resultat-Produktion &amp; forbrug'!$A190,'Forbrug af biomasse'!D:D,'Resultat-Produktion &amp; forbrug'!$E190,'Forbrug af biomasse'!G:G,1,'Forbrug af biomasse'!B:B,$F190)</f>
        <v>0</v>
      </c>
      <c r="O190" s="179">
        <f t="shared" si="53"/>
        <v>0</v>
      </c>
      <c r="P190" s="94">
        <f t="shared" si="43"/>
        <v>0</v>
      </c>
      <c r="Q190" s="180">
        <f t="shared" si="54"/>
        <v>380427.26035611134</v>
      </c>
      <c r="R190">
        <f>IFERROR(VLOOKUP(A190,[1]Energiindhold!$A$2:$C$11,3,FALSE),IFERROR(VLOOKUP(A190,[1]Biogasudbytte!$A$2:$B$18,2,FALSE)*[1]Energiindhold!$C$10,0))*P190</f>
        <v>0</v>
      </c>
      <c r="S190">
        <f>IF(A190&lt;&gt;"Biogas",IFERROR(VLOOKUP(A190,[1]Biogasudbytte!$A$2:$B$18,2,FALSE)*[1]Energiindhold!$C$10,0)*K190*IFERROR(VLOOKUP(A190,Biogasanlæg!$F$3:$G$8,2,FALSE),1)+IFERROR(VLOOKUP(A190,[1]Energiindhold!$A$2:$C$11,3,FALSE),0)*M190+IF(E190&lt;&gt;År1,R190,0),0)</f>
        <v>0.16388806376141279</v>
      </c>
      <c r="T190">
        <f>IFERROR(VLOOKUP(A190,[1]Biogasudbytte!$A$2:$B$18,2,FALSE)*[1]Energiindhold!$C$10,0)*K190*IFERROR(VLOOKUP(A190,Biogasanlæg!$F$3:$G$8,2,FALSE),1)</f>
        <v>0.16388806376141279</v>
      </c>
      <c r="U190" s="170">
        <f t="shared" si="55"/>
        <v>0</v>
      </c>
      <c r="V190" s="169">
        <f>P190*IFERROR(VLOOKUP(A190,[1]Tørstofindhold!A$2:B$24,2,FALSE),0)</f>
        <v>0</v>
      </c>
      <c r="W190">
        <f>IF(E190=År1,Q190,SUM(P190,Q190))*IFERROR(VLOOKUP(A190,[1]Tørstofindhold!A$2:B$24,2,FALSE),0)</f>
        <v>19021.363017805568</v>
      </c>
      <c r="X190">
        <f>K190*IFERROR(VLOOKUP(A190,[1]Tørstofindhold!A$2:B$24,2,FALSE),0)</f>
        <v>19021.363017805568</v>
      </c>
      <c r="Y190" s="170">
        <f t="shared" si="56"/>
        <v>0</v>
      </c>
      <c r="Z190">
        <f t="shared" si="47"/>
        <v>0</v>
      </c>
      <c r="AA190">
        <f t="shared" si="48"/>
        <v>0</v>
      </c>
      <c r="AB190" s="94">
        <f t="shared" si="49"/>
        <v>0</v>
      </c>
      <c r="AC190">
        <f>AB190*D190*10000*VLOOKUP(A190,[1]kcal!$A$2:$C$49,3,FALSE)/1000000000000</f>
        <v>0</v>
      </c>
    </row>
    <row r="191" spans="1:29" x14ac:dyDescent="0.25">
      <c r="A191" s="171" t="s">
        <v>13</v>
      </c>
      <c r="B191" s="171"/>
      <c r="C191" s="171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0</v>
      </c>
      <c r="D191" s="171">
        <f t="shared" si="61"/>
        <v>1</v>
      </c>
      <c r="E191" s="171">
        <f t="shared" si="52"/>
        <v>2019</v>
      </c>
      <c r="F191" t="s">
        <v>24</v>
      </c>
      <c r="G191" s="94">
        <f>IF(F191="Vestdanmark",SUMIFS(IF(E191=År1,'Resultater - Vestdanmark'!H$3:H$504,IF(E191=År2,'Resultater - Vestdanmark'!I$3:I$504,'Resultater - Vestdanmark'!J$3:J$504)),'Resultater - Vestdanmark'!$F$3:$F$504,$A191,IF(E191=År1,'Resultater - Vestdanmark'!H$3:H$504,IF(E191=År2,'Resultater - Vestdanmark'!I$3:I$504,'Resultater - Vestdanmark'!J$3:J$504)),"&gt;0"),SUMIFS(IF(E191=År1,'Resultater - Østdanmark'!H$3:H$504,IF(E191=År2,'Resultater - Østdanmark'!I$3:I$504,'Resultater - Østdanmark'!J$3:J$504)),'Resultater - Østdanmark'!$F$3:$F$504,$A191,IF(E191=År1,'Resultater - Østdanmark'!H$3:H$504,IF(E191=År2,'Resultater - Østdanmark'!I$3:I$504,'Resultater - Østdanmark'!J$3:J$504)),"&gt;0"))</f>
        <v>206750.71206041813</v>
      </c>
      <c r="H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forbrug'!H$3,'Forbrug af biomasse'!$B$2:$B$425,$F191)</f>
        <v>0</v>
      </c>
      <c r="I191">
        <f>IF(F191="Vestdanmark",-IF(A191="Halm",SUMIFS(IF(E191=År1,'Resultater - Vestdanmark'!H$3:H$504,IF(E191=År2,'Resultater - Vestdanmark'!I$3:I$504,'Resultater - Vestdanmark'!J$3:J$504)),'Resultater - Vestdanmark'!$F$3:$F$504,$A191,'Resultater - Vestdanmark'!H$3:H$504,"&lt;0"),0),-IF(A191="Halm",SUMIFS(IF(E191=År1,'Resultater - Østdanmark'!H$3:H$504,IF(E191=År2,'Resultater - Østdanmark'!I$3:I$504,'Resultater - Østdanmark'!J$3:J$504)),'Resultater - Østdanmark'!$F$3:$F$504,$A191,'Resultater - Østdanmark'!H$3:H$504,"&lt;0"),0))</f>
        <v>0</v>
      </c>
      <c r="J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forbrug'!J$3,'Forbrug af biomasse'!$B$2:$B$425,$F191)</f>
        <v>100555.62853170674</v>
      </c>
      <c r="K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forbrug'!K$3,'Forbrug af biomasse'!$B$2:$B$425,$F191)</f>
        <v>0</v>
      </c>
      <c r="L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forbrug'!L$3,'Forbrug af biomasse'!$B$2:$B$425,$F191)</f>
        <v>0</v>
      </c>
      <c r="M191" s="94">
        <f>IF(A191&lt;&gt;"Biogas",SUMIFS('Forbrug af biomasse'!$E$2:$E$425,'Forbrug af biomasse'!$C$2:$C$425,'Resultat-Produktion &amp; forbrug'!$A191,'Forbrug af biomasse'!$D$2:$D$425,'Resultat-Produktion &amp; forbrug'!$E191,'Forbrug af biomasse'!$A$2:$A$425,'Resultat-Produktion &amp; forbrug'!M$3,'Forbrug af biomasse'!$B$2:$B$425,$F191),G191)</f>
        <v>0</v>
      </c>
      <c r="N191" s="94">
        <f>SUMIFS('Forbrug af biomasse'!E:E,'Forbrug af biomasse'!C:C,'Resultat-Produktion &amp; forbrug'!$A191,'Forbrug af biomasse'!D:D,'Resultat-Produktion &amp; forbrug'!$E191,'Forbrug af biomasse'!G:G,1,'Forbrug af biomasse'!B:B,$F191)</f>
        <v>0</v>
      </c>
      <c r="O191" s="179">
        <f t="shared" si="53"/>
        <v>106195.08352871139</v>
      </c>
      <c r="P191" s="94">
        <f t="shared" si="43"/>
        <v>0</v>
      </c>
      <c r="Q191" s="180">
        <f t="shared" si="54"/>
        <v>0</v>
      </c>
      <c r="R191">
        <f>IFERROR(VLOOKUP(A191,[1]Energiindhold!$A$2:$C$11,3,FALSE),IFERROR(VLOOKUP(A191,[1]Biogasudbytte!$A$2:$B$18,2,FALSE)*[1]Energiindhold!$C$10,0))*P191</f>
        <v>0</v>
      </c>
      <c r="S191">
        <f>IF(A191&lt;&gt;"Biogas",IFERROR(VLOOKUP(A191,[1]Biogasudbytte!$A$2:$B$18,2,FALSE)*[1]Energiindhold!$C$10,0)*K191*IFERROR(VLOOKUP(A191,Biogasanlæg!$F$3:$G$8,2,FALSE),1)+IFERROR(VLOOKUP(A191,[1]Energiindhold!$A$2:$C$11,3,FALSE),0)*M191+IF(E191&lt;&gt;År1,R191,0),0)</f>
        <v>0</v>
      </c>
      <c r="T191">
        <f>IFERROR(VLOOKUP(A191,[1]Biogasudbytte!$A$2:$B$18,2,FALSE)*[1]Energiindhold!$C$10,0)*K191*IFERROR(VLOOKUP(A191,Biogasanlæg!$F$3:$G$8,2,FALSE),1)</f>
        <v>0</v>
      </c>
      <c r="U191" s="170">
        <f t="shared" si="55"/>
        <v>0</v>
      </c>
      <c r="V191" s="169">
        <f>P191*IFERROR(VLOOKUP(A191,[1]Tørstofindhold!A$2:B$24,2,FALSE),0)</f>
        <v>0</v>
      </c>
      <c r="W191">
        <f>IF(E191=År1,Q191,SUM(P191,Q191))*IFERROR(VLOOKUP(A191,[1]Tørstofindhold!A$2:B$24,2,FALSE),0)</f>
        <v>0</v>
      </c>
      <c r="X191">
        <f>K191*IFERROR(VLOOKUP(A191,[1]Tørstofindhold!A$2:B$24,2,FALSE),0)</f>
        <v>0</v>
      </c>
      <c r="Y191" s="170">
        <f t="shared" si="56"/>
        <v>0</v>
      </c>
      <c r="Z191">
        <f t="shared" si="47"/>
        <v>0</v>
      </c>
      <c r="AA191">
        <f t="shared" si="48"/>
        <v>1</v>
      </c>
      <c r="AB191" s="94">
        <f t="shared" si="49"/>
        <v>206750.71206041813</v>
      </c>
      <c r="AC191">
        <f>AB191*D191*10000*VLOOKUP(A191,[1]kcal!$A$2:$C$49,3,FALSE)/1000000000000</f>
        <v>0.40316388851781537</v>
      </c>
    </row>
    <row r="192" spans="1:29" x14ac:dyDescent="0.25">
      <c r="A192" s="171" t="s">
        <v>99</v>
      </c>
      <c r="B192" s="171" t="s">
        <v>226</v>
      </c>
      <c r="C192" s="171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71">
        <f t="shared" si="61"/>
        <v>1</v>
      </c>
      <c r="E192" s="171">
        <f t="shared" si="52"/>
        <v>2019</v>
      </c>
      <c r="F192" t="s">
        <v>24</v>
      </c>
      <c r="G192" s="94">
        <f>IF(F192="Vestdanmark",SUMIFS(IF(E192=År1,'Resultater - Vestdanmark'!H$3:H$504,IF(E192=År2,'Resultater - Vestdanmark'!I$3:I$504,'Resultater - Vestdanmark'!J$3:J$504)),'Resultater - Vestdanmark'!$F$3:$F$504,$A192,IF(E192=År1,'Resultater - Vestdanmark'!H$3:H$504,IF(E192=År2,'Resultater - Vestdanmark'!I$3:I$504,'Resultater - Vestdanmark'!J$3:J$504)),"&gt;0"),SUMIFS(IF(E192=År1,'Resultater - Østdanmark'!H$3:H$504,IF(E192=År2,'Resultater - Østdanmark'!I$3:I$504,'Resultater - Østdanmark'!J$3:J$504)),'Resultater - Østdanmark'!$F$3:$F$504,$A192,IF(E192=År1,'Resultater - Østdanmark'!H$3:H$504,IF(E192=År2,'Resultater - Østdanmark'!I$3:I$504,'Resultater - Østdanmark'!J$3:J$504)),"&gt;0"))</f>
        <v>0</v>
      </c>
      <c r="H192" s="94">
        <f ca="1">SUMIFS('Forbrug af biomasse'!$E$2:$E$425,'Forbrug af biomasse'!$C$2:$C$425,'Resultat-Produktion &amp; forbrug'!$A192,'Forbrug af biomasse'!$D$2:$D$425,'Resultat-Produktion &amp; forbrug'!$E192,'Forbrug af biomasse'!$A$2:$A$425,'Resultat-Produktion &amp; forbrug'!H$3,'Forbrug af biomasse'!$B$2:$B$425,$F192)</f>
        <v>0</v>
      </c>
      <c r="I192">
        <f>IF(F192="Vestdanmark",-IF(A192="Halm",SUMIFS(IF(E192=År1,'Resultater - Vestdanmark'!H$3:H$504,IF(E192=År2,'Resultater - Vestdanmark'!I$3:I$504,'Resultater - Vestdanmark'!J$3:J$504)),'Resultater - Vestdanmark'!$F$3:$F$504,$A192,'Resultater - Vestdanmark'!H$3:H$504,"&lt;0"),0),-IF(A192="Halm",SUMIFS(IF(E192=År1,'Resultater - Østdanmark'!H$3:H$504,IF(E192=År2,'Resultater - Østdanmark'!I$3:I$504,'Resultater - Østdanmark'!J$3:J$504)),'Resultater - Østdanmark'!$F$3:$F$504,$A192,'Resultater - Østdanmark'!H$3:H$504,"&lt;0"),0))</f>
        <v>0</v>
      </c>
      <c r="J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forbrug'!J$3,'Forbrug af biomasse'!$B$2:$B$425,$F192)</f>
        <v>0</v>
      </c>
      <c r="K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forbrug'!K$3,'Forbrug af biomasse'!$B$2:$B$425,$F192)</f>
        <v>0</v>
      </c>
      <c r="L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forbrug'!L$3,'Forbrug af biomasse'!$B$2:$B$425,$F192)</f>
        <v>0</v>
      </c>
      <c r="M192" s="94">
        <f>IF(A192&lt;&gt;"Biogas",SUMIFS('Forbrug af biomasse'!$E$2:$E$425,'Forbrug af biomasse'!$C$2:$C$425,'Resultat-Produktion &amp; forbrug'!$A192,'Forbrug af biomasse'!$D$2:$D$425,'Resultat-Produktion &amp; forbrug'!$E192,'Forbrug af biomasse'!$A$2:$A$425,'Resultat-Produktion &amp; forbrug'!M$3,'Forbrug af biomasse'!$B$2:$B$425,$F192),G192)</f>
        <v>0</v>
      </c>
      <c r="N192" s="94">
        <f>SUMIFS('Forbrug af biomasse'!E:E,'Forbrug af biomasse'!C:C,'Resultat-Produktion &amp; forbrug'!$A192,'Forbrug af biomasse'!D:D,'Resultat-Produktion &amp; forbrug'!$E192,'Forbrug af biomasse'!G:G,1,'Forbrug af biomasse'!B:B,$F192)</f>
        <v>0</v>
      </c>
      <c r="O192" s="179">
        <f t="shared" ca="1" si="53"/>
        <v>0</v>
      </c>
      <c r="P192" s="94">
        <f t="shared" ca="1" si="43"/>
        <v>0</v>
      </c>
      <c r="Q192" s="180">
        <f t="shared" si="54"/>
        <v>0</v>
      </c>
      <c r="R192">
        <f ca="1">IFERROR(VLOOKUP(A192,[1]Energiindhold!$A$2:$C$11,3,FALSE),IFERROR(VLOOKUP(A192,[1]Biogasudbytte!$A$2:$B$18,2,FALSE)*[1]Energiindhold!$C$10,0))*P192</f>
        <v>0</v>
      </c>
      <c r="S192">
        <f>IF(A192&lt;&gt;"Biogas",IFERROR(VLOOKUP(A192,[1]Biogasudbytte!$A$2:$B$18,2,FALSE)*[1]Energiindhold!$C$10,0)*K192*IFERROR(VLOOKUP(A192,Biogasanlæg!$F$3:$G$8,2,FALSE),1)+IFERROR(VLOOKUP(A192,[1]Energiindhold!$A$2:$C$11,3,FALSE),0)*M192+IF(E192&lt;&gt;År1,R192,0),0)</f>
        <v>0</v>
      </c>
      <c r="T192">
        <f>IFERROR(VLOOKUP(A192,[1]Biogasudbytte!$A$2:$B$18,2,FALSE)*[1]Energiindhold!$C$10,0)*K192*IFERROR(VLOOKUP(A192,Biogasanlæg!$F$3:$G$8,2,FALSE),1)</f>
        <v>0</v>
      </c>
      <c r="U192" s="170">
        <f t="shared" si="55"/>
        <v>0</v>
      </c>
      <c r="V192" s="169">
        <f ca="1">P192*IFERROR(VLOOKUP(A192,[1]Tørstofindhold!A$2:B$24,2,FALSE),0)</f>
        <v>0</v>
      </c>
      <c r="W192">
        <f>IF(E192=År1,Q192,SUM(P192,Q192))*IFERROR(VLOOKUP(A192,[1]Tørstofindhold!A$2:B$24,2,FALSE),0)</f>
        <v>0</v>
      </c>
      <c r="X192">
        <f>K192*IFERROR(VLOOKUP(A192,[1]Tørstofindhold!A$2:B$24,2,FALSE),0)</f>
        <v>0</v>
      </c>
      <c r="Y192" s="170">
        <f t="shared" si="56"/>
        <v>0</v>
      </c>
      <c r="Z192">
        <f t="shared" ca="1" si="47"/>
        <v>0</v>
      </c>
      <c r="AA192">
        <f t="shared" ca="1" si="48"/>
        <v>1</v>
      </c>
      <c r="AB192" s="94">
        <f t="shared" ca="1" si="49"/>
        <v>0</v>
      </c>
      <c r="AC192">
        <f ca="1">AB192*D192*10000*VLOOKUP(A192,[1]kcal!$A$2:$C$49,3,FALSE)/1000000000000</f>
        <v>0</v>
      </c>
    </row>
    <row r="193" spans="1:29" x14ac:dyDescent="0.25">
      <c r="A193" s="171" t="s">
        <v>104</v>
      </c>
      <c r="B193" s="171"/>
      <c r="C193" s="171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71">
        <f t="shared" si="61"/>
        <v>0</v>
      </c>
      <c r="E193" s="171">
        <f t="shared" si="52"/>
        <v>2019</v>
      </c>
      <c r="F193" t="s">
        <v>24</v>
      </c>
      <c r="G193" s="94">
        <f>IF(F193="Vestdanmark",SUMIFS(IF(E193=År1,'Resultater - Vestdanmark'!H$3:H$504,IF(E193=År2,'Resultater - Vestdanmark'!I$3:I$504,'Resultater - Vestdanmark'!J$3:J$504)),'Resultater - Vestdanmark'!$F$3:$F$504,$A193,IF(E193=År1,'Resultater - Vestdanmark'!H$3:H$504,IF(E193=År2,'Resultater - Vestdanmark'!I$3:I$504,'Resultater - Vestdanmark'!J$3:J$504)),"&gt;0"),SUMIFS(IF(E193=År1,'Resultater - Østdanmark'!H$3:H$504,IF(E193=År2,'Resultater - Østdanmark'!I$3:I$504,'Resultater - Østdanmark'!J$3:J$504)),'Resultater - Østdanmark'!$F$3:$F$504,$A193,IF(E193=År1,'Resultater - Østdanmark'!H$3:H$504,IF(E193=År2,'Resultater - Østdanmark'!I$3:I$504,'Resultater - Østdanmark'!J$3:J$504)),"&gt;0"))</f>
        <v>0</v>
      </c>
      <c r="H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forbrug'!H$3,'Forbrug af biomasse'!$B$2:$B$425,$F193)</f>
        <v>0</v>
      </c>
      <c r="I193">
        <f>IF(F193="Vestdanmark",-IF(A193="Halm",SUMIFS(IF(E193=År1,'Resultater - Vestdanmark'!H$3:H$504,IF(E193=År2,'Resultater - Vestdanmark'!I$3:I$504,'Resultater - Vestdanmark'!J$3:J$504)),'Resultater - Vestdanmark'!$F$3:$F$504,$A193,'Resultater - Vestdanmark'!H$3:H$504,"&lt;0"),0),-IF(A193="Halm",SUMIFS(IF(E193=År1,'Resultater - Østdanmark'!H$3:H$504,IF(E193=År2,'Resultater - Østdanmark'!I$3:I$504,'Resultater - Østdanmark'!J$3:J$504)),'Resultater - Østdanmark'!$F$3:$F$504,$A193,'Resultater - Østdanmark'!H$3:H$504,"&lt;0"),0))</f>
        <v>0</v>
      </c>
      <c r="J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forbrug'!J$3,'Forbrug af biomasse'!$B$2:$B$425,$F193)</f>
        <v>0</v>
      </c>
      <c r="K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forbrug'!K$3,'Forbrug af biomasse'!$B$2:$B$425,$F193)</f>
        <v>0</v>
      </c>
      <c r="L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forbrug'!L$3,'Forbrug af biomasse'!$B$2:$B$425,$F193)</f>
        <v>0</v>
      </c>
      <c r="M193" s="94">
        <f>IF(A193&lt;&gt;"Biogas",SUMIFS('Forbrug af biomasse'!$E$2:$E$425,'Forbrug af biomasse'!$C$2:$C$425,'Resultat-Produktion &amp; forbrug'!$A193,'Forbrug af biomasse'!$D$2:$D$425,'Resultat-Produktion &amp; forbrug'!$E193,'Forbrug af biomasse'!$A$2:$A$425,'Resultat-Produktion &amp; forbrug'!M$3,'Forbrug af biomasse'!$B$2:$B$425,$F193),G193)</f>
        <v>0</v>
      </c>
      <c r="N193" s="94">
        <f>SUMIFS('Forbrug af biomasse'!E:E,'Forbrug af biomasse'!C:C,'Resultat-Produktion &amp; forbrug'!$A193,'Forbrug af biomasse'!D:D,'Resultat-Produktion &amp; forbrug'!$E193,'Forbrug af biomasse'!G:G,1,'Forbrug af biomasse'!B:B,$F193)</f>
        <v>0</v>
      </c>
      <c r="O193" s="179">
        <f t="shared" si="53"/>
        <v>0</v>
      </c>
      <c r="P193" s="94">
        <f t="shared" si="43"/>
        <v>0</v>
      </c>
      <c r="Q193" s="180">
        <f t="shared" si="54"/>
        <v>0</v>
      </c>
      <c r="R193">
        <f>IFERROR(VLOOKUP(A193,[1]Energiindhold!$A$2:$C$11,3,FALSE),IFERROR(VLOOKUP(A193,[1]Biogasudbytte!$A$2:$B$18,2,FALSE)*[1]Energiindhold!$C$10,0))*P193</f>
        <v>0</v>
      </c>
      <c r="S193">
        <f>IF(A193&lt;&gt;"Biogas",IFERROR(VLOOKUP(A193,[1]Biogasudbytte!$A$2:$B$18,2,FALSE)*[1]Energiindhold!$C$10,0)*K193*IFERROR(VLOOKUP(A193,Biogasanlæg!$F$3:$G$8,2,FALSE),1)+IFERROR(VLOOKUP(A193,[1]Energiindhold!$A$2:$C$11,3,FALSE),0)*M193+IF(E193&lt;&gt;År1,R193,0),0)</f>
        <v>0</v>
      </c>
      <c r="T193">
        <f>IFERROR(VLOOKUP(A193,[1]Biogasudbytte!$A$2:$B$18,2,FALSE)*[1]Energiindhold!$C$10,0)*K193*IFERROR(VLOOKUP(A193,Biogasanlæg!$F$3:$G$8,2,FALSE),1)</f>
        <v>0</v>
      </c>
      <c r="U193" s="170">
        <f t="shared" si="55"/>
        <v>0</v>
      </c>
      <c r="V193" s="169">
        <f>P193*IFERROR(VLOOKUP(A193,[1]Tørstofindhold!A$2:B$24,2,FALSE),0)</f>
        <v>0</v>
      </c>
      <c r="W193">
        <f>IF(E193=År1,Q193,SUM(P193,Q193))*IFERROR(VLOOKUP(A193,[1]Tørstofindhold!A$2:B$24,2,FALSE),0)</f>
        <v>0</v>
      </c>
      <c r="X193">
        <f>K193*IFERROR(VLOOKUP(A193,[1]Tørstofindhold!A$2:B$24,2,FALSE),0)</f>
        <v>0</v>
      </c>
      <c r="Y193" s="170">
        <f t="shared" si="56"/>
        <v>0</v>
      </c>
      <c r="Z193">
        <f t="shared" si="47"/>
        <v>0</v>
      </c>
      <c r="AA193">
        <f t="shared" si="48"/>
        <v>0</v>
      </c>
      <c r="AB193" s="94">
        <f t="shared" si="49"/>
        <v>0</v>
      </c>
      <c r="AC193">
        <f>AB193*D193*10000*VLOOKUP(A193,[1]kcal!$A$2:$C$49,3,FALSE)/1000000000000</f>
        <v>0</v>
      </c>
    </row>
    <row r="194" spans="1:29" x14ac:dyDescent="0.25">
      <c r="A194" s="171" t="s">
        <v>119</v>
      </c>
      <c r="B194" s="171" t="s">
        <v>225</v>
      </c>
      <c r="C194" s="171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1</v>
      </c>
      <c r="D194" s="171">
        <f t="shared" si="61"/>
        <v>0</v>
      </c>
      <c r="E194" s="171">
        <f t="shared" si="52"/>
        <v>2019</v>
      </c>
      <c r="F194" t="s">
        <v>24</v>
      </c>
      <c r="G194" s="94">
        <f ca="1">IF(F194="Vestdanmark",SUMIFS(IF(E194=År1,'Resultater - Vestdanmark'!H$3:H$504,IF(E194=År2,'Resultater - Vestdanmark'!I$3:I$504,'Resultater - Vestdanmark'!J$3:J$504)),'Resultater - Vestdanmark'!$F$3:$F$504,$A194,IF(E194=År1,'Resultater - Vestdanmark'!H$3:H$504,IF(E194=År2,'Resultater - Vestdanmark'!I$3:I$504,'Resultater - Vestdanmark'!J$3:J$504)),"&gt;0"),SUMIFS(IF(E194=År1,'Resultater - Østdanmark'!H$3:H$504,IF(E194=År2,'Resultater - Østdanmark'!I$3:I$504,'Resultater - Østdanmark'!J$3:J$504)),'Resultater - Østdanmark'!$F$3:$F$504,$A194,IF(E194=År1,'Resultater - Østdanmark'!H$3:H$504,IF(E194=År2,'Resultater - Østdanmark'!I$3:I$504,'Resultater - Østdanmark'!J$3:J$504)),"&gt;0"))</f>
        <v>681614.98381741357</v>
      </c>
      <c r="H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forbrug'!H$3,'Forbrug af biomasse'!$B$2:$B$425,$F194)</f>
        <v>0</v>
      </c>
      <c r="I194">
        <f>IF(F194="Vestdanmark",-IF(A194="Halm",SUMIFS(IF(E194=År1,'Resultater - Vestdanmark'!H$3:H$504,IF(E194=År2,'Resultater - Vestdanmark'!I$3:I$504,'Resultater - Vestdanmark'!J$3:J$504)),'Resultater - Vestdanmark'!$F$3:$F$504,$A194,'Resultater - Vestdanmark'!H$3:H$504,"&lt;0"),0),-IF(A194="Halm",SUMIFS(IF(E194=År1,'Resultater - Østdanmark'!H$3:H$504,IF(E194=År2,'Resultater - Østdanmark'!I$3:I$504,'Resultater - Østdanmark'!J$3:J$504)),'Resultater - Østdanmark'!$F$3:$F$504,$A194,'Resultater - Østdanmark'!H$3:H$504,"&lt;0"),0))</f>
        <v>0</v>
      </c>
      <c r="J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forbrug'!J$3,'Forbrug af biomasse'!$B$2:$B$425,$F194)</f>
        <v>0</v>
      </c>
      <c r="K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forbrug'!K$3,'Forbrug af biomasse'!$B$2:$B$425,$F194)</f>
        <v>0</v>
      </c>
      <c r="L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forbrug'!L$3,'Forbrug af biomasse'!$B$2:$B$425,$F194)</f>
        <v>0</v>
      </c>
      <c r="M194" s="94">
        <f ca="1">IF(A194&lt;&gt;"Biogas",SUMIFS('Forbrug af biomasse'!$E$2:$E$425,'Forbrug af biomasse'!$C$2:$C$425,'Resultat-Produktion &amp; forbrug'!$A194,'Forbrug af biomasse'!$D$2:$D$425,'Resultat-Produktion &amp; forbrug'!$E194,'Forbrug af biomasse'!$A$2:$A$425,'Resultat-Produktion &amp; forbrug'!M$3,'Forbrug af biomasse'!$B$2:$B$425,$F194),G194)</f>
        <v>681614.98381741357</v>
      </c>
      <c r="N194" s="94">
        <f>SUMIFS('Forbrug af biomasse'!E:E,'Forbrug af biomasse'!C:C,'Resultat-Produktion &amp; forbrug'!$A194,'Forbrug af biomasse'!D:D,'Resultat-Produktion &amp; forbrug'!$E194,'Forbrug af biomasse'!G:G,1,'Forbrug af biomasse'!B:B,$F194)</f>
        <v>0</v>
      </c>
      <c r="O194" s="179">
        <f t="shared" ca="1" si="53"/>
        <v>0</v>
      </c>
      <c r="P194" s="94">
        <f t="shared" ca="1" si="43"/>
        <v>0</v>
      </c>
      <c r="Q194" s="180">
        <f t="shared" ca="1" si="54"/>
        <v>681614.98381741357</v>
      </c>
      <c r="R194">
        <f ca="1">IFERROR(VLOOKUP(A194,[1]Energiindhold!$A$2:$C$11,3,FALSE),IFERROR(VLOOKUP(A194,[1]Biogasudbytte!$A$2:$B$18,2,FALSE)*[1]Energiindhold!$C$10,0))*P194</f>
        <v>0</v>
      </c>
      <c r="S194">
        <f ca="1">IF(A194&lt;&gt;"Biogas",IFERROR(VLOOKUP(A194,[1]Biogasudbytte!$A$2:$B$18,2,FALSE)*[1]Energiindhold!$C$10,0)*K194*IFERROR(VLOOKUP(A194,Biogasanlæg!$F$3:$G$8,2,FALSE),1)+IFERROR(VLOOKUP(A194,[1]Energiindhold!$A$2:$C$11,3,FALSE),0)*M194+IF(E194&lt;&gt;År1,R194,0),0)</f>
        <v>9.8790337317585379</v>
      </c>
      <c r="T194">
        <f>IFERROR(VLOOKUP(A194,[1]Biogasudbytte!$A$2:$B$18,2,FALSE)*[1]Energiindhold!$C$10,0)*K194*IFERROR(VLOOKUP(A194,Biogasanlæg!$F$3:$G$8,2,FALSE),1)</f>
        <v>0</v>
      </c>
      <c r="U194" s="170">
        <f t="shared" ca="1" si="55"/>
        <v>9.8790337317585379</v>
      </c>
      <c r="V194" s="169">
        <f ca="1">P194*IFERROR(VLOOKUP(A194,[1]Tørstofindhold!A$2:B$24,2,FALSE),0)</f>
        <v>0</v>
      </c>
      <c r="W194">
        <f ca="1">IF(E194=År1,Q194,SUM(P194,Q194))*IFERROR(VLOOKUP(A194,[1]Tørstofindhold!A$2:B$24,2,FALSE),0)</f>
        <v>337115.41074636247</v>
      </c>
      <c r="X194">
        <f>K194*IFERROR(VLOOKUP(A194,[1]Tørstofindhold!A$2:B$24,2,FALSE),0)</f>
        <v>0</v>
      </c>
      <c r="Y194" s="170">
        <f t="shared" ca="1" si="56"/>
        <v>337115.41074636247</v>
      </c>
      <c r="Z194">
        <f t="shared" ca="1" si="47"/>
        <v>0</v>
      </c>
      <c r="AA194">
        <f t="shared" ca="1" si="48"/>
        <v>0</v>
      </c>
      <c r="AB194" s="94">
        <f t="shared" ca="1" si="49"/>
        <v>681614.98381741357</v>
      </c>
      <c r="AC194">
        <f ca="1">AB194*D194*10000*VLOOKUP(A194,[1]kcal!$A$2:$C$49,3,FALSE)/1000000000000</f>
        <v>0</v>
      </c>
    </row>
    <row r="195" spans="1:29" x14ac:dyDescent="0.25">
      <c r="A195" s="171" t="s">
        <v>118</v>
      </c>
      <c r="B195" s="171"/>
      <c r="C195" s="171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71">
        <f t="shared" si="61"/>
        <v>0</v>
      </c>
      <c r="E195" s="171">
        <f t="shared" si="52"/>
        <v>2019</v>
      </c>
      <c r="F195" t="s">
        <v>24</v>
      </c>
      <c r="G195" s="94">
        <f ca="1">IF(F195="Vestdanmark",SUMIFS(IF(E195=År1,'Resultater - Vestdanmark'!H$3:H$504,IF(E195=År2,'Resultater - Vestdanmark'!I$3:I$504,'Resultater - Vestdanmark'!J$3:J$504)),'Resultater - Vestdanmark'!$F$3:$F$504,$A195,IF(E195=År1,'Resultater - Vestdanmark'!H$3:H$504,IF(E195=År2,'Resultater - Vestdanmark'!I$3:I$504,'Resultater - Vestdanmark'!J$3:J$504)),"&gt;0"),SUMIFS(IF(E195=År1,'Resultater - Østdanmark'!H$3:H$504,IF(E195=År2,'Resultater - Østdanmark'!I$3:I$504,'Resultater - Østdanmark'!J$3:J$504)),'Resultater - Østdanmark'!$F$3:$F$504,$A195,IF(E195=År1,'Resultater - Østdanmark'!H$3:H$504,IF(E195=År2,'Resultater - Østdanmark'!I$3:I$504,'Resultater - Østdanmark'!J$3:J$504)),"&gt;0"))</f>
        <v>187416.40966897184</v>
      </c>
      <c r="H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forbrug'!H$3,'Forbrug af biomasse'!$B$2:$B$425,$F195)</f>
        <v>0</v>
      </c>
      <c r="I195">
        <f>IF(F195="Vestdanmark",-IF(A195="Halm",SUMIFS(IF(E195=År1,'Resultater - Vestdanmark'!H$3:H$504,IF(E195=År2,'Resultater - Vestdanmark'!I$3:I$504,'Resultater - Vestdanmark'!J$3:J$504)),'Resultater - Vestdanmark'!$F$3:$F$504,$A195,'Resultater - Vestdanmark'!H$3:H$504,"&lt;0"),0),-IF(A195="Halm",SUMIFS(IF(E195=År1,'Resultater - Østdanmark'!H$3:H$504,IF(E195=År2,'Resultater - Østdanmark'!I$3:I$504,'Resultater - Østdanmark'!J$3:J$504)),'Resultater - Østdanmark'!$F$3:$F$504,$A195,'Resultater - Østdanmark'!H$3:H$504,"&lt;0"),0))</f>
        <v>0</v>
      </c>
      <c r="J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forbrug'!J$3,'Forbrug af biomasse'!$B$2:$B$425,$F195)</f>
        <v>0</v>
      </c>
      <c r="K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forbrug'!K$3,'Forbrug af biomasse'!$B$2:$B$425,$F195)</f>
        <v>0</v>
      </c>
      <c r="L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forbrug'!L$3,'Forbrug af biomasse'!$B$2:$B$425,$F195)</f>
        <v>0</v>
      </c>
      <c r="M195" s="94">
        <f>IF(A195&lt;&gt;"Biogas",SUMIFS('Forbrug af biomasse'!$E$2:$E$425,'Forbrug af biomasse'!$C$2:$C$425,'Resultat-Produktion &amp; forbrug'!$A195,'Forbrug af biomasse'!$D$2:$D$425,'Resultat-Produktion &amp; forbrug'!$E195,'Forbrug af biomasse'!$A$2:$A$425,'Resultat-Produktion &amp; forbrug'!M$3,'Forbrug af biomasse'!$B$2:$B$425,$F195),G195)</f>
        <v>0</v>
      </c>
      <c r="N195" s="94">
        <f ca="1">SUMIFS('Forbrug af biomasse'!E:E,'Forbrug af biomasse'!C:C,'Resultat-Produktion &amp; forbrug'!$A195,'Forbrug af biomasse'!D:D,'Resultat-Produktion &amp; forbrug'!$E195,'Forbrug af biomasse'!G:G,1,'Forbrug af biomasse'!B:B,$F195)</f>
        <v>187416.40966897184</v>
      </c>
      <c r="O195" s="179">
        <f t="shared" ca="1" si="53"/>
        <v>0</v>
      </c>
      <c r="P195" s="94">
        <f t="shared" si="43"/>
        <v>0</v>
      </c>
      <c r="Q195" s="180">
        <f t="shared" si="54"/>
        <v>0</v>
      </c>
      <c r="R195">
        <f>IFERROR(VLOOKUP(A195,[1]Energiindhold!$A$2:$C$11,3,FALSE),IFERROR(VLOOKUP(A195,[1]Biogasudbytte!$A$2:$B$18,2,FALSE)*[1]Energiindhold!$C$10,0))*P195</f>
        <v>0</v>
      </c>
      <c r="S195">
        <f>IF(A195&lt;&gt;"Biogas",IFERROR(VLOOKUP(A195,[1]Biogasudbytte!$A$2:$B$18,2,FALSE)*[1]Energiindhold!$C$10,0)*K195*IFERROR(VLOOKUP(A195,Biogasanlæg!$F$3:$G$8,2,FALSE),1)+IFERROR(VLOOKUP(A195,[1]Energiindhold!$A$2:$C$11,3,FALSE),0)*M195+IF(E195&lt;&gt;År1,R195,0),0)</f>
        <v>0</v>
      </c>
      <c r="T195">
        <f>IFERROR(VLOOKUP(A195,[1]Biogasudbytte!$A$2:$B$18,2,FALSE)*[1]Energiindhold!$C$10,0)*K195*IFERROR(VLOOKUP(A195,Biogasanlæg!$F$3:$G$8,2,FALSE),1)</f>
        <v>0</v>
      </c>
      <c r="U195" s="170">
        <f t="shared" si="55"/>
        <v>0</v>
      </c>
      <c r="V195" s="169">
        <f>P195*IFERROR(VLOOKUP(A195,[1]Tørstofindhold!A$2:B$24,2,FALSE),0)</f>
        <v>0</v>
      </c>
      <c r="W195">
        <f>IF(E195=År1,Q195,SUM(P195,Q195))*IFERROR(VLOOKUP(A195,[1]Tørstofindhold!A$2:B$24,2,FALSE),0)</f>
        <v>0</v>
      </c>
      <c r="X195">
        <f>K195*IFERROR(VLOOKUP(A195,[1]Tørstofindhold!A$2:B$24,2,FALSE),0)</f>
        <v>0</v>
      </c>
      <c r="Y195" s="170">
        <f t="shared" si="56"/>
        <v>0</v>
      </c>
      <c r="Z195">
        <f t="shared" ca="1" si="47"/>
        <v>0</v>
      </c>
      <c r="AA195">
        <f t="shared" ca="1" si="48"/>
        <v>0</v>
      </c>
      <c r="AB195" s="94">
        <f t="shared" ca="1" si="49"/>
        <v>187416.40966897184</v>
      </c>
      <c r="AC195">
        <f ca="1">AB195*D195*10000*VLOOKUP(A195,[1]kcal!$A$2:$C$49,3,FALSE)/1000000000000</f>
        <v>0</v>
      </c>
    </row>
    <row r="196" spans="1:29" x14ac:dyDescent="0.25">
      <c r="A196" s="171" t="str">
        <f t="shared" ref="A196:A227" si="62">A148</f>
        <v>Æg</v>
      </c>
      <c r="B196" s="171" t="str">
        <f t="shared" ref="B196:B227" si="63">IF(B148&lt;&gt;"",B148,"")</f>
        <v/>
      </c>
      <c r="C196" s="171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71">
        <f t="shared" si="61"/>
        <v>1</v>
      </c>
      <c r="E196" s="171">
        <f t="shared" ref="E196:E243" si="64">År2</f>
        <v>2030</v>
      </c>
      <c r="F196" t="s">
        <v>24</v>
      </c>
      <c r="G196" s="94">
        <f ca="1">IF(F196="Vestdanmark",SUMIFS(IF(E196=År1,'Resultater - Vestdanmark'!H$3:H$504,IF(E196=År2,'Resultater - Vestdanmark'!I$3:I$504,'Resultater - Vestdanmark'!J$3:J$504)),'Resultater - Vestdanmark'!$F$3:$F$504,$A196,IF(E196=År1,'Resultater - Vestdanmark'!H$3:H$504,IF(E196=År2,'Resultater - Vestdanmark'!I$3:I$504,'Resultater - Vestdanmark'!J$3:J$504)),"&gt;0"),SUMIFS(IF(E196=År1,'Resultater - Østdanmark'!H$3:H$504,IF(E196=År2,'Resultater - Østdanmark'!I$3:I$504,'Resultater - Østdanmark'!J$3:J$504)),'Resultater - Østdanmark'!$F$3:$F$504,$A196,IF(E196=År1,'Resultater - Østdanmark'!H$3:H$504,IF(E196=År2,'Resultater - Østdanmark'!I$3:I$504,'Resultater - Østdanmark'!J$3:J$504)),"&gt;0"))</f>
        <v>17943.479437897957</v>
      </c>
      <c r="H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forbrug'!H$3,'Forbrug af biomasse'!$B$2:$B$425,$F196)</f>
        <v>0</v>
      </c>
      <c r="I196">
        <f>IF(F196="Vestdanmark",-IF(A196="Halm",SUMIFS(IF(E196=År1,'Resultater - Vestdanmark'!H$3:H$504,IF(E196=År2,'Resultater - Vestdanmark'!I$3:I$504,'Resultater - Vestdanmark'!J$3:J$504)),'Resultater - Vestdanmark'!$F$3:$F$504,$A196,'Resultater - Vestdanmark'!H$3:H$504,"&lt;0"),0),-IF(A196="Halm",SUMIFS(IF(E196=År1,'Resultater - Østdanmark'!H$3:H$504,IF(E196=År2,'Resultater - Østdanmark'!I$3:I$504,'Resultater - Østdanmark'!J$3:J$504)),'Resultater - Østdanmark'!$F$3:$F$504,$A196,'Resultater - Østdanmark'!H$3:H$504,"&lt;0"),0))</f>
        <v>0</v>
      </c>
      <c r="J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forbrug'!J$3,'Forbrug af biomasse'!$B$2:$B$425,$F196)</f>
        <v>28209.340124628539</v>
      </c>
      <c r="K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forbrug'!K$3,'Forbrug af biomasse'!$B$2:$B$425,$F196)</f>
        <v>0</v>
      </c>
      <c r="L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forbrug'!L$3,'Forbrug af biomasse'!$B$2:$B$425,$F196)</f>
        <v>0</v>
      </c>
      <c r="M196" s="94">
        <f>IF(A196&lt;&gt;"Biogas",SUMIFS('Forbrug af biomasse'!$E$2:$E$425,'Forbrug af biomasse'!$C$2:$C$425,'Resultat-Produktion &amp; forbrug'!$A196,'Forbrug af biomasse'!$D$2:$D$425,'Resultat-Produktion &amp; forbrug'!$E196,'Forbrug af biomasse'!$A$2:$A$425,'Resultat-Produktion &amp; forbrug'!M$3,'Forbrug af biomasse'!$B$2:$B$425,$F196),G196)</f>
        <v>0</v>
      </c>
      <c r="N196" s="94">
        <f>SUMIFS('Forbrug af biomasse'!E:E,'Forbrug af biomasse'!C:C,'Resultat-Produktion &amp; forbrug'!$A196,'Forbrug af biomasse'!D:D,'Resultat-Produktion &amp; forbrug'!$E196,'Forbrug af biomasse'!G:G,1,'Forbrug af biomasse'!B:B,$F196)</f>
        <v>0</v>
      </c>
      <c r="O196" s="179">
        <f t="shared" ca="1" si="53"/>
        <v>-10265.860686730583</v>
      </c>
      <c r="P196" s="94">
        <f t="shared" ref="P196:P259" si="65">IF(C196=1,IF(O196+IF(SUMIFS($O$4:$O$291,$A$4:$A$291,A196,$E$4:$E$291,E196,$F$4:$F$291,"&lt;&gt;"&amp;F196)&lt;0,SUMIFS($O$4:$O$291,$A$4:$A$291,A196,$E$4:$E$291,E196,$F$4:$F$291,"&lt;&gt;"&amp;F196),0)&gt;0,O196+IF(SUMIFS($O$4:$O$291,$A$4:$A$291,A196,$E$4:$E$291,E196,$F$4:$F$291,"&lt;&gt;"&amp;F196)&lt;0,SUMIFS($O$4:$O$291,$A$4:$A$291,A196,$E$4:$E$291,E196,$F$4:$F$291,"&lt;&gt;"&amp;F196),0),0),0)</f>
        <v>0</v>
      </c>
      <c r="Q196" s="180">
        <f t="shared" si="54"/>
        <v>0</v>
      </c>
      <c r="R196">
        <f>IFERROR(VLOOKUP(A196,[1]Energiindhold!$A$2:$C$11,3,FALSE),IFERROR(VLOOKUP(A196,[1]Biogasudbytte!$A$2:$B$18,2,FALSE)*[1]Energiindhold!$C$10,0))*P196</f>
        <v>0</v>
      </c>
      <c r="S196">
        <f>IF(A196&lt;&gt;"Biogas",IFERROR(VLOOKUP(A196,[1]Biogasudbytte!$A$2:$B$18,2,FALSE)*[1]Energiindhold!$C$10,0)*K196*IFERROR(VLOOKUP(A196,Biogasanlæg!$F$3:$G$8,2,FALSE),1)+IFERROR(VLOOKUP(A196,[1]Energiindhold!$A$2:$C$11,3,FALSE),0)*M196+IF(E196&lt;&gt;År1,R196,0),0)</f>
        <v>0</v>
      </c>
      <c r="T196">
        <f>IFERROR(VLOOKUP(A196,[1]Biogasudbytte!$A$2:$B$18,2,FALSE)*[1]Energiindhold!$C$10,0)*K196*IFERROR(VLOOKUP(A196,Biogasanlæg!$F$3:$G$8,2,FALSE),1)</f>
        <v>0</v>
      </c>
      <c r="U196" s="170">
        <f t="shared" si="55"/>
        <v>0</v>
      </c>
      <c r="V196" s="169">
        <f>P196*IFERROR(VLOOKUP(A196,[1]Tørstofindhold!A$2:B$24,2,FALSE),0)</f>
        <v>0</v>
      </c>
      <c r="W196">
        <f>IF(E196=År1,Q196,SUM(P196,Q196))*IFERROR(VLOOKUP(A196,[1]Tørstofindhold!A$2:B$24,2,FALSE),0)</f>
        <v>0</v>
      </c>
      <c r="X196">
        <f>K196*IFERROR(VLOOKUP(A196,[1]Tørstofindhold!A$2:B$24,2,FALSE),0)</f>
        <v>0</v>
      </c>
      <c r="Y196" s="170">
        <f t="shared" si="56"/>
        <v>0</v>
      </c>
      <c r="Z196">
        <f t="shared" ref="Z196:Z259" ca="1" si="66">IF(SUMIFS($O$4:$O$291,$A$4:$A$291,A196,$E$4:$E$291,E196)&lt;0,1,0)</f>
        <v>0</v>
      </c>
      <c r="AA196">
        <f t="shared" ref="AA196:AA259" ca="1" si="67">IF(SUMIFS($O$4:$O$291,$A$4:$A$291,A196,$E$4:$E$291,E196)&gt;0,1,0)</f>
        <v>1</v>
      </c>
      <c r="AB196" s="94">
        <f t="shared" ca="1" si="49"/>
        <v>17943.479437897957</v>
      </c>
      <c r="AC196">
        <f ca="1">AB196*D196*10000*VLOOKUP(A196,[1]kcal!$A$2:$C$49,3,FALSE)/1000000000000</f>
        <v>2.4762001624299181E-2</v>
      </c>
    </row>
    <row r="197" spans="1:29" x14ac:dyDescent="0.25">
      <c r="A197" s="171" t="str">
        <f t="shared" si="62"/>
        <v>Bælgsæd</v>
      </c>
      <c r="B197" s="171" t="str">
        <f t="shared" si="63"/>
        <v/>
      </c>
      <c r="C197" s="171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0</v>
      </c>
      <c r="D197" s="171">
        <f t="shared" si="61"/>
        <v>1</v>
      </c>
      <c r="E197" s="171">
        <f t="shared" si="64"/>
        <v>2030</v>
      </c>
      <c r="F197" t="s">
        <v>24</v>
      </c>
      <c r="G197" s="94">
        <f>IF(F197="Vestdanmark",SUMIFS(IF(E197=År1,'Resultater - Vestdanmark'!H$3:H$504,IF(E197=År2,'Resultater - Vestdanmark'!I$3:I$504,'Resultater - Vestdanmark'!J$3:J$504)),'Resultater - Vestdanmark'!$F$3:$F$504,$A197,IF(E197=År1,'Resultater - Vestdanmark'!H$3:H$504,IF(E197=År2,'Resultater - Vestdanmark'!I$3:I$504,'Resultater - Vestdanmark'!J$3:J$504)),"&gt;0"),SUMIFS(IF(E197=År1,'Resultater - Østdanmark'!H$3:H$504,IF(E197=År2,'Resultater - Østdanmark'!I$3:I$504,'Resultater - Østdanmark'!J$3:J$504)),'Resultater - Østdanmark'!$F$3:$F$504,$A197,IF(E197=År1,'Resultater - Østdanmark'!H$3:H$504,IF(E197=År2,'Resultater - Østdanmark'!I$3:I$504,'Resultater - Østdanmark'!J$3:J$504)),"&gt;0"))</f>
        <v>27645.478247687679</v>
      </c>
      <c r="H197" s="94">
        <f ca="1">SUMIFS('Forbrug af biomasse'!$E$2:$E$425,'Forbrug af biomasse'!$C$2:$C$425,'Resultat-Produktion &amp; forbrug'!$A197,'Forbrug af biomasse'!$D$2:$D$425,'Resultat-Produktion &amp; forbrug'!$E197,'Forbrug af biomasse'!$A$2:$A$425,'Resultat-Produktion &amp; forbrug'!H$3,'Forbrug af biomasse'!$B$2:$B$425,$F197)</f>
        <v>7686.2399260183547</v>
      </c>
      <c r="I197">
        <f>IF(F197="Vestdanmark",-IF(A197="Halm",SUMIFS(IF(E197=År1,'Resultater - Vestdanmark'!H$3:H$504,IF(E197=År2,'Resultater - Vestdanmark'!I$3:I$504,'Resultater - Vestdanmark'!J$3:J$504)),'Resultater - Vestdanmark'!$F$3:$F$504,$A197,'Resultater - Vestdanmark'!H$3:H$504,"&lt;0"),0),-IF(A197="Halm",SUMIFS(IF(E197=År1,'Resultater - Østdanmark'!H$3:H$504,IF(E197=År2,'Resultater - Østdanmark'!I$3:I$504,'Resultater - Østdanmark'!J$3:J$504)),'Resultater - Østdanmark'!$F$3:$F$504,$A197,'Resultater - Østdanmark'!H$3:H$504,"&lt;0"),0))</f>
        <v>0</v>
      </c>
      <c r="J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forbrug'!J$3,'Forbrug af biomasse'!$B$2:$B$425,$F197)</f>
        <v>0</v>
      </c>
      <c r="K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forbrug'!K$3,'Forbrug af biomasse'!$B$2:$B$425,$F197)</f>
        <v>0</v>
      </c>
      <c r="L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forbrug'!L$3,'Forbrug af biomasse'!$B$2:$B$425,$F197)</f>
        <v>0</v>
      </c>
      <c r="M197" s="94">
        <f>IF(A197&lt;&gt;"Biogas",SUMIFS('Forbrug af biomasse'!$E$2:$E$425,'Forbrug af biomasse'!$C$2:$C$425,'Resultat-Produktion &amp; forbrug'!$A197,'Forbrug af biomasse'!$D$2:$D$425,'Resultat-Produktion &amp; forbrug'!$E197,'Forbrug af biomasse'!$A$2:$A$425,'Resultat-Produktion &amp; forbrug'!M$3,'Forbrug af biomasse'!$B$2:$B$425,$F197),G197)</f>
        <v>0</v>
      </c>
      <c r="N197" s="94">
        <f>SUMIFS('Forbrug af biomasse'!E:E,'Forbrug af biomasse'!C:C,'Resultat-Produktion &amp; forbrug'!$A197,'Forbrug af biomasse'!D:D,'Resultat-Produktion &amp; forbrug'!$E197,'Forbrug af biomasse'!G:G,1,'Forbrug af biomasse'!B:B,$F197)</f>
        <v>0</v>
      </c>
      <c r="O197" s="179">
        <f t="shared" ca="1" si="53"/>
        <v>19959.238321669323</v>
      </c>
      <c r="P197" s="94">
        <f t="shared" si="65"/>
        <v>0</v>
      </c>
      <c r="Q197" s="180">
        <f t="shared" si="54"/>
        <v>0</v>
      </c>
      <c r="R197">
        <f>IFERROR(VLOOKUP(A197,[1]Energiindhold!$A$2:$C$11,3,FALSE),IFERROR(VLOOKUP(A197,[1]Biogasudbytte!$A$2:$B$18,2,FALSE)*[1]Energiindhold!$C$10,0))*P197</f>
        <v>0</v>
      </c>
      <c r="S197">
        <f>IF(A197&lt;&gt;"Biogas",IFERROR(VLOOKUP(A197,[1]Biogasudbytte!$A$2:$B$18,2,FALSE)*[1]Energiindhold!$C$10,0)*K197*IFERROR(VLOOKUP(A197,Biogasanlæg!$F$3:$G$8,2,FALSE),1)+IFERROR(VLOOKUP(A197,[1]Energiindhold!$A$2:$C$11,3,FALSE),0)*M197+IF(E197&lt;&gt;År1,R197,0),0)</f>
        <v>0</v>
      </c>
      <c r="T197">
        <f>IFERROR(VLOOKUP(A197,[1]Biogasudbytte!$A$2:$B$18,2,FALSE)*[1]Energiindhold!$C$10,0)*K197*IFERROR(VLOOKUP(A197,Biogasanlæg!$F$3:$G$8,2,FALSE),1)</f>
        <v>0</v>
      </c>
      <c r="U197" s="170">
        <f t="shared" si="55"/>
        <v>0</v>
      </c>
      <c r="V197" s="169">
        <f>P197*IFERROR(VLOOKUP(A197,[1]Tørstofindhold!A$2:B$24,2,FALSE),0)</f>
        <v>0</v>
      </c>
      <c r="W197">
        <f>IF(E197=År1,Q197,SUM(P197,Q197))*IFERROR(VLOOKUP(A197,[1]Tørstofindhold!A$2:B$24,2,FALSE),0)</f>
        <v>0</v>
      </c>
      <c r="X197">
        <f>K197*IFERROR(VLOOKUP(A197,[1]Tørstofindhold!A$2:B$24,2,FALSE),0)</f>
        <v>0</v>
      </c>
      <c r="Y197" s="170">
        <f t="shared" si="56"/>
        <v>0</v>
      </c>
      <c r="Z197">
        <f t="shared" ca="1" si="66"/>
        <v>0</v>
      </c>
      <c r="AA197">
        <f t="shared" ca="1" si="67"/>
        <v>1</v>
      </c>
      <c r="AB197" s="94">
        <f t="shared" ref="AB197:AB260" ca="1" si="68">G197-SUMPRODUCT($H$2:$N$2,H197:N197)</f>
        <v>19959.238321669323</v>
      </c>
      <c r="AC197">
        <f ca="1">AB197*D197*10000*VLOOKUP(A197,[1]kcal!$A$2:$C$49,3,FALSE)/1000000000000</f>
        <v>0.13861691014399344</v>
      </c>
    </row>
    <row r="198" spans="1:29" x14ac:dyDescent="0.25">
      <c r="A198" s="171" t="str">
        <f t="shared" si="62"/>
        <v>Bioaffald</v>
      </c>
      <c r="B198" s="171" t="str">
        <f t="shared" si="63"/>
        <v>Bionedbrydeligt affald</v>
      </c>
      <c r="C198" s="171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71">
        <f t="shared" si="61"/>
        <v>0</v>
      </c>
      <c r="E198" s="171">
        <f t="shared" si="64"/>
        <v>2030</v>
      </c>
      <c r="F198" t="s">
        <v>24</v>
      </c>
      <c r="G198" s="94">
        <f ca="1">IF(F198="Vestdanmark",SUMIFS(IF(E198=År1,'Resultater - Vestdanmark'!H$3:H$504,IF(E198=År2,'Resultater - Vestdanmark'!I$3:I$504,'Resultater - Vestdanmark'!J$3:J$504)),'Resultater - Vestdanmark'!$F$3:$F$504,$A198,IF(E198=År1,'Resultater - Vestdanmark'!H$3:H$504,IF(E198=År2,'Resultater - Vestdanmark'!I$3:I$504,'Resultater - Vestdanmark'!J$3:J$504)),"&gt;0"),SUMIFS(IF(E198=År1,'Resultater - Østdanmark'!H$3:H$504,IF(E198=År2,'Resultater - Østdanmark'!I$3:I$504,'Resultater - Østdanmark'!J$3:J$504)),'Resultater - Østdanmark'!$F$3:$F$504,$A198,IF(E198=År1,'Resultater - Østdanmark'!H$3:H$504,IF(E198=År2,'Resultater - Østdanmark'!I$3:I$504,'Resultater - Østdanmark'!J$3:J$504)),"&gt;0"))</f>
        <v>168912.745758362</v>
      </c>
      <c r="H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forbrug'!H$3,'Forbrug af biomasse'!$B$2:$B$425,$F198)</f>
        <v>0</v>
      </c>
      <c r="I198">
        <f>IF(F198="Vestdanmark",-IF(A198="Halm",SUMIFS(IF(E198=År1,'Resultater - Vestdanmark'!H$3:H$504,IF(E198=År2,'Resultater - Vestdanmark'!I$3:I$504,'Resultater - Vestdanmark'!J$3:J$504)),'Resultater - Vestdanmark'!$F$3:$F$504,$A198,'Resultater - Vestdanmark'!H$3:H$504,"&lt;0"),0),-IF(A198="Halm",SUMIFS(IF(E198=År1,'Resultater - Østdanmark'!H$3:H$504,IF(E198=År2,'Resultater - Østdanmark'!I$3:I$504,'Resultater - Østdanmark'!J$3:J$504)),'Resultater - Østdanmark'!$F$3:$F$504,$A198,'Resultater - Østdanmark'!H$3:H$504,"&lt;0"),0))</f>
        <v>0</v>
      </c>
      <c r="J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forbrug'!J$3,'Forbrug af biomasse'!$B$2:$B$425,$F198)</f>
        <v>0</v>
      </c>
      <c r="K198" s="94">
        <f ca="1">SUMIFS('Forbrug af biomasse'!$E$2:$E$425,'Forbrug af biomasse'!$C$2:$C$425,'Resultat-Produktion &amp; forbrug'!$A198,'Forbrug af biomasse'!$D$2:$D$425,'Resultat-Produktion &amp; forbrug'!$E198,'Forbrug af biomasse'!$A$2:$A$425,'Resultat-Produktion &amp; forbrug'!K$3,'Forbrug af biomasse'!$B$2:$B$425,$F198)</f>
        <v>0</v>
      </c>
      <c r="L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forbrug'!L$3,'Forbrug af biomasse'!$B$2:$B$425,$F198)</f>
        <v>0</v>
      </c>
      <c r="M198" s="94">
        <f ca="1">IF(A198&lt;&gt;"Biogas",SUMIFS('Forbrug af biomasse'!$E$2:$E$425,'Forbrug af biomasse'!$C$2:$C$425,'Resultat-Produktion &amp; forbrug'!$A198,'Forbrug af biomasse'!$D$2:$D$425,'Resultat-Produktion &amp; forbrug'!$E198,'Forbrug af biomasse'!$A$2:$A$425,'Resultat-Produktion &amp; forbrug'!M$3,'Forbrug af biomasse'!$B$2:$B$425,$F198),G198)</f>
        <v>168912.745758362</v>
      </c>
      <c r="N198" s="94">
        <f ca="1">SUMIFS('Forbrug af biomasse'!E:E,'Forbrug af biomasse'!C:C,'Resultat-Produktion &amp; forbrug'!$A198,'Forbrug af biomasse'!D:D,'Resultat-Produktion &amp; forbrug'!$E198,'Forbrug af biomasse'!G:G,1,'Forbrug af biomasse'!B:B,$F198)</f>
        <v>0</v>
      </c>
      <c r="O198" s="179">
        <f t="shared" ca="1" si="53"/>
        <v>0</v>
      </c>
      <c r="P198" s="94">
        <f t="shared" ca="1" si="65"/>
        <v>0</v>
      </c>
      <c r="Q198" s="180">
        <f t="shared" ca="1" si="54"/>
        <v>168912.745758362</v>
      </c>
      <c r="R198">
        <f ca="1">IFERROR(VLOOKUP(A198,[1]Energiindhold!$A$2:$C$11,3,FALSE),IFERROR(VLOOKUP(A198,[1]Biogasudbytte!$A$2:$B$18,2,FALSE)*[1]Energiindhold!$C$10,0))*P198</f>
        <v>0</v>
      </c>
      <c r="S198">
        <f ca="1">IF(A198&lt;&gt;"Biogas",IFERROR(VLOOKUP(A198,[1]Biogasudbytte!$A$2:$B$18,2,FALSE)*[1]Energiindhold!$C$10,0)*K198*IFERROR(VLOOKUP(A198,Biogasanlæg!$F$3:$G$8,2,FALSE),1)+IFERROR(VLOOKUP(A198,[1]Energiindhold!$A$2:$C$11,3,FALSE),0)*M198+IF(E198&lt;&gt;År1,R198,0),0)</f>
        <v>3.0154675860307889</v>
      </c>
      <c r="T198">
        <f ca="1">IFERROR(VLOOKUP(A198,[1]Biogasudbytte!$A$2:$B$18,2,FALSE)*[1]Energiindhold!$C$10,0)*K198*IFERROR(VLOOKUP(A198,Biogasanlæg!$F$3:$G$8,2,FALSE),1)</f>
        <v>0</v>
      </c>
      <c r="U198" s="170">
        <f t="shared" ca="1" si="55"/>
        <v>3.0154675860307889</v>
      </c>
      <c r="V198" s="169">
        <f ca="1">P198*IFERROR(VLOOKUP(A198,[1]Tørstofindhold!A$2:B$24,2,FALSE),0)</f>
        <v>0</v>
      </c>
      <c r="W198">
        <f ca="1">IF(E198=År1,Q198,SUM(P198,Q198))*IFERROR(VLOOKUP(A198,[1]Tørstofindhold!A$2:B$24,2,FALSE),0)</f>
        <v>47295.568812341364</v>
      </c>
      <c r="X198">
        <f ca="1">K198*IFERROR(VLOOKUP(A198,[1]Tørstofindhold!A$2:B$24,2,FALSE),0)</f>
        <v>0</v>
      </c>
      <c r="Y198" s="170">
        <f t="shared" ca="1" si="56"/>
        <v>47295.568812341364</v>
      </c>
      <c r="Z198">
        <f t="shared" ca="1" si="66"/>
        <v>0</v>
      </c>
      <c r="AA198">
        <f t="shared" ca="1" si="67"/>
        <v>0</v>
      </c>
      <c r="AB198" s="94">
        <f t="shared" ca="1" si="68"/>
        <v>168912.745758362</v>
      </c>
      <c r="AC198">
        <f ca="1">AB198*D198*10000*VLOOKUP(A198,[1]kcal!$A$2:$C$49,3,FALSE)/1000000000000</f>
        <v>0</v>
      </c>
    </row>
    <row r="199" spans="1:29" x14ac:dyDescent="0.25">
      <c r="A199" s="171" t="str">
        <f t="shared" si="62"/>
        <v>Biogas</v>
      </c>
      <c r="B199" s="171" t="str">
        <f t="shared" si="63"/>
        <v/>
      </c>
      <c r="C199" s="171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1</v>
      </c>
      <c r="D199" s="171">
        <f t="shared" si="61"/>
        <v>0</v>
      </c>
      <c r="E199" s="171">
        <f t="shared" si="64"/>
        <v>2030</v>
      </c>
      <c r="F199" t="s">
        <v>24</v>
      </c>
      <c r="G199" s="94">
        <f ca="1">IF(F199="Vestdanmark",SUMIFS(IF(E199=År1,'Resultater - Vestdanmark'!H$3:H$504,IF(E199=År2,'Resultater - Vestdanmark'!I$3:I$504,'Resultater - Vestdanmark'!J$3:J$504)),'Resultater - Vestdanmark'!$F$3:$F$504,$A199,IF(E199=År1,'Resultater - Vestdanmark'!H$3:H$504,IF(E199=År2,'Resultater - Vestdanmark'!I$3:I$504,'Resultater - Vestdanmark'!J$3:J$504)),"&gt;0"),SUMIFS(IF(E199=År1,'Resultater - Østdanmark'!H$3:H$504,IF(E199=År2,'Resultater - Østdanmark'!I$3:I$504,'Resultater - Østdanmark'!J$3:J$504)),'Resultater - Østdanmark'!$F$3:$F$504,$A199,IF(E199=År1,'Resultater - Østdanmark'!H$3:H$504,IF(E199=År2,'Resultater - Østdanmark'!I$3:I$504,'Resultater - Østdanmark'!J$3:J$504)),"&gt;0"))</f>
        <v>107723774.7744855</v>
      </c>
      <c r="H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forbrug'!H$3,'Forbrug af biomasse'!$B$2:$B$425,$F199)</f>
        <v>0</v>
      </c>
      <c r="I199">
        <f>IF(F199="Vestdanmark",-IF(A199="Halm",SUMIFS(IF(E199=År1,'Resultater - Vestdanmark'!H$3:H$504,IF(E199=År2,'Resultater - Vestdanmark'!I$3:I$504,'Resultater - Vestdanmark'!J$3:J$504)),'Resultater - Vestdanmark'!$F$3:$F$504,$A199,'Resultater - Vestdanmark'!H$3:H$504,"&lt;0"),0),-IF(A199="Halm",SUMIFS(IF(E199=År1,'Resultater - Østdanmark'!H$3:H$504,IF(E199=År2,'Resultater - Østdanmark'!I$3:I$504,'Resultater - Østdanmark'!J$3:J$504)),'Resultater - Østdanmark'!$F$3:$F$504,$A199,'Resultater - Østdanmark'!H$3:H$504,"&lt;0"),0))</f>
        <v>0</v>
      </c>
      <c r="J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forbrug'!J$3,'Forbrug af biomasse'!$B$2:$B$425,$F199)</f>
        <v>0</v>
      </c>
      <c r="K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forbrug'!K$3,'Forbrug af biomasse'!$B$2:$B$425,$F199)</f>
        <v>0</v>
      </c>
      <c r="L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forbrug'!L$3,'Forbrug af biomasse'!$B$2:$B$425,$F199)</f>
        <v>0</v>
      </c>
      <c r="M199" s="94">
        <f ca="1">IF(A199&lt;&gt;"Biogas",SUMIFS('Forbrug af biomasse'!$E$2:$E$425,'Forbrug af biomasse'!$C$2:$C$425,'Resultat-Produktion &amp; forbrug'!$A199,'Forbrug af biomasse'!$D$2:$D$425,'Resultat-Produktion &amp; forbrug'!$E199,'Forbrug af biomasse'!$A$2:$A$425,'Resultat-Produktion &amp; forbrug'!M$3,'Forbrug af biomasse'!$B$2:$B$425,$F199),G199)</f>
        <v>107723774.7744855</v>
      </c>
      <c r="N199" s="94">
        <f>SUMIFS('Forbrug af biomasse'!E:E,'Forbrug af biomasse'!C:C,'Resultat-Produktion &amp; forbrug'!$A199,'Forbrug af biomasse'!D:D,'Resultat-Produktion &amp; forbrug'!$E199,'Forbrug af biomasse'!G:G,1,'Forbrug af biomasse'!B:B,$F199)</f>
        <v>0</v>
      </c>
      <c r="O199" s="179">
        <f t="shared" ca="1" si="53"/>
        <v>0</v>
      </c>
      <c r="P199" s="94">
        <f t="shared" ca="1" si="65"/>
        <v>0</v>
      </c>
      <c r="Q199" s="180">
        <f t="shared" ca="1" si="54"/>
        <v>107723774.7744855</v>
      </c>
      <c r="R199">
        <f ca="1">IFERROR(VLOOKUP(A199,[1]Energiindhold!$A$2:$C$11,3,FALSE),IFERROR(VLOOKUP(A199,[1]Biogasudbytte!$A$2:$B$18,2,FALSE)*[1]Energiindhold!$C$10,0))*P199</f>
        <v>0</v>
      </c>
      <c r="S199">
        <f>IF(A199&lt;&gt;"Biogas",IFERROR(VLOOKUP(A199,[1]Biogasudbytte!$A$2:$B$18,2,FALSE)*[1]Energiindhold!$C$10,0)*K199*IFERROR(VLOOKUP(A199,Biogasanlæg!$F$3:$G$8,2,FALSE),1)+IFERROR(VLOOKUP(A199,[1]Energiindhold!$A$2:$C$11,3,FALSE),0)*M199+IF(E199&lt;&gt;År1,R199,0),0)</f>
        <v>0</v>
      </c>
      <c r="T199">
        <f>IFERROR(VLOOKUP(A199,[1]Biogasudbytte!$A$2:$B$18,2,FALSE)*[1]Energiindhold!$C$10,0)*K199*IFERROR(VLOOKUP(A199,Biogasanlæg!$F$3:$G$8,2,FALSE),1)</f>
        <v>0</v>
      </c>
      <c r="U199" s="170">
        <f t="shared" si="55"/>
        <v>0</v>
      </c>
      <c r="V199" s="169">
        <f ca="1">P199*IFERROR(VLOOKUP(A199,[1]Tørstofindhold!A$2:B$24,2,FALSE),0)</f>
        <v>0</v>
      </c>
      <c r="W199">
        <f ca="1">IF(E199=År1,Q199,SUM(P199,Q199))*IFERROR(VLOOKUP(A199,[1]Tørstofindhold!A$2:B$24,2,FALSE),0)</f>
        <v>0</v>
      </c>
      <c r="X199">
        <f>K199*IFERROR(VLOOKUP(A199,[1]Tørstofindhold!A$2:B$24,2,FALSE),0)</f>
        <v>0</v>
      </c>
      <c r="Y199" s="170">
        <f t="shared" ca="1" si="56"/>
        <v>0</v>
      </c>
      <c r="Z199">
        <f t="shared" ca="1" si="66"/>
        <v>0</v>
      </c>
      <c r="AA199">
        <f t="shared" ca="1" si="67"/>
        <v>0</v>
      </c>
      <c r="AB199" s="94">
        <f t="shared" ca="1" si="68"/>
        <v>107723774.7744855</v>
      </c>
      <c r="AC199">
        <f ca="1">AB199*D199*10000*VLOOKUP(A199,[1]kcal!$A$2:$C$49,3,FALSE)/1000000000000</f>
        <v>0</v>
      </c>
    </row>
    <row r="200" spans="1:29" x14ac:dyDescent="0.25">
      <c r="A200" s="171" t="str">
        <f t="shared" si="62"/>
        <v>Biogasgylle</v>
      </c>
      <c r="B200" s="171" t="str">
        <f t="shared" si="63"/>
        <v/>
      </c>
      <c r="C200" s="171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0</v>
      </c>
      <c r="D200" s="171">
        <f t="shared" si="61"/>
        <v>0</v>
      </c>
      <c r="E200" s="171">
        <f t="shared" si="64"/>
        <v>2030</v>
      </c>
      <c r="F200" t="s">
        <v>24</v>
      </c>
      <c r="G200" s="94">
        <f ca="1">IF(F200="Vestdanmark",SUMIFS(IF(E200=År1,'Resultater - Vestdanmark'!H$3:H$504,IF(E200=År2,'Resultater - Vestdanmark'!I$3:I$504,'Resultater - Vestdanmark'!J$3:J$504)),'Resultater - Vestdanmark'!$F$3:$F$504,$A200,IF(E200=År1,'Resultater - Vestdanmark'!H$3:H$504,IF(E200=År2,'Resultater - Vestdanmark'!I$3:I$504,'Resultater - Vestdanmark'!J$3:J$504)),"&gt;0"),SUMIFS(IF(E200=År1,'Resultater - Østdanmark'!H$3:H$504,IF(E200=År2,'Resultater - Østdanmark'!I$3:I$504,'Resultater - Østdanmark'!J$3:J$504)),'Resultater - Østdanmark'!$F$3:$F$504,$A200,IF(E200=År1,'Resultater - Østdanmark'!H$3:H$504,IF(E200=År2,'Resultater - Østdanmark'!I$3:I$504,'Resultater - Østdanmark'!J$3:J$504)),"&gt;0"))</f>
        <v>4979961.0474174749</v>
      </c>
      <c r="H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forbrug'!H$3,'Forbrug af biomasse'!$B$2:$B$425,$F200)</f>
        <v>0</v>
      </c>
      <c r="I200">
        <f>IF(F200="Vestdanmark",-IF(A200="Halm",SUMIFS(IF(E200=År1,'Resultater - Vestdanmark'!H$3:H$504,IF(E200=År2,'Resultater - Vestdanmark'!I$3:I$504,'Resultater - Vestdanmark'!J$3:J$504)),'Resultater - Vestdanmark'!$F$3:$F$504,$A200,'Resultater - Vestdanmark'!H$3:H$504,"&lt;0"),0),-IF(A200="Halm",SUMIFS(IF(E200=År1,'Resultater - Østdanmark'!H$3:H$504,IF(E200=År2,'Resultater - Østdanmark'!I$3:I$504,'Resultater - Østdanmark'!J$3:J$504)),'Resultater - Østdanmark'!$F$3:$F$504,$A200,'Resultater - Østdanmark'!H$3:H$504,"&lt;0"),0))</f>
        <v>0</v>
      </c>
      <c r="J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forbrug'!J$3,'Forbrug af biomasse'!$B$2:$B$425,$F200)</f>
        <v>0</v>
      </c>
      <c r="K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forbrug'!K$3,'Forbrug af biomasse'!$B$2:$B$425,$F200)</f>
        <v>0</v>
      </c>
      <c r="L200" s="94">
        <f ca="1">SUMIFS('Forbrug af biomasse'!$E$2:$E$425,'Forbrug af biomasse'!$C$2:$C$425,'Resultat-Produktion &amp; forbrug'!$A200,'Forbrug af biomasse'!$D$2:$D$425,'Resultat-Produktion &amp; forbrug'!$E200,'Forbrug af biomasse'!$A$2:$A$425,'Resultat-Produktion &amp; forbrug'!L$3,'Forbrug af biomasse'!$B$2:$B$425,$F200)</f>
        <v>4017892.007010099</v>
      </c>
      <c r="M200" s="94">
        <f>IF(A200&lt;&gt;"Biogas",SUMIFS('Forbrug af biomasse'!$E$2:$E$425,'Forbrug af biomasse'!$C$2:$C$425,'Resultat-Produktion &amp; forbrug'!$A200,'Forbrug af biomasse'!$D$2:$D$425,'Resultat-Produktion &amp; forbrug'!$E200,'Forbrug af biomasse'!$A$2:$A$425,'Resultat-Produktion &amp; forbrug'!M$3,'Forbrug af biomasse'!$B$2:$B$425,$F200),G200)</f>
        <v>0</v>
      </c>
      <c r="N200" s="94">
        <f>SUMIFS('Forbrug af biomasse'!E:E,'Forbrug af biomasse'!C:C,'Resultat-Produktion &amp; forbrug'!$A200,'Forbrug af biomasse'!D:D,'Resultat-Produktion &amp; forbrug'!$E200,'Forbrug af biomasse'!G:G,1,'Forbrug af biomasse'!B:B,$F200)</f>
        <v>0</v>
      </c>
      <c r="O200" s="179">
        <f t="shared" ca="1" si="53"/>
        <v>962069.0404073759</v>
      </c>
      <c r="P200" s="94">
        <f t="shared" si="65"/>
        <v>0</v>
      </c>
      <c r="Q200" s="180">
        <f t="shared" si="54"/>
        <v>0</v>
      </c>
      <c r="R200">
        <f>IFERROR(VLOOKUP(A200,[1]Energiindhold!$A$2:$C$11,3,FALSE),IFERROR(VLOOKUP(A200,[1]Biogasudbytte!$A$2:$B$18,2,FALSE)*[1]Energiindhold!$C$10,0))*P200</f>
        <v>0</v>
      </c>
      <c r="S200">
        <f>IF(A200&lt;&gt;"Biogas",IFERROR(VLOOKUP(A200,[1]Biogasudbytte!$A$2:$B$18,2,FALSE)*[1]Energiindhold!$C$10,0)*K200*IFERROR(VLOOKUP(A200,Biogasanlæg!$F$3:$G$8,2,FALSE),1)+IFERROR(VLOOKUP(A200,[1]Energiindhold!$A$2:$C$11,3,FALSE),0)*M200+IF(E200&lt;&gt;År1,R200,0),0)</f>
        <v>0</v>
      </c>
      <c r="T200">
        <f>IFERROR(VLOOKUP(A200,[1]Biogasudbytte!$A$2:$B$18,2,FALSE)*[1]Energiindhold!$C$10,0)*K200*IFERROR(VLOOKUP(A200,Biogasanlæg!$F$3:$G$8,2,FALSE),1)</f>
        <v>0</v>
      </c>
      <c r="U200" s="170">
        <f t="shared" si="55"/>
        <v>0</v>
      </c>
      <c r="V200" s="169">
        <f>P200*IFERROR(VLOOKUP(A200,[1]Tørstofindhold!A$2:B$24,2,FALSE),0)</f>
        <v>0</v>
      </c>
      <c r="W200">
        <f>IF(E200=År1,Q200,SUM(P200,Q200))*IFERROR(VLOOKUP(A200,[1]Tørstofindhold!A$2:B$24,2,FALSE),0)</f>
        <v>0</v>
      </c>
      <c r="X200">
        <f>K200*IFERROR(VLOOKUP(A200,[1]Tørstofindhold!A$2:B$24,2,FALSE),0)</f>
        <v>0</v>
      </c>
      <c r="Y200" s="170">
        <f t="shared" si="56"/>
        <v>0</v>
      </c>
      <c r="Z200">
        <f t="shared" ca="1" si="66"/>
        <v>0</v>
      </c>
      <c r="AA200">
        <f t="shared" ca="1" si="67"/>
        <v>1</v>
      </c>
      <c r="AB200" s="94">
        <f t="shared" ca="1" si="68"/>
        <v>962069.0404073759</v>
      </c>
      <c r="AC200">
        <f ca="1">AB200*D200*10000*VLOOKUP(A200,[1]kcal!$A$2:$C$49,3,FALSE)/1000000000000</f>
        <v>0</v>
      </c>
    </row>
    <row r="201" spans="1:29" x14ac:dyDescent="0.25">
      <c r="A201" s="171" t="str">
        <f t="shared" si="62"/>
        <v>Brun saft</v>
      </c>
      <c r="B201" s="171" t="str">
        <f t="shared" si="63"/>
        <v>Bionedbrydeligt affald</v>
      </c>
      <c r="C201" s="171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71">
        <f t="shared" si="61"/>
        <v>0</v>
      </c>
      <c r="E201" s="171">
        <f t="shared" si="64"/>
        <v>2030</v>
      </c>
      <c r="F201" t="s">
        <v>24</v>
      </c>
      <c r="G201" s="94">
        <f ca="1">IF(F201="Vestdanmark",SUMIFS(IF(E201=År1,'Resultater - Vestdanmark'!H$3:H$504,IF(E201=År2,'Resultater - Vestdanmark'!I$3:I$504,'Resultater - Vestdanmark'!J$3:J$504)),'Resultater - Vestdanmark'!$F$3:$F$504,$A201,IF(E201=År1,'Resultater - Vestdanmark'!H$3:H$504,IF(E201=År2,'Resultater - Vestdanmark'!I$3:I$504,'Resultater - Vestdanmark'!J$3:J$504)),"&gt;0"),SUMIFS(IF(E201=År1,'Resultater - Østdanmark'!H$3:H$504,IF(E201=År2,'Resultater - Østdanmark'!I$3:I$504,'Resultater - Østdanmark'!J$3:J$504)),'Resultater - Østdanmark'!$F$3:$F$504,$A201,IF(E201=År1,'Resultater - Østdanmark'!H$3:H$504,IF(E201=År2,'Resultater - Østdanmark'!I$3:I$504,'Resultater - Østdanmark'!J$3:J$504)),"&gt;0"))</f>
        <v>0</v>
      </c>
      <c r="H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forbrug'!H$3,'Forbrug af biomasse'!$B$2:$B$425,$F201)</f>
        <v>0</v>
      </c>
      <c r="I201">
        <f>IF(F201="Vestdanmark",-IF(A201="Halm",SUMIFS(IF(E201=År1,'Resultater - Vestdanmark'!H$3:H$504,IF(E201=År2,'Resultater - Vestdanmark'!I$3:I$504,'Resultater - Vestdanmark'!J$3:J$504)),'Resultater - Vestdanmark'!$F$3:$F$504,$A201,'Resultater - Vestdanmark'!H$3:H$504,"&lt;0"),0),-IF(A201="Halm",SUMIFS(IF(E201=År1,'Resultater - Østdanmark'!H$3:H$504,IF(E201=År2,'Resultater - Østdanmark'!I$3:I$504,'Resultater - Østdanmark'!J$3:J$504)),'Resultater - Østdanmark'!$F$3:$F$504,$A201,'Resultater - Østdanmark'!H$3:H$504,"&lt;0"),0))</f>
        <v>0</v>
      </c>
      <c r="J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forbrug'!J$3,'Forbrug af biomasse'!$B$2:$B$425,$F201)</f>
        <v>0</v>
      </c>
      <c r="K201" s="94">
        <f ca="1">SUMIFS('Forbrug af biomasse'!$E$2:$E$425,'Forbrug af biomasse'!$C$2:$C$425,'Resultat-Produktion &amp; forbrug'!$A201,'Forbrug af biomasse'!$D$2:$D$425,'Resultat-Produktion &amp; forbrug'!$E201,'Forbrug af biomasse'!$A$2:$A$425,'Resultat-Produktion &amp; forbrug'!K$3,'Forbrug af biomasse'!$B$2:$B$425,$F201)</f>
        <v>0</v>
      </c>
      <c r="L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forbrug'!L$3,'Forbrug af biomasse'!$B$2:$B$425,$F201)</f>
        <v>0</v>
      </c>
      <c r="M201" s="94">
        <f>IF(A201&lt;&gt;"Biogas",SUMIFS('Forbrug af biomasse'!$E$2:$E$425,'Forbrug af biomasse'!$C$2:$C$425,'Resultat-Produktion &amp; forbrug'!$A201,'Forbrug af biomasse'!$D$2:$D$425,'Resultat-Produktion &amp; forbrug'!$E201,'Forbrug af biomasse'!$A$2:$A$425,'Resultat-Produktion &amp; forbrug'!M$3,'Forbrug af biomasse'!$B$2:$B$425,$F201),G201)</f>
        <v>0</v>
      </c>
      <c r="N201" s="94">
        <f>SUMIFS('Forbrug af biomasse'!E:E,'Forbrug af biomasse'!C:C,'Resultat-Produktion &amp; forbrug'!$A201,'Forbrug af biomasse'!D:D,'Resultat-Produktion &amp; forbrug'!$E201,'Forbrug af biomasse'!G:G,1,'Forbrug af biomasse'!B:B,$F201)</f>
        <v>0</v>
      </c>
      <c r="O201" s="179">
        <f t="shared" ca="1" si="53"/>
        <v>0</v>
      </c>
      <c r="P201" s="94">
        <f t="shared" ca="1" si="65"/>
        <v>0</v>
      </c>
      <c r="Q201" s="180">
        <f t="shared" ca="1" si="54"/>
        <v>0</v>
      </c>
      <c r="R201">
        <f ca="1">IFERROR(VLOOKUP(A201,[1]Energiindhold!$A$2:$C$11,3,FALSE),IFERROR(VLOOKUP(A201,[1]Biogasudbytte!$A$2:$B$18,2,FALSE)*[1]Energiindhold!$C$10,0))*P201</f>
        <v>0</v>
      </c>
      <c r="S201">
        <f ca="1">IF(A201&lt;&gt;"Biogas",IFERROR(VLOOKUP(A201,[1]Biogasudbytte!$A$2:$B$18,2,FALSE)*[1]Energiindhold!$C$10,0)*K201*IFERROR(VLOOKUP(A201,Biogasanlæg!$F$3:$G$8,2,FALSE),1)+IFERROR(VLOOKUP(A201,[1]Energiindhold!$A$2:$C$11,3,FALSE),0)*M201+IF(E201&lt;&gt;År1,R201,0),0)</f>
        <v>0</v>
      </c>
      <c r="T201">
        <f ca="1">IFERROR(VLOOKUP(A201,[1]Biogasudbytte!$A$2:$B$18,2,FALSE)*[1]Energiindhold!$C$10,0)*K201*IFERROR(VLOOKUP(A201,Biogasanlæg!$F$3:$G$8,2,FALSE),1)</f>
        <v>0</v>
      </c>
      <c r="U201" s="170">
        <f t="shared" ca="1" si="55"/>
        <v>0</v>
      </c>
      <c r="V201" s="169">
        <f ca="1">P201*IFERROR(VLOOKUP(A201,[1]Tørstofindhold!A$2:B$24,2,FALSE),0)</f>
        <v>0</v>
      </c>
      <c r="W201">
        <f ca="1">IF(E201=År1,Q201,SUM(P201,Q201))*IFERROR(VLOOKUP(A201,[1]Tørstofindhold!A$2:B$24,2,FALSE),0)</f>
        <v>0</v>
      </c>
      <c r="X201">
        <f ca="1">K201*IFERROR(VLOOKUP(A201,[1]Tørstofindhold!A$2:B$24,2,FALSE),0)</f>
        <v>0</v>
      </c>
      <c r="Y201" s="170">
        <f t="shared" ca="1" si="56"/>
        <v>0</v>
      </c>
      <c r="Z201">
        <f t="shared" ca="1" si="66"/>
        <v>0</v>
      </c>
      <c r="AA201">
        <f t="shared" ca="1" si="67"/>
        <v>0</v>
      </c>
      <c r="AB201" s="94">
        <f t="shared" ca="1" si="68"/>
        <v>0</v>
      </c>
      <c r="AC201">
        <f ca="1">AB201*D201*10000*VLOOKUP(A201,[1]kcal!$A$2:$C$49,3,FALSE)/1000000000000</f>
        <v>0</v>
      </c>
    </row>
    <row r="202" spans="1:29" x14ac:dyDescent="0.25">
      <c r="A202" s="171" t="str">
        <f t="shared" si="62"/>
        <v>Dybstrøelse</v>
      </c>
      <c r="B202" s="171" t="str">
        <f t="shared" si="63"/>
        <v>Husdyrgødning</v>
      </c>
      <c r="C202" s="171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1</v>
      </c>
      <c r="D202" s="171">
        <f t="shared" si="61"/>
        <v>0</v>
      </c>
      <c r="E202" s="171">
        <f t="shared" si="64"/>
        <v>2030</v>
      </c>
      <c r="F202" t="s">
        <v>24</v>
      </c>
      <c r="G202" s="94">
        <f ca="1">IF(F202="Vestdanmark",SUMIFS(IF(E202=År1,'Resultater - Vestdanmark'!H$3:H$504,IF(E202=År2,'Resultater - Vestdanmark'!I$3:I$504,'Resultater - Vestdanmark'!J$3:J$504)),'Resultater - Vestdanmark'!$F$3:$F$504,$A202,IF(E202=År1,'Resultater - Vestdanmark'!H$3:H$504,IF(E202=År2,'Resultater - Vestdanmark'!I$3:I$504,'Resultater - Vestdanmark'!J$3:J$504)),"&gt;0"),SUMIFS(IF(E202=År1,'Resultater - Østdanmark'!H$3:H$504,IF(E202=År2,'Resultater - Østdanmark'!I$3:I$504,'Resultater - Østdanmark'!J$3:J$504)),'Resultater - Østdanmark'!$F$3:$F$504,$A202,IF(E202=År1,'Resultater - Østdanmark'!H$3:H$504,IF(E202=År2,'Resultater - Østdanmark'!I$3:I$504,'Resultater - Østdanmark'!J$3:J$504)),"&gt;0"))</f>
        <v>346377.64489394147</v>
      </c>
      <c r="H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forbrug'!H$3,'Forbrug af biomasse'!$B$2:$B$425,$F202)</f>
        <v>0</v>
      </c>
      <c r="I202">
        <f>IF(F202="Vestdanmark",-IF(A202="Halm",SUMIFS(IF(E202=År1,'Resultater - Vestdanmark'!H$3:H$504,IF(E202=År2,'Resultater - Vestdanmark'!I$3:I$504,'Resultater - Vestdanmark'!J$3:J$504)),'Resultater - Vestdanmark'!$F$3:$F$504,$A202,'Resultater - Vestdanmark'!H$3:H$504,"&lt;0"),0),-IF(A202="Halm",SUMIFS(IF(E202=År1,'Resultater - Østdanmark'!H$3:H$504,IF(E202=År2,'Resultater - Østdanmark'!I$3:I$504,'Resultater - Østdanmark'!J$3:J$504)),'Resultater - Østdanmark'!$F$3:$F$504,$A202,'Resultater - Østdanmark'!H$3:H$504,"&lt;0"),0))</f>
        <v>0</v>
      </c>
      <c r="J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forbrug'!J$3,'Forbrug af biomasse'!$B$2:$B$425,$F202)</f>
        <v>0</v>
      </c>
      <c r="K202" s="94">
        <f ca="1">SUMIFS('Forbrug af biomasse'!$E$2:$E$425,'Forbrug af biomasse'!$C$2:$C$425,'Resultat-Produktion &amp; forbrug'!$A202,'Forbrug af biomasse'!$D$2:$D$425,'Resultat-Produktion &amp; forbrug'!$E202,'Forbrug af biomasse'!$A$2:$A$425,'Resultat-Produktion &amp; forbrug'!K$3,'Forbrug af biomasse'!$B$2:$B$425,$F202)</f>
        <v>259783.2336704561</v>
      </c>
      <c r="L202" s="94">
        <f ca="1">SUMIFS('Forbrug af biomasse'!$E$2:$E$425,'Forbrug af biomasse'!$C$2:$C$425,'Resultat-Produktion &amp; forbrug'!$A202,'Forbrug af biomasse'!$D$2:$D$425,'Resultat-Produktion &amp; forbrug'!$E202,'Forbrug af biomasse'!$A$2:$A$425,'Resultat-Produktion &amp; forbrug'!L$3,'Forbrug af biomasse'!$B$2:$B$425,$F202)</f>
        <v>32782.169963176602</v>
      </c>
      <c r="M202" s="94">
        <f>IF(A202&lt;&gt;"Biogas",SUMIFS('Forbrug af biomasse'!$E$2:$E$425,'Forbrug af biomasse'!$C$2:$C$425,'Resultat-Produktion &amp; forbrug'!$A202,'Forbrug af biomasse'!$D$2:$D$425,'Resultat-Produktion &amp; forbrug'!$E202,'Forbrug af biomasse'!$A$2:$A$425,'Resultat-Produktion &amp; forbrug'!M$3,'Forbrug af biomasse'!$B$2:$B$425,$F202),G202)</f>
        <v>0</v>
      </c>
      <c r="N202" s="94">
        <f>SUMIFS('Forbrug af biomasse'!E:E,'Forbrug af biomasse'!C:C,'Resultat-Produktion &amp; forbrug'!$A202,'Forbrug af biomasse'!D:D,'Resultat-Produktion &amp; forbrug'!$E202,'Forbrug af biomasse'!G:G,1,'Forbrug af biomasse'!B:B,$F202)</f>
        <v>0</v>
      </c>
      <c r="O202" s="179">
        <f t="shared" ca="1" si="53"/>
        <v>53812.241260308772</v>
      </c>
      <c r="P202" s="94">
        <f t="shared" ca="1" si="65"/>
        <v>53812.241260308772</v>
      </c>
      <c r="Q202" s="180">
        <f t="shared" ca="1" si="54"/>
        <v>259783.2336704561</v>
      </c>
      <c r="R202">
        <f ca="1">IFERROR(VLOOKUP(A202,[1]Energiindhold!$A$2:$C$11,3,FALSE),IFERROR(VLOOKUP(A202,[1]Biogasudbytte!$A$2:$B$18,2,FALSE)*[1]Energiindhold!$C$10,0))*P202</f>
        <v>0.1159115676747051</v>
      </c>
      <c r="S202">
        <f ca="1">IF(A202&lt;&gt;"Biogas",IFERROR(VLOOKUP(A202,[1]Biogasudbytte!$A$2:$B$18,2,FALSE)*[1]Energiindhold!$C$10,0)*K202*IFERROR(VLOOKUP(A202,Biogasanlæg!$F$3:$G$8,2,FALSE),1)+IFERROR(VLOOKUP(A202,[1]Energiindhold!$A$2:$C$11,3,FALSE),0)*M202+IF(E202&lt;&gt;År1,R202,0),0)</f>
        <v>0.67548465300086757</v>
      </c>
      <c r="T202">
        <f ca="1">IFERROR(VLOOKUP(A202,[1]Biogasudbytte!$A$2:$B$18,2,FALSE)*[1]Energiindhold!$C$10,0)*K202*IFERROR(VLOOKUP(A202,Biogasanlæg!$F$3:$G$8,2,FALSE),1)</f>
        <v>0.55957308532616246</v>
      </c>
      <c r="U202" s="170">
        <f t="shared" ca="1" si="55"/>
        <v>0.11591156767470512</v>
      </c>
      <c r="V202" s="169">
        <f ca="1">P202*IFERROR(VLOOKUP(A202,[1]Tørstofindhold!A$2:B$24,2,FALSE),0)</f>
        <v>16143.672378092631</v>
      </c>
      <c r="W202">
        <f ca="1">IF(E202=År1,Q202,SUM(P202,Q202))*IFERROR(VLOOKUP(A202,[1]Tørstofindhold!A$2:B$24,2,FALSE),0)</f>
        <v>94078.642479229457</v>
      </c>
      <c r="X202">
        <f ca="1">K202*IFERROR(VLOOKUP(A202,[1]Tørstofindhold!A$2:B$24,2,FALSE),0)</f>
        <v>77934.970101136831</v>
      </c>
      <c r="Y202" s="170">
        <f t="shared" ca="1" si="56"/>
        <v>16143.672378092626</v>
      </c>
      <c r="Z202">
        <f t="shared" ca="1" si="66"/>
        <v>0</v>
      </c>
      <c r="AA202">
        <f t="shared" ca="1" si="67"/>
        <v>1</v>
      </c>
      <c r="AB202" s="94">
        <f t="shared" ca="1" si="68"/>
        <v>53812.241260308772</v>
      </c>
      <c r="AC202">
        <f ca="1">AB202*D202*10000*VLOOKUP(A202,[1]kcal!$A$2:$C$49,3,FALSE)/1000000000000</f>
        <v>0</v>
      </c>
    </row>
    <row r="203" spans="1:29" x14ac:dyDescent="0.25">
      <c r="A203" s="171" t="str">
        <f t="shared" si="62"/>
        <v>Fiberfraktion</v>
      </c>
      <c r="B203" s="171" t="str">
        <f t="shared" si="63"/>
        <v/>
      </c>
      <c r="C203" s="171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0</v>
      </c>
      <c r="D203" s="171">
        <f t="shared" si="61"/>
        <v>0</v>
      </c>
      <c r="E203" s="171">
        <f t="shared" si="64"/>
        <v>2030</v>
      </c>
      <c r="F203" t="s">
        <v>24</v>
      </c>
      <c r="G203" s="94">
        <f ca="1">IF(F203="Vestdanmark",SUMIFS(IF(E203=År1,'Resultater - Vestdanmark'!H$3:H$504,IF(E203=År2,'Resultater - Vestdanmark'!I$3:I$504,'Resultater - Vestdanmark'!J$3:J$504)),'Resultater - Vestdanmark'!$F$3:$F$504,$A203,IF(E203=År1,'Resultater - Vestdanmark'!H$3:H$504,IF(E203=År2,'Resultater - Vestdanmark'!I$3:I$504,'Resultater - Vestdanmark'!J$3:J$504)),"&gt;0"),SUMIFS(IF(E203=År1,'Resultater - Østdanmark'!H$3:H$504,IF(E203=År2,'Resultater - Østdanmark'!I$3:I$504,'Resultater - Østdanmark'!J$3:J$504)),'Resultater - Østdanmark'!$F$3:$F$504,$A203,IF(E203=År1,'Resultater - Østdanmark'!H$3:H$504,IF(E203=År2,'Resultater - Østdanmark'!I$3:I$504,'Resultater - Østdanmark'!J$3:J$504)),"&gt;0"))</f>
        <v>0</v>
      </c>
      <c r="H203" s="94">
        <f ca="1">SUMIFS('Forbrug af biomasse'!$E$2:$E$425,'Forbrug af biomasse'!$C$2:$C$425,'Resultat-Produktion &amp; forbrug'!$A203,'Forbrug af biomasse'!$D$2:$D$425,'Resultat-Produktion &amp; forbrug'!$E203,'Forbrug af biomasse'!$A$2:$A$425,'Resultat-Produktion &amp; forbrug'!H$3,'Forbrug af biomasse'!$B$2:$B$425,$F203)</f>
        <v>0</v>
      </c>
      <c r="I203">
        <f>IF(F203="Vestdanmark",-IF(A203="Halm",SUMIFS(IF(E203=År1,'Resultater - Vestdanmark'!H$3:H$504,IF(E203=År2,'Resultater - Vestdanmark'!I$3:I$504,'Resultater - Vestdanmark'!J$3:J$504)),'Resultater - Vestdanmark'!$F$3:$F$504,$A203,'Resultater - Vestdanmark'!H$3:H$504,"&lt;0"),0),-IF(A203="Halm",SUMIFS(IF(E203=År1,'Resultater - Østdanmark'!H$3:H$504,IF(E203=År2,'Resultater - Østdanmark'!I$3:I$504,'Resultater - Østdanmark'!J$3:J$504)),'Resultater - Østdanmark'!$F$3:$F$504,$A203,'Resultater - Østdanmark'!H$3:H$504,"&lt;0"),0))</f>
        <v>0</v>
      </c>
      <c r="J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forbrug'!J$3,'Forbrug af biomasse'!$B$2:$B$425,$F203)</f>
        <v>0</v>
      </c>
      <c r="K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forbrug'!K$3,'Forbrug af biomasse'!$B$2:$B$425,$F203)</f>
        <v>0</v>
      </c>
      <c r="L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forbrug'!L$3,'Forbrug af biomasse'!$B$2:$B$425,$F203)</f>
        <v>0</v>
      </c>
      <c r="M203" s="94">
        <f>IF(A203&lt;&gt;"Biogas",SUMIFS('Forbrug af biomasse'!$E$2:$E$425,'Forbrug af biomasse'!$C$2:$C$425,'Resultat-Produktion &amp; forbrug'!$A203,'Forbrug af biomasse'!$D$2:$D$425,'Resultat-Produktion &amp; forbrug'!$E203,'Forbrug af biomasse'!$A$2:$A$425,'Resultat-Produktion &amp; forbrug'!M$3,'Forbrug af biomasse'!$B$2:$B$425,$F203),G203)</f>
        <v>0</v>
      </c>
      <c r="N203" s="94">
        <f>SUMIFS('Forbrug af biomasse'!E:E,'Forbrug af biomasse'!C:C,'Resultat-Produktion &amp; forbrug'!$A203,'Forbrug af biomasse'!D:D,'Resultat-Produktion &amp; forbrug'!$E203,'Forbrug af biomasse'!G:G,1,'Forbrug af biomasse'!B:B,$F203)</f>
        <v>0</v>
      </c>
      <c r="O203" s="179">
        <f t="shared" ca="1" si="53"/>
        <v>0</v>
      </c>
      <c r="P203" s="94">
        <f t="shared" si="65"/>
        <v>0</v>
      </c>
      <c r="Q203" s="180">
        <f t="shared" si="54"/>
        <v>0</v>
      </c>
      <c r="R203">
        <f>IFERROR(VLOOKUP(A203,[1]Energiindhold!$A$2:$C$11,3,FALSE),IFERROR(VLOOKUP(A203,[1]Biogasudbytte!$A$2:$B$18,2,FALSE)*[1]Energiindhold!$C$10,0))*P203</f>
        <v>0</v>
      </c>
      <c r="S203">
        <f>IF(A203&lt;&gt;"Biogas",IFERROR(VLOOKUP(A203,[1]Biogasudbytte!$A$2:$B$18,2,FALSE)*[1]Energiindhold!$C$10,0)*K203*IFERROR(VLOOKUP(A203,Biogasanlæg!$F$3:$G$8,2,FALSE),1)+IFERROR(VLOOKUP(A203,[1]Energiindhold!$A$2:$C$11,3,FALSE),0)*M203+IF(E203&lt;&gt;År1,R203,0),0)</f>
        <v>0</v>
      </c>
      <c r="T203">
        <f>IFERROR(VLOOKUP(A203,[1]Biogasudbytte!$A$2:$B$18,2,FALSE)*[1]Energiindhold!$C$10,0)*K203*IFERROR(VLOOKUP(A203,Biogasanlæg!$F$3:$G$8,2,FALSE),1)</f>
        <v>0</v>
      </c>
      <c r="U203" s="170">
        <f t="shared" si="55"/>
        <v>0</v>
      </c>
      <c r="V203" s="169">
        <f>P203*IFERROR(VLOOKUP(A203,[1]Tørstofindhold!A$2:B$24,2,FALSE),0)</f>
        <v>0</v>
      </c>
      <c r="W203">
        <f>IF(E203=År1,Q203,SUM(P203,Q203))*IFERROR(VLOOKUP(A203,[1]Tørstofindhold!A$2:B$24,2,FALSE),0)</f>
        <v>0</v>
      </c>
      <c r="X203">
        <f>K203*IFERROR(VLOOKUP(A203,[1]Tørstofindhold!A$2:B$24,2,FALSE),0)</f>
        <v>0</v>
      </c>
      <c r="Y203" s="170">
        <f t="shared" si="56"/>
        <v>0</v>
      </c>
      <c r="Z203">
        <f t="shared" ca="1" si="66"/>
        <v>0</v>
      </c>
      <c r="AA203">
        <f t="shared" ca="1" si="67"/>
        <v>0</v>
      </c>
      <c r="AB203" s="94">
        <f t="shared" ca="1" si="68"/>
        <v>0</v>
      </c>
      <c r="AC203">
        <f ca="1">AB203*D203*10000*VLOOKUP(A203,[1]kcal!$A$2:$C$49,3,FALSE)/1000000000000</f>
        <v>0</v>
      </c>
    </row>
    <row r="204" spans="1:29" x14ac:dyDescent="0.25">
      <c r="A204" s="171" t="str">
        <f t="shared" si="62"/>
        <v>Fjerkrægylle</v>
      </c>
      <c r="B204" s="171" t="str">
        <f t="shared" si="63"/>
        <v>Husdyrgødning</v>
      </c>
      <c r="C204" s="171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1</v>
      </c>
      <c r="D204" s="171">
        <f t="shared" si="61"/>
        <v>0</v>
      </c>
      <c r="E204" s="171">
        <f t="shared" si="64"/>
        <v>2030</v>
      </c>
      <c r="F204" t="s">
        <v>24</v>
      </c>
      <c r="G204" s="94">
        <f ca="1">IF(F204="Vestdanmark",SUMIFS(IF(E204=År1,'Resultater - Vestdanmark'!H$3:H$504,IF(E204=År2,'Resultater - Vestdanmark'!I$3:I$504,'Resultater - Vestdanmark'!J$3:J$504)),'Resultater - Vestdanmark'!$F$3:$F$504,$A204,IF(E204=År1,'Resultater - Vestdanmark'!H$3:H$504,IF(E204=År2,'Resultater - Vestdanmark'!I$3:I$504,'Resultater - Vestdanmark'!J$3:J$504)),"&gt;0"),SUMIFS(IF(E204=År1,'Resultater - Østdanmark'!H$3:H$504,IF(E204=År2,'Resultater - Østdanmark'!I$3:I$504,'Resultater - Østdanmark'!J$3:J$504)),'Resultater - Østdanmark'!$F$3:$F$504,$A204,IF(E204=År1,'Resultater - Østdanmark'!H$3:H$504,IF(E204=År2,'Resultater - Østdanmark'!I$3:I$504,'Resultater - Østdanmark'!J$3:J$504)),"&gt;0"))</f>
        <v>700.20192515285464</v>
      </c>
      <c r="H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forbrug'!H$3,'Forbrug af biomasse'!$B$2:$B$425,$F204)</f>
        <v>0</v>
      </c>
      <c r="I204">
        <f>IF(F204="Vestdanmark",-IF(A204="Halm",SUMIFS(IF(E204=År1,'Resultater - Vestdanmark'!H$3:H$504,IF(E204=År2,'Resultater - Vestdanmark'!I$3:I$504,'Resultater - Vestdanmark'!J$3:J$504)),'Resultater - Vestdanmark'!$F$3:$F$504,$A204,'Resultater - Vestdanmark'!H$3:H$504,"&lt;0"),0),-IF(A204="Halm",SUMIFS(IF(E204=År1,'Resultater - Østdanmark'!H$3:H$504,IF(E204=År2,'Resultater - Østdanmark'!I$3:I$504,'Resultater - Østdanmark'!J$3:J$504)),'Resultater - Østdanmark'!$F$3:$F$504,$A204,'Resultater - Østdanmark'!H$3:H$504,"&lt;0"),0))</f>
        <v>0</v>
      </c>
      <c r="J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forbrug'!J$3,'Forbrug af biomasse'!$B$2:$B$425,$F204)</f>
        <v>0</v>
      </c>
      <c r="K204" s="94">
        <f ca="1">SUMIFS('Forbrug af biomasse'!$E$2:$E$425,'Forbrug af biomasse'!$C$2:$C$425,'Resultat-Produktion &amp; forbrug'!$A204,'Forbrug af biomasse'!$D$2:$D$425,'Resultat-Produktion &amp; forbrug'!$E204,'Forbrug af biomasse'!$A$2:$A$425,'Resultat-Produktion &amp; forbrug'!K$3,'Forbrug af biomasse'!$B$2:$B$425,$F204)</f>
        <v>525.15144386464101</v>
      </c>
      <c r="L204" s="94">
        <f ca="1">SUMIFS('Forbrug af biomasse'!$E$2:$E$425,'Forbrug af biomasse'!$C$2:$C$425,'Resultat-Produktion &amp; forbrug'!$A204,'Forbrug af biomasse'!$D$2:$D$425,'Resultat-Produktion &amp; forbrug'!$E204,'Forbrug af biomasse'!$A$2:$A$425,'Resultat-Produktion &amp; forbrug'!L$3,'Forbrug af biomasse'!$B$2:$B$425,$F204)</f>
        <v>175.05048128821366</v>
      </c>
      <c r="M204" s="94">
        <f>IF(A204&lt;&gt;"Biogas",SUMIFS('Forbrug af biomasse'!$E$2:$E$425,'Forbrug af biomasse'!$C$2:$C$425,'Resultat-Produktion &amp; forbrug'!$A204,'Forbrug af biomasse'!$D$2:$D$425,'Resultat-Produktion &amp; forbrug'!$E204,'Forbrug af biomasse'!$A$2:$A$425,'Resultat-Produktion &amp; forbrug'!M$3,'Forbrug af biomasse'!$B$2:$B$425,$F204),G204)</f>
        <v>0</v>
      </c>
      <c r="N204" s="94">
        <f>SUMIFS('Forbrug af biomasse'!E:E,'Forbrug af biomasse'!C:C,'Resultat-Produktion &amp; forbrug'!$A204,'Forbrug af biomasse'!D:D,'Resultat-Produktion &amp; forbrug'!$E204,'Forbrug af biomasse'!G:G,1,'Forbrug af biomasse'!B:B,$F204)</f>
        <v>0</v>
      </c>
      <c r="O204" s="179">
        <f t="shared" ca="1" si="53"/>
        <v>0</v>
      </c>
      <c r="P204" s="94">
        <f t="shared" ca="1" si="65"/>
        <v>0</v>
      </c>
      <c r="Q204" s="180">
        <f t="shared" ca="1" si="54"/>
        <v>525.15144386464101</v>
      </c>
      <c r="R204">
        <f ca="1">IFERROR(VLOOKUP(A204,[1]Energiindhold!$A$2:$C$11,3,FALSE),IFERROR(VLOOKUP(A204,[1]Biogasudbytte!$A$2:$B$18,2,FALSE)*[1]Energiindhold!$C$10,0))*P204</f>
        <v>0</v>
      </c>
      <c r="S204">
        <f ca="1">IF(A204&lt;&gt;"Biogas",IFERROR(VLOOKUP(A204,[1]Biogasudbytte!$A$2:$B$18,2,FALSE)*[1]Energiindhold!$C$10,0)*K204*IFERROR(VLOOKUP(A204,Biogasanlæg!$F$3:$G$8,2,FALSE),1)+IFERROR(VLOOKUP(A204,[1]Energiindhold!$A$2:$C$11,3,FALSE),0)*M204+IF(E204&lt;&gt;År1,R204,0),0)</f>
        <v>2.4697347253510203E-4</v>
      </c>
      <c r="T204">
        <f ca="1">IFERROR(VLOOKUP(A204,[1]Biogasudbytte!$A$2:$B$18,2,FALSE)*[1]Energiindhold!$C$10,0)*K204*IFERROR(VLOOKUP(A204,Biogasanlæg!$F$3:$G$8,2,FALSE),1)</f>
        <v>2.4697347253510203E-4</v>
      </c>
      <c r="U204" s="170">
        <f t="shared" ca="1" si="55"/>
        <v>0</v>
      </c>
      <c r="V204" s="169">
        <f ca="1">P204*IFERROR(VLOOKUP(A204,[1]Tørstofindhold!A$2:B$24,2,FALSE),0)</f>
        <v>0</v>
      </c>
      <c r="W204">
        <f ca="1">IF(E204=År1,Q204,SUM(P204,Q204))*IFERROR(VLOOKUP(A204,[1]Tørstofindhold!A$2:B$24,2,FALSE),0)</f>
        <v>33.084540963472385</v>
      </c>
      <c r="X204">
        <f ca="1">K204*IFERROR(VLOOKUP(A204,[1]Tørstofindhold!A$2:B$24,2,FALSE),0)</f>
        <v>33.084540963472385</v>
      </c>
      <c r="Y204" s="170">
        <f t="shared" ca="1" si="56"/>
        <v>0</v>
      </c>
      <c r="Z204">
        <f t="shared" ca="1" si="66"/>
        <v>0</v>
      </c>
      <c r="AA204">
        <f t="shared" ca="1" si="67"/>
        <v>0</v>
      </c>
      <c r="AB204" s="94">
        <f t="shared" ca="1" si="68"/>
        <v>0</v>
      </c>
      <c r="AC204">
        <f ca="1">AB204*D204*10000*VLOOKUP(A204,[1]kcal!$A$2:$C$49,3,FALSE)/1000000000000</f>
        <v>0</v>
      </c>
    </row>
    <row r="205" spans="1:29" x14ac:dyDescent="0.25">
      <c r="A205" s="171" t="str">
        <f t="shared" si="62"/>
        <v>Fjerkrækød</v>
      </c>
      <c r="B205" s="171" t="str">
        <f t="shared" si="63"/>
        <v/>
      </c>
      <c r="C205" s="171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71">
        <f t="shared" si="61"/>
        <v>1</v>
      </c>
      <c r="E205" s="171">
        <f t="shared" si="64"/>
        <v>2030</v>
      </c>
      <c r="F205" t="s">
        <v>24</v>
      </c>
      <c r="G205" s="94">
        <f ca="1">IF(F205="Vestdanmark",SUMIFS(IF(E205=År1,'Resultater - Vestdanmark'!H$3:H$504,IF(E205=År2,'Resultater - Vestdanmark'!I$3:I$504,'Resultater - Vestdanmark'!J$3:J$504)),'Resultater - Vestdanmark'!$F$3:$F$504,$A205,IF(E205=År1,'Resultater - Vestdanmark'!H$3:H$504,IF(E205=År2,'Resultater - Vestdanmark'!I$3:I$504,'Resultater - Vestdanmark'!J$3:J$504)),"&gt;0"),SUMIFS(IF(E205=År1,'Resultater - Østdanmark'!H$3:H$504,IF(E205=År2,'Resultater - Østdanmark'!I$3:I$504,'Resultater - Østdanmark'!J$3:J$504)),'Resultater - Østdanmark'!$F$3:$F$504,$A205,IF(E205=År1,'Resultater - Østdanmark'!H$3:H$504,IF(E205=År2,'Resultater - Østdanmark'!I$3:I$504,'Resultater - Østdanmark'!J$3:J$504)),"&gt;0"))</f>
        <v>15244.045659594452</v>
      </c>
      <c r="H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forbrug'!H$3,'Forbrug af biomasse'!$B$2:$B$425,$F205)</f>
        <v>0</v>
      </c>
      <c r="I205">
        <f>IF(F205="Vestdanmark",-IF(A205="Halm",SUMIFS(IF(E205=År1,'Resultater - Vestdanmark'!H$3:H$504,IF(E205=År2,'Resultater - Vestdanmark'!I$3:I$504,'Resultater - Vestdanmark'!J$3:J$504)),'Resultater - Vestdanmark'!$F$3:$F$504,$A205,'Resultater - Vestdanmark'!H$3:H$504,"&lt;0"),0),-IF(A205="Halm",SUMIFS(IF(E205=År1,'Resultater - Østdanmark'!H$3:H$504,IF(E205=År2,'Resultater - Østdanmark'!I$3:I$504,'Resultater - Østdanmark'!J$3:J$504)),'Resultater - Østdanmark'!$F$3:$F$504,$A205,'Resultater - Østdanmark'!H$3:H$504,"&lt;0"),0))</f>
        <v>0</v>
      </c>
      <c r="J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forbrug'!J$3,'Forbrug af biomasse'!$B$2:$B$425,$F205)</f>
        <v>30560.118468347584</v>
      </c>
      <c r="K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forbrug'!K$3,'Forbrug af biomasse'!$B$2:$B$425,$F205)</f>
        <v>0</v>
      </c>
      <c r="L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forbrug'!L$3,'Forbrug af biomasse'!$B$2:$B$425,$F205)</f>
        <v>0</v>
      </c>
      <c r="M205" s="94">
        <f>IF(A205&lt;&gt;"Biogas",SUMIFS('Forbrug af biomasse'!$E$2:$E$425,'Forbrug af biomasse'!$C$2:$C$425,'Resultat-Produktion &amp; forbrug'!$A205,'Forbrug af biomasse'!$D$2:$D$425,'Resultat-Produktion &amp; forbrug'!$E205,'Forbrug af biomasse'!$A$2:$A$425,'Resultat-Produktion &amp; forbrug'!M$3,'Forbrug af biomasse'!$B$2:$B$425,$F205),G205)</f>
        <v>0</v>
      </c>
      <c r="N205" s="94">
        <f>SUMIFS('Forbrug af biomasse'!E:E,'Forbrug af biomasse'!C:C,'Resultat-Produktion &amp; forbrug'!$A205,'Forbrug af biomasse'!D:D,'Resultat-Produktion &amp; forbrug'!$E205,'Forbrug af biomasse'!G:G,1,'Forbrug af biomasse'!B:B,$F205)</f>
        <v>0</v>
      </c>
      <c r="O205" s="179">
        <f t="shared" ca="1" si="53"/>
        <v>-15316.072808753132</v>
      </c>
      <c r="P205" s="94">
        <f t="shared" si="65"/>
        <v>0</v>
      </c>
      <c r="Q205" s="180">
        <f t="shared" si="54"/>
        <v>0</v>
      </c>
      <c r="R205">
        <f>IFERROR(VLOOKUP(A205,[1]Energiindhold!$A$2:$C$11,3,FALSE),IFERROR(VLOOKUP(A205,[1]Biogasudbytte!$A$2:$B$18,2,FALSE)*[1]Energiindhold!$C$10,0))*P205</f>
        <v>0</v>
      </c>
      <c r="S205">
        <f>IF(A205&lt;&gt;"Biogas",IFERROR(VLOOKUP(A205,[1]Biogasudbytte!$A$2:$B$18,2,FALSE)*[1]Energiindhold!$C$10,0)*K205*IFERROR(VLOOKUP(A205,Biogasanlæg!$F$3:$G$8,2,FALSE),1)+IFERROR(VLOOKUP(A205,[1]Energiindhold!$A$2:$C$11,3,FALSE),0)*M205+IF(E205&lt;&gt;År1,R205,0),0)</f>
        <v>0</v>
      </c>
      <c r="T205">
        <f>IFERROR(VLOOKUP(A205,[1]Biogasudbytte!$A$2:$B$18,2,FALSE)*[1]Energiindhold!$C$10,0)*K205*IFERROR(VLOOKUP(A205,Biogasanlæg!$F$3:$G$8,2,FALSE),1)</f>
        <v>0</v>
      </c>
      <c r="U205" s="170">
        <f t="shared" si="55"/>
        <v>0</v>
      </c>
      <c r="V205" s="169">
        <f>P205*IFERROR(VLOOKUP(A205,[1]Tørstofindhold!A$2:B$24,2,FALSE),0)</f>
        <v>0</v>
      </c>
      <c r="W205">
        <f>IF(E205=År1,Q205,SUM(P205,Q205))*IFERROR(VLOOKUP(A205,[1]Tørstofindhold!A$2:B$24,2,FALSE),0)</f>
        <v>0</v>
      </c>
      <c r="X205">
        <f>K205*IFERROR(VLOOKUP(A205,[1]Tørstofindhold!A$2:B$24,2,FALSE),0)</f>
        <v>0</v>
      </c>
      <c r="Y205" s="170">
        <f t="shared" si="56"/>
        <v>0</v>
      </c>
      <c r="Z205">
        <f t="shared" ca="1" si="66"/>
        <v>0</v>
      </c>
      <c r="AA205">
        <f t="shared" ca="1" si="67"/>
        <v>1</v>
      </c>
      <c r="AB205" s="94">
        <f t="shared" ca="1" si="68"/>
        <v>15244.045659594452</v>
      </c>
      <c r="AC205">
        <f ca="1">AB205*D205*10000*VLOOKUP(A205,[1]kcal!$A$2:$C$49,3,FALSE)/1000000000000</f>
        <v>2.3170949402583567E-2</v>
      </c>
    </row>
    <row r="206" spans="1:29" x14ac:dyDescent="0.25">
      <c r="A206" s="171" t="str">
        <f t="shared" si="62"/>
        <v>Frø</v>
      </c>
      <c r="B206" s="171" t="str">
        <f t="shared" si="63"/>
        <v/>
      </c>
      <c r="C206" s="171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71">
        <f t="shared" si="61"/>
        <v>0</v>
      </c>
      <c r="E206" s="171">
        <f t="shared" si="64"/>
        <v>2030</v>
      </c>
      <c r="F206" t="s">
        <v>24</v>
      </c>
      <c r="G206" s="94">
        <f>IF(F206="Vestdanmark",SUMIFS(IF(E206=År1,'Resultater - Vestdanmark'!H$3:H$504,IF(E206=År2,'Resultater - Vestdanmark'!I$3:I$504,'Resultater - Vestdanmark'!J$3:J$504)),'Resultater - Vestdanmark'!$F$3:$F$504,$A206,IF(E206=År1,'Resultater - Vestdanmark'!H$3:H$504,IF(E206=År2,'Resultater - Vestdanmark'!I$3:I$504,'Resultater - Vestdanmark'!J$3:J$504)),"&gt;0"),SUMIFS(IF(E206=År1,'Resultater - Østdanmark'!H$3:H$504,IF(E206=År2,'Resultater - Østdanmark'!I$3:I$504,'Resultater - Østdanmark'!J$3:J$504)),'Resultater - Østdanmark'!$F$3:$F$504,$A206,IF(E206=År1,'Resultater - Østdanmark'!H$3:H$504,IF(E206=År2,'Resultater - Østdanmark'!I$3:I$504,'Resultater - Østdanmark'!J$3:J$504)),"&gt;0"))</f>
        <v>631209.68805750727</v>
      </c>
      <c r="H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forbrug'!H$3,'Forbrug af biomasse'!$B$2:$B$425,$F206)</f>
        <v>0</v>
      </c>
      <c r="I206">
        <f>IF(F206="Vestdanmark",-IF(A206="Halm",SUMIFS(IF(E206=År1,'Resultater - Vestdanmark'!H$3:H$504,IF(E206=År2,'Resultater - Vestdanmark'!I$3:I$504,'Resultater - Vestdanmark'!J$3:J$504)),'Resultater - Vestdanmark'!$F$3:$F$504,$A206,'Resultater - Vestdanmark'!H$3:H$504,"&lt;0"),0),-IF(A206="Halm",SUMIFS(IF(E206=År1,'Resultater - Østdanmark'!H$3:H$504,IF(E206=År2,'Resultater - Østdanmark'!I$3:I$504,'Resultater - Østdanmark'!J$3:J$504)),'Resultater - Østdanmark'!$F$3:$F$504,$A206,'Resultater - Østdanmark'!H$3:H$504,"&lt;0"),0))</f>
        <v>0</v>
      </c>
      <c r="J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forbrug'!J$3,'Forbrug af biomasse'!$B$2:$B$425,$F206)</f>
        <v>0</v>
      </c>
      <c r="K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forbrug'!K$3,'Forbrug af biomasse'!$B$2:$B$425,$F206)</f>
        <v>0</v>
      </c>
      <c r="L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forbrug'!L$3,'Forbrug af biomasse'!$B$2:$B$425,$F206)</f>
        <v>0</v>
      </c>
      <c r="M206" s="94">
        <f>IF(A206&lt;&gt;"Biogas",SUMIFS('Forbrug af biomasse'!$E$2:$E$425,'Forbrug af biomasse'!$C$2:$C$425,'Resultat-Produktion &amp; forbrug'!$A206,'Forbrug af biomasse'!$D$2:$D$425,'Resultat-Produktion &amp; forbrug'!$E206,'Forbrug af biomasse'!$A$2:$A$425,'Resultat-Produktion &amp; forbrug'!M$3,'Forbrug af biomasse'!$B$2:$B$425,$F206),G206)</f>
        <v>0</v>
      </c>
      <c r="N206" s="94">
        <f>SUMIFS('Forbrug af biomasse'!E:E,'Forbrug af biomasse'!C:C,'Resultat-Produktion &amp; forbrug'!$A206,'Forbrug af biomasse'!D:D,'Resultat-Produktion &amp; forbrug'!$E206,'Forbrug af biomasse'!G:G,1,'Forbrug af biomasse'!B:B,$F206)</f>
        <v>0</v>
      </c>
      <c r="O206" s="179">
        <f t="shared" si="53"/>
        <v>631209.68805750727</v>
      </c>
      <c r="P206" s="94">
        <f t="shared" si="65"/>
        <v>0</v>
      </c>
      <c r="Q206" s="180">
        <f t="shared" si="54"/>
        <v>0</v>
      </c>
      <c r="R206">
        <f>IFERROR(VLOOKUP(A206,[1]Energiindhold!$A$2:$C$11,3,FALSE),IFERROR(VLOOKUP(A206,[1]Biogasudbytte!$A$2:$B$18,2,FALSE)*[1]Energiindhold!$C$10,0))*P206</f>
        <v>0</v>
      </c>
      <c r="S206">
        <f>IF(A206&lt;&gt;"Biogas",IFERROR(VLOOKUP(A206,[1]Biogasudbytte!$A$2:$B$18,2,FALSE)*[1]Energiindhold!$C$10,0)*K206*IFERROR(VLOOKUP(A206,Biogasanlæg!$F$3:$G$8,2,FALSE),1)+IFERROR(VLOOKUP(A206,[1]Energiindhold!$A$2:$C$11,3,FALSE),0)*M206+IF(E206&lt;&gt;År1,R206,0),0)</f>
        <v>0</v>
      </c>
      <c r="T206">
        <f>IFERROR(VLOOKUP(A206,[1]Biogasudbytte!$A$2:$B$18,2,FALSE)*[1]Energiindhold!$C$10,0)*K206*IFERROR(VLOOKUP(A206,Biogasanlæg!$F$3:$G$8,2,FALSE),1)</f>
        <v>0</v>
      </c>
      <c r="U206" s="170">
        <f t="shared" si="55"/>
        <v>0</v>
      </c>
      <c r="V206" s="169">
        <f>P206*IFERROR(VLOOKUP(A206,[1]Tørstofindhold!A$2:B$24,2,FALSE),0)</f>
        <v>0</v>
      </c>
      <c r="W206">
        <f>IF(E206=År1,Q206,SUM(P206,Q206))*IFERROR(VLOOKUP(A206,[1]Tørstofindhold!A$2:B$24,2,FALSE),0)</f>
        <v>0</v>
      </c>
      <c r="X206">
        <f>K206*IFERROR(VLOOKUP(A206,[1]Tørstofindhold!A$2:B$24,2,FALSE),0)</f>
        <v>0</v>
      </c>
      <c r="Y206" s="170">
        <f t="shared" si="56"/>
        <v>0</v>
      </c>
      <c r="Z206">
        <f t="shared" si="66"/>
        <v>0</v>
      </c>
      <c r="AA206">
        <f t="shared" si="67"/>
        <v>1</v>
      </c>
      <c r="AB206" s="94">
        <f t="shared" si="68"/>
        <v>631209.68805750727</v>
      </c>
      <c r="AC206">
        <f>AB206*D206*10000*VLOOKUP(A206,[1]kcal!$A$2:$C$49,3,FALSE)/1000000000000</f>
        <v>0</v>
      </c>
    </row>
    <row r="207" spans="1:29" x14ac:dyDescent="0.25">
      <c r="A207" s="171" t="str">
        <f t="shared" si="62"/>
        <v>Frugt</v>
      </c>
      <c r="B207" s="171" t="str">
        <f t="shared" si="63"/>
        <v/>
      </c>
      <c r="C207" s="171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0</v>
      </c>
      <c r="D207" s="171">
        <f t="shared" si="61"/>
        <v>1</v>
      </c>
      <c r="E207" s="171">
        <f t="shared" si="64"/>
        <v>2030</v>
      </c>
      <c r="F207" t="s">
        <v>24</v>
      </c>
      <c r="G207" s="94">
        <f>IF(F207="Vestdanmark",SUMIFS(IF(E207=År1,'Resultater - Vestdanmark'!H$3:H$504,IF(E207=År2,'Resultater - Vestdanmark'!I$3:I$504,'Resultater - Vestdanmark'!J$3:J$504)),'Resultater - Vestdanmark'!$F$3:$F$504,$A207,IF(E207=År1,'Resultater - Vestdanmark'!H$3:H$504,IF(E207=År2,'Resultater - Vestdanmark'!I$3:I$504,'Resultater - Vestdanmark'!J$3:J$504)),"&gt;0"),SUMIFS(IF(E207=År1,'Resultater - Østdanmark'!H$3:H$504,IF(E207=År2,'Resultater - Østdanmark'!I$3:I$504,'Resultater - Østdanmark'!J$3:J$504)),'Resultater - Østdanmark'!$F$3:$F$504,$A207,IF(E207=År1,'Resultater - Østdanmark'!H$3:H$504,IF(E207=År2,'Resultater - Østdanmark'!I$3:I$504,'Resultater - Østdanmark'!J$3:J$504)),"&gt;0"))</f>
        <v>16156.88402898128</v>
      </c>
      <c r="H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forbrug'!H$3,'Forbrug af biomasse'!$B$2:$B$425,$F207)</f>
        <v>0</v>
      </c>
      <c r="I207">
        <f>IF(F207="Vestdanmark",-IF(A207="Halm",SUMIFS(IF(E207=År1,'Resultater - Vestdanmark'!H$3:H$504,IF(E207=År2,'Resultater - Vestdanmark'!I$3:I$504,'Resultater - Vestdanmark'!J$3:J$504)),'Resultater - Vestdanmark'!$F$3:$F$504,$A207,'Resultater - Vestdanmark'!H$3:H$504,"&lt;0"),0),-IF(A207="Halm",SUMIFS(IF(E207=År1,'Resultater - Østdanmark'!H$3:H$504,IF(E207=År2,'Resultater - Østdanmark'!I$3:I$504,'Resultater - Østdanmark'!J$3:J$504)),'Resultater - Østdanmark'!$F$3:$F$504,$A207,'Resultater - Østdanmark'!H$3:H$504,"&lt;0"),0))</f>
        <v>0</v>
      </c>
      <c r="J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forbrug'!J$3,'Forbrug af biomasse'!$B$2:$B$425,$F207)</f>
        <v>223323.94265330929</v>
      </c>
      <c r="K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forbrug'!K$3,'Forbrug af biomasse'!$B$2:$B$425,$F207)</f>
        <v>0</v>
      </c>
      <c r="L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forbrug'!L$3,'Forbrug af biomasse'!$B$2:$B$425,$F207)</f>
        <v>0</v>
      </c>
      <c r="M207" s="94">
        <f>IF(A207&lt;&gt;"Biogas",SUMIFS('Forbrug af biomasse'!$E$2:$E$425,'Forbrug af biomasse'!$C$2:$C$425,'Resultat-Produktion &amp; forbrug'!$A207,'Forbrug af biomasse'!$D$2:$D$425,'Resultat-Produktion &amp; forbrug'!$E207,'Forbrug af biomasse'!$A$2:$A$425,'Resultat-Produktion &amp; forbrug'!M$3,'Forbrug af biomasse'!$B$2:$B$425,$F207),G207)</f>
        <v>0</v>
      </c>
      <c r="N207" s="94">
        <f>SUMIFS('Forbrug af biomasse'!E:E,'Forbrug af biomasse'!C:C,'Resultat-Produktion &amp; forbrug'!$A207,'Forbrug af biomasse'!D:D,'Resultat-Produktion &amp; forbrug'!$E207,'Forbrug af biomasse'!G:G,1,'Forbrug af biomasse'!B:B,$F207)</f>
        <v>0</v>
      </c>
      <c r="O207" s="179">
        <f t="shared" si="53"/>
        <v>-207167.058624328</v>
      </c>
      <c r="P207" s="94">
        <f t="shared" si="65"/>
        <v>0</v>
      </c>
      <c r="Q207" s="180">
        <f t="shared" si="54"/>
        <v>0</v>
      </c>
      <c r="R207">
        <f>IFERROR(VLOOKUP(A207,[1]Energiindhold!$A$2:$C$11,3,FALSE),IFERROR(VLOOKUP(A207,[1]Biogasudbytte!$A$2:$B$18,2,FALSE)*[1]Energiindhold!$C$10,0))*P207</f>
        <v>0</v>
      </c>
      <c r="S207">
        <f>IF(A207&lt;&gt;"Biogas",IFERROR(VLOOKUP(A207,[1]Biogasudbytte!$A$2:$B$18,2,FALSE)*[1]Energiindhold!$C$10,0)*K207*IFERROR(VLOOKUP(A207,Biogasanlæg!$F$3:$G$8,2,FALSE),1)+IFERROR(VLOOKUP(A207,[1]Energiindhold!$A$2:$C$11,3,FALSE),0)*M207+IF(E207&lt;&gt;År1,R207,0),0)</f>
        <v>0</v>
      </c>
      <c r="T207">
        <f>IFERROR(VLOOKUP(A207,[1]Biogasudbytte!$A$2:$B$18,2,FALSE)*[1]Energiindhold!$C$10,0)*K207*IFERROR(VLOOKUP(A207,Biogasanlæg!$F$3:$G$8,2,FALSE),1)</f>
        <v>0</v>
      </c>
      <c r="U207" s="170">
        <f t="shared" si="55"/>
        <v>0</v>
      </c>
      <c r="V207" s="169">
        <f>P207*IFERROR(VLOOKUP(A207,[1]Tørstofindhold!A$2:B$24,2,FALSE),0)</f>
        <v>0</v>
      </c>
      <c r="W207">
        <f>IF(E207=År1,Q207,SUM(P207,Q207))*IFERROR(VLOOKUP(A207,[1]Tørstofindhold!A$2:B$24,2,FALSE),0)</f>
        <v>0</v>
      </c>
      <c r="X207">
        <f>K207*IFERROR(VLOOKUP(A207,[1]Tørstofindhold!A$2:B$24,2,FALSE),0)</f>
        <v>0</v>
      </c>
      <c r="Y207" s="170">
        <f t="shared" si="56"/>
        <v>0</v>
      </c>
      <c r="Z207">
        <f t="shared" si="66"/>
        <v>1</v>
      </c>
      <c r="AA207">
        <f t="shared" si="67"/>
        <v>0</v>
      </c>
      <c r="AB207" s="94">
        <f t="shared" si="68"/>
        <v>16156.88402898128</v>
      </c>
      <c r="AC207">
        <f>AB207*D207*10000*VLOOKUP(A207,[1]kcal!$A$2:$C$49,3,FALSE)/1000000000000</f>
        <v>8.4015796950702663E-3</v>
      </c>
    </row>
    <row r="208" spans="1:29" x14ac:dyDescent="0.25">
      <c r="A208" s="171" t="str">
        <f t="shared" si="62"/>
        <v>Glycerin</v>
      </c>
      <c r="B208" s="171" t="str">
        <f t="shared" si="63"/>
        <v>Glycerin</v>
      </c>
      <c r="C208" s="171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71">
        <f t="shared" si="61"/>
        <v>0</v>
      </c>
      <c r="E208" s="171">
        <f t="shared" si="64"/>
        <v>2030</v>
      </c>
      <c r="F208" t="s">
        <v>24</v>
      </c>
      <c r="G208" s="94">
        <f>IF(F208="Vestdanmark",SUMIFS(IF(E208=År1,'Resultater - Vestdanmark'!H$3:H$504,IF(E208=År2,'Resultater - Vestdanmark'!I$3:I$504,'Resultater - Vestdanmark'!J$3:J$504)),'Resultater - Vestdanmark'!$F$3:$F$504,$A208,IF(E208=År1,'Resultater - Vestdanmark'!H$3:H$504,IF(E208=År2,'Resultater - Vestdanmark'!I$3:I$504,'Resultater - Vestdanmark'!J$3:J$504)),"&gt;0"),SUMIFS(IF(E208=År1,'Resultater - Østdanmark'!H$3:H$504,IF(E208=År2,'Resultater - Østdanmark'!I$3:I$504,'Resultater - Østdanmark'!J$3:J$504)),'Resultater - Østdanmark'!$F$3:$F$504,$A208,IF(E208=År1,'Resultater - Østdanmark'!H$3:H$504,IF(E208=År2,'Resultater - Østdanmark'!I$3:I$504,'Resultater - Østdanmark'!J$3:J$504)),"&gt;0"))</f>
        <v>0</v>
      </c>
      <c r="H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forbrug'!H$3,'Forbrug af biomasse'!$B$2:$B$425,$F208)</f>
        <v>0</v>
      </c>
      <c r="I208">
        <f>IF(F208="Vestdanmark",-IF(A208="Halm",SUMIFS(IF(E208=År1,'Resultater - Vestdanmark'!H$3:H$504,IF(E208=År2,'Resultater - Vestdanmark'!I$3:I$504,'Resultater - Vestdanmark'!J$3:J$504)),'Resultater - Vestdanmark'!$F$3:$F$504,$A208,'Resultater - Vestdanmark'!H$3:H$504,"&lt;0"),0),-IF(A208="Halm",SUMIFS(IF(E208=År1,'Resultater - Østdanmark'!H$3:H$504,IF(E208=År2,'Resultater - Østdanmark'!I$3:I$504,'Resultater - Østdanmark'!J$3:J$504)),'Resultater - Østdanmark'!$F$3:$F$504,$A208,'Resultater - Østdanmark'!H$3:H$504,"&lt;0"),0))</f>
        <v>0</v>
      </c>
      <c r="J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forbrug'!J$3,'Forbrug af biomasse'!$B$2:$B$425,$F208)</f>
        <v>0</v>
      </c>
      <c r="K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forbrug'!K$3,'Forbrug af biomasse'!$B$2:$B$425,$F208)</f>
        <v>28548.400000000001</v>
      </c>
      <c r="L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forbrug'!L$3,'Forbrug af biomasse'!$B$2:$B$425,$F208)</f>
        <v>0</v>
      </c>
      <c r="M208" s="94">
        <f>IF(A208&lt;&gt;"Biogas",SUMIFS('Forbrug af biomasse'!$E$2:$E$425,'Forbrug af biomasse'!$C$2:$C$425,'Resultat-Produktion &amp; forbrug'!$A208,'Forbrug af biomasse'!$D$2:$D$425,'Resultat-Produktion &amp; forbrug'!$E208,'Forbrug af biomasse'!$A$2:$A$425,'Resultat-Produktion &amp; forbrug'!M$3,'Forbrug af biomasse'!$B$2:$B$425,$F208),G208)</f>
        <v>0</v>
      </c>
      <c r="N208" s="94">
        <f>SUMIFS('Forbrug af biomasse'!E:E,'Forbrug af biomasse'!C:C,'Resultat-Produktion &amp; forbrug'!$A208,'Forbrug af biomasse'!D:D,'Resultat-Produktion &amp; forbrug'!$E208,'Forbrug af biomasse'!G:G,1,'Forbrug af biomasse'!B:B,$F208)</f>
        <v>0</v>
      </c>
      <c r="O208" s="179">
        <f t="shared" si="53"/>
        <v>-28548.400000000001</v>
      </c>
      <c r="P208" s="94">
        <f t="shared" si="65"/>
        <v>0</v>
      </c>
      <c r="Q208" s="180">
        <f t="shared" si="54"/>
        <v>28548.400000000001</v>
      </c>
      <c r="R208">
        <f>IFERROR(VLOOKUP(A208,[1]Energiindhold!$A$2:$C$11,3,FALSE),IFERROR(VLOOKUP(A208,[1]Biogasudbytte!$A$2:$B$18,2,FALSE)*[1]Energiindhold!$C$10,0))*P208</f>
        <v>0</v>
      </c>
      <c r="S208">
        <f>IF(A208&lt;&gt;"Biogas",IFERROR(VLOOKUP(A208,[1]Biogasudbytte!$A$2:$B$18,2,FALSE)*[1]Energiindhold!$C$10,0)*K208*IFERROR(VLOOKUP(A208,Biogasanlæg!$F$3:$G$8,2,FALSE),1)+IFERROR(VLOOKUP(A208,[1]Energiindhold!$A$2:$C$11,3,FALSE),0)*M208+IF(E208&lt;&gt;År1,R208,0),0)</f>
        <v>0.43389639740160008</v>
      </c>
      <c r="T208">
        <f>IFERROR(VLOOKUP(A208,[1]Biogasudbytte!$A$2:$B$18,2,FALSE)*[1]Energiindhold!$C$10,0)*K208*IFERROR(VLOOKUP(A208,Biogasanlæg!$F$3:$G$8,2,FALSE),1)</f>
        <v>0.43389639740160008</v>
      </c>
      <c r="U208" s="170">
        <f t="shared" si="55"/>
        <v>0</v>
      </c>
      <c r="V208" s="169">
        <f>P208*IFERROR(VLOOKUP(A208,[1]Tørstofindhold!A$2:B$24,2,FALSE),0)</f>
        <v>0</v>
      </c>
      <c r="W208">
        <f>IF(E208=År1,Q208,SUM(P208,Q208))*IFERROR(VLOOKUP(A208,[1]Tørstofindhold!A$2:B$24,2,FALSE),0)</f>
        <v>25693.56</v>
      </c>
      <c r="X208">
        <f>K208*IFERROR(VLOOKUP(A208,[1]Tørstofindhold!A$2:B$24,2,FALSE),0)</f>
        <v>25693.56</v>
      </c>
      <c r="Y208" s="170">
        <f t="shared" si="56"/>
        <v>0</v>
      </c>
      <c r="Z208">
        <f t="shared" si="66"/>
        <v>1</v>
      </c>
      <c r="AA208">
        <f t="shared" si="67"/>
        <v>0</v>
      </c>
      <c r="AB208" s="94">
        <f t="shared" si="68"/>
        <v>-28548.400000000001</v>
      </c>
      <c r="AC208">
        <f>AB208*D208*10000*VLOOKUP(A208,[1]kcal!$A$2:$C$49,3,FALSE)/1000000000000</f>
        <v>0</v>
      </c>
    </row>
    <row r="209" spans="1:29" x14ac:dyDescent="0.25">
      <c r="A209" s="171" t="str">
        <f t="shared" si="62"/>
        <v>Græs</v>
      </c>
      <c r="B209" s="171" t="str">
        <f t="shared" si="63"/>
        <v>Græs og urter</v>
      </c>
      <c r="C209" s="171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1</v>
      </c>
      <c r="D209" s="171">
        <f t="shared" si="61"/>
        <v>0</v>
      </c>
      <c r="E209" s="171">
        <f t="shared" si="64"/>
        <v>2030</v>
      </c>
      <c r="F209" t="s">
        <v>24</v>
      </c>
      <c r="G209" s="94">
        <f>IF(F209="Vestdanmark",SUMIFS(IF(E209=År1,'Resultater - Vestdanmark'!H$3:H$504,IF(E209=År2,'Resultater - Vestdanmark'!I$3:I$504,'Resultater - Vestdanmark'!J$3:J$504)),'Resultater - Vestdanmark'!$F$3:$F$504,$A209,IF(E209=År1,'Resultater - Vestdanmark'!H$3:H$504,IF(E209=År2,'Resultater - Vestdanmark'!I$3:I$504,'Resultater - Vestdanmark'!J$3:J$504)),"&gt;0"),SUMIFS(IF(E209=År1,'Resultater - Østdanmark'!H$3:H$504,IF(E209=År2,'Resultater - Østdanmark'!I$3:I$504,'Resultater - Østdanmark'!J$3:J$504)),'Resultater - Østdanmark'!$F$3:$F$504,$A209,IF(E209=År1,'Resultater - Østdanmark'!H$3:H$504,IF(E209=År2,'Resultater - Østdanmark'!I$3:I$504,'Resultater - Østdanmark'!J$3:J$504)),"&gt;0"))</f>
        <v>2170758.634422774</v>
      </c>
      <c r="H209" s="94">
        <f ca="1">SUMIFS('Forbrug af biomasse'!$E$2:$E$425,'Forbrug af biomasse'!$C$2:$C$425,'Resultat-Produktion &amp; forbrug'!$A209,'Forbrug af biomasse'!$D$2:$D$425,'Resultat-Produktion &amp; forbrug'!$E209,'Forbrug af biomasse'!$A$2:$A$425,'Resultat-Produktion &amp; forbrug'!H$3,'Forbrug af biomasse'!$B$2:$B$425,$F209)</f>
        <v>1458357.2726296766</v>
      </c>
      <c r="I209">
        <f>IF(F209="Vestdanmark",-IF(A209="Halm",SUMIFS(IF(E209=År1,'Resultater - Vestdanmark'!H$3:H$504,IF(E209=År2,'Resultater - Vestdanmark'!I$3:I$504,'Resultater - Vestdanmark'!J$3:J$504)),'Resultater - Vestdanmark'!$F$3:$F$504,$A209,'Resultater - Vestdanmark'!H$3:H$504,"&lt;0"),0),-IF(A209="Halm",SUMIFS(IF(E209=År1,'Resultater - Østdanmark'!H$3:H$504,IF(E209=År2,'Resultater - Østdanmark'!I$3:I$504,'Resultater - Østdanmark'!J$3:J$504)),'Resultater - Østdanmark'!$F$3:$F$504,$A209,'Resultater - Østdanmark'!H$3:H$504,"&lt;0"),0))</f>
        <v>0</v>
      </c>
      <c r="J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forbrug'!J$3,'Forbrug af biomasse'!$B$2:$B$425,$F209)</f>
        <v>0</v>
      </c>
      <c r="K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forbrug'!K$3,'Forbrug af biomasse'!$B$2:$B$425,$F209)</f>
        <v>0</v>
      </c>
      <c r="L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forbrug'!L$3,'Forbrug af biomasse'!$B$2:$B$425,$F209)</f>
        <v>0</v>
      </c>
      <c r="M209" s="94">
        <f>IF(A209&lt;&gt;"Biogas",SUMIFS('Forbrug af biomasse'!$E$2:$E$425,'Forbrug af biomasse'!$C$2:$C$425,'Resultat-Produktion &amp; forbrug'!$A209,'Forbrug af biomasse'!$D$2:$D$425,'Resultat-Produktion &amp; forbrug'!$E209,'Forbrug af biomasse'!$A$2:$A$425,'Resultat-Produktion &amp; forbrug'!M$3,'Forbrug af biomasse'!$B$2:$B$425,$F209),G209)</f>
        <v>0</v>
      </c>
      <c r="N209" s="94">
        <f ca="1">SUMIFS('Forbrug af biomasse'!E:E,'Forbrug af biomasse'!C:C,'Resultat-Produktion &amp; forbrug'!$A209,'Forbrug af biomasse'!D:D,'Resultat-Produktion &amp; forbrug'!$E209,'Forbrug af biomasse'!G:G,1,'Forbrug af biomasse'!B:B,$F209)</f>
        <v>0</v>
      </c>
      <c r="O209" s="179">
        <f t="shared" ca="1" si="53"/>
        <v>712401.36179309734</v>
      </c>
      <c r="P209" s="94">
        <f t="shared" ca="1" si="65"/>
        <v>712401.36179309734</v>
      </c>
      <c r="Q209" s="180">
        <f t="shared" si="54"/>
        <v>0</v>
      </c>
      <c r="R209">
        <f ca="1">IFERROR(VLOOKUP(A209,[1]Energiindhold!$A$2:$C$11,3,FALSE),IFERROR(VLOOKUP(A209,[1]Biogasudbytte!$A$2:$B$18,2,FALSE)*[1]Energiindhold!$C$10,0))*P209</f>
        <v>1.3107294555290749</v>
      </c>
      <c r="S209">
        <f ca="1">IF(A209&lt;&gt;"Biogas",IFERROR(VLOOKUP(A209,[1]Biogasudbytte!$A$2:$B$18,2,FALSE)*[1]Energiindhold!$C$10,0)*K209*IFERROR(VLOOKUP(A209,Biogasanlæg!$F$3:$G$8,2,FALSE),1)+IFERROR(VLOOKUP(A209,[1]Energiindhold!$A$2:$C$11,3,FALSE),0)*M209+IF(E209&lt;&gt;År1,R209,0),0)</f>
        <v>1.3107294555290749</v>
      </c>
      <c r="T209">
        <f>IFERROR(VLOOKUP(A209,[1]Biogasudbytte!$A$2:$B$18,2,FALSE)*[1]Energiindhold!$C$10,0)*K209*IFERROR(VLOOKUP(A209,Biogasanlæg!$F$3:$G$8,2,FALSE),1)</f>
        <v>0</v>
      </c>
      <c r="U209" s="170">
        <f t="shared" ca="1" si="55"/>
        <v>1.3107294555290749</v>
      </c>
      <c r="V209" s="169">
        <f ca="1">P209*IFERROR(VLOOKUP(A209,[1]Tørstofindhold!A$2:B$24,2,FALSE),0)</f>
        <v>199472.38130206728</v>
      </c>
      <c r="W209">
        <f ca="1">IF(E209=År1,Q209,SUM(P209,Q209))*IFERROR(VLOOKUP(A209,[1]Tørstofindhold!A$2:B$24,2,FALSE),0)</f>
        <v>199472.38130206728</v>
      </c>
      <c r="X209">
        <f>K209*IFERROR(VLOOKUP(A209,[1]Tørstofindhold!A$2:B$24,2,FALSE),0)</f>
        <v>0</v>
      </c>
      <c r="Y209" s="170">
        <f t="shared" ca="1" si="56"/>
        <v>199472.38130206728</v>
      </c>
      <c r="Z209">
        <f t="shared" ca="1" si="66"/>
        <v>0</v>
      </c>
      <c r="AA209">
        <f t="shared" ca="1" si="67"/>
        <v>1</v>
      </c>
      <c r="AB209" s="94">
        <f t="shared" ca="1" si="68"/>
        <v>712401.36179309734</v>
      </c>
      <c r="AC209">
        <f ca="1">AB209*D209*10000*VLOOKUP(A209,[1]kcal!$A$2:$C$49,3,FALSE)/1000000000000</f>
        <v>0</v>
      </c>
    </row>
    <row r="210" spans="1:29" x14ac:dyDescent="0.25">
      <c r="A210" s="171" t="str">
        <f t="shared" si="62"/>
        <v>Græsprotein</v>
      </c>
      <c r="B210" s="171" t="str">
        <f t="shared" si="63"/>
        <v/>
      </c>
      <c r="C210" s="171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71">
        <f t="shared" si="61"/>
        <v>0</v>
      </c>
      <c r="E210" s="171">
        <f t="shared" si="64"/>
        <v>2030</v>
      </c>
      <c r="F210" t="s">
        <v>24</v>
      </c>
      <c r="G210" s="94">
        <f ca="1">IF(F210="Vestdanmark",SUMIFS(IF(E210=År1,'Resultater - Vestdanmark'!H$3:H$504,IF(E210=År2,'Resultater - Vestdanmark'!I$3:I$504,'Resultater - Vestdanmark'!J$3:J$504)),'Resultater - Vestdanmark'!$F$3:$F$504,$A210,IF(E210=År1,'Resultater - Vestdanmark'!H$3:H$504,IF(E210=År2,'Resultater - Vestdanmark'!I$3:I$504,'Resultater - Vestdanmark'!J$3:J$504)),"&gt;0"),SUMIFS(IF(E210=År1,'Resultater - Østdanmark'!H$3:H$504,IF(E210=År2,'Resultater - Østdanmark'!I$3:I$504,'Resultater - Østdanmark'!J$3:J$504)),'Resultater - Østdanmark'!$F$3:$F$504,$A210,IF(E210=År1,'Resultater - Østdanmark'!H$3:H$504,IF(E210=År2,'Resultater - Østdanmark'!I$3:I$504,'Resultater - Østdanmark'!J$3:J$504)),"&gt;0"))</f>
        <v>0</v>
      </c>
      <c r="H210" s="94">
        <f ca="1">SUMIFS('Forbrug af biomasse'!$E$2:$E$425,'Forbrug af biomasse'!$C$2:$C$425,'Resultat-Produktion &amp; forbrug'!$A210,'Forbrug af biomasse'!$D$2:$D$425,'Resultat-Produktion &amp; forbrug'!$E210,'Forbrug af biomasse'!$A$2:$A$425,'Resultat-Produktion &amp; forbrug'!H$3,'Forbrug af biomasse'!$B$2:$B$425,$F210)</f>
        <v>0</v>
      </c>
      <c r="I210">
        <f>IF(F210="Vestdanmark",-IF(A210="Halm",SUMIFS(IF(E210=År1,'Resultater - Vestdanmark'!H$3:H$504,IF(E210=År2,'Resultater - Vestdanmark'!I$3:I$504,'Resultater - Vestdanmark'!J$3:J$504)),'Resultater - Vestdanmark'!$F$3:$F$504,$A210,'Resultater - Vestdanmark'!H$3:H$504,"&lt;0"),0),-IF(A210="Halm",SUMIFS(IF(E210=År1,'Resultater - Østdanmark'!H$3:H$504,IF(E210=År2,'Resultater - Østdanmark'!I$3:I$504,'Resultater - Østdanmark'!J$3:J$504)),'Resultater - Østdanmark'!$F$3:$F$504,$A210,'Resultater - Østdanmark'!H$3:H$504,"&lt;0"),0))</f>
        <v>0</v>
      </c>
      <c r="J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forbrug'!J$3,'Forbrug af biomasse'!$B$2:$B$425,$F210)</f>
        <v>0</v>
      </c>
      <c r="K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forbrug'!K$3,'Forbrug af biomasse'!$B$2:$B$425,$F210)</f>
        <v>0</v>
      </c>
      <c r="L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forbrug'!L$3,'Forbrug af biomasse'!$B$2:$B$425,$F210)</f>
        <v>0</v>
      </c>
      <c r="M210" s="94">
        <f>IF(A210&lt;&gt;"Biogas",SUMIFS('Forbrug af biomasse'!$E$2:$E$425,'Forbrug af biomasse'!$C$2:$C$425,'Resultat-Produktion &amp; forbrug'!$A210,'Forbrug af biomasse'!$D$2:$D$425,'Resultat-Produktion &amp; forbrug'!$E210,'Forbrug af biomasse'!$A$2:$A$425,'Resultat-Produktion &amp; forbrug'!M$3,'Forbrug af biomasse'!$B$2:$B$425,$F210),G210)</f>
        <v>0</v>
      </c>
      <c r="N210" s="94">
        <f>SUMIFS('Forbrug af biomasse'!E:E,'Forbrug af biomasse'!C:C,'Resultat-Produktion &amp; forbrug'!$A210,'Forbrug af biomasse'!D:D,'Resultat-Produktion &amp; forbrug'!$E210,'Forbrug af biomasse'!G:G,1,'Forbrug af biomasse'!B:B,$F210)</f>
        <v>0</v>
      </c>
      <c r="O210" s="179">
        <f t="shared" ca="1" si="53"/>
        <v>0</v>
      </c>
      <c r="P210" s="94">
        <f t="shared" si="65"/>
        <v>0</v>
      </c>
      <c r="Q210" s="180">
        <f t="shared" si="54"/>
        <v>0</v>
      </c>
      <c r="R210">
        <f>IFERROR(VLOOKUP(A210,[1]Energiindhold!$A$2:$C$11,3,FALSE),IFERROR(VLOOKUP(A210,[1]Biogasudbytte!$A$2:$B$18,2,FALSE)*[1]Energiindhold!$C$10,0))*P210</f>
        <v>0</v>
      </c>
      <c r="S210">
        <f>IF(A210&lt;&gt;"Biogas",IFERROR(VLOOKUP(A210,[1]Biogasudbytte!$A$2:$B$18,2,FALSE)*[1]Energiindhold!$C$10,0)*K210*IFERROR(VLOOKUP(A210,Biogasanlæg!$F$3:$G$8,2,FALSE),1)+IFERROR(VLOOKUP(A210,[1]Energiindhold!$A$2:$C$11,3,FALSE),0)*M210+IF(E210&lt;&gt;År1,R210,0),0)</f>
        <v>0</v>
      </c>
      <c r="T210">
        <f>IFERROR(VLOOKUP(A210,[1]Biogasudbytte!$A$2:$B$18,2,FALSE)*[1]Energiindhold!$C$10,0)*K210*IFERROR(VLOOKUP(A210,Biogasanlæg!$F$3:$G$8,2,FALSE),1)</f>
        <v>0</v>
      </c>
      <c r="U210" s="170">
        <f t="shared" si="55"/>
        <v>0</v>
      </c>
      <c r="V210" s="169">
        <f>P210*IFERROR(VLOOKUP(A210,[1]Tørstofindhold!A$2:B$24,2,FALSE),0)</f>
        <v>0</v>
      </c>
      <c r="W210">
        <f>IF(E210=År1,Q210,SUM(P210,Q210))*IFERROR(VLOOKUP(A210,[1]Tørstofindhold!A$2:B$24,2,FALSE),0)</f>
        <v>0</v>
      </c>
      <c r="X210">
        <f>K210*IFERROR(VLOOKUP(A210,[1]Tørstofindhold!A$2:B$24,2,FALSE),0)</f>
        <v>0</v>
      </c>
      <c r="Y210" s="170">
        <f t="shared" si="56"/>
        <v>0</v>
      </c>
      <c r="Z210">
        <f t="shared" ca="1" si="66"/>
        <v>0</v>
      </c>
      <c r="AA210">
        <f t="shared" ca="1" si="67"/>
        <v>0</v>
      </c>
      <c r="AB210" s="94">
        <f t="shared" ca="1" si="68"/>
        <v>0</v>
      </c>
      <c r="AC210">
        <f ca="1">AB210*D210*10000*VLOOKUP(A210,[1]kcal!$A$2:$C$49,3,FALSE)/1000000000000</f>
        <v>0</v>
      </c>
    </row>
    <row r="211" spans="1:29" x14ac:dyDescent="0.25">
      <c r="A211" s="171" t="str">
        <f t="shared" si="62"/>
        <v>Grøntsager</v>
      </c>
      <c r="B211" s="171" t="str">
        <f t="shared" si="63"/>
        <v/>
      </c>
      <c r="C211" s="171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0</v>
      </c>
      <c r="D211" s="171">
        <f t="shared" si="61"/>
        <v>1</v>
      </c>
      <c r="E211" s="171">
        <f t="shared" si="64"/>
        <v>2030</v>
      </c>
      <c r="F211" t="s">
        <v>24</v>
      </c>
      <c r="G211" s="94">
        <f>IF(F211="Vestdanmark",SUMIFS(IF(E211=År1,'Resultater - Vestdanmark'!H$3:H$504,IF(E211=År2,'Resultater - Vestdanmark'!I$3:I$504,'Resultater - Vestdanmark'!J$3:J$504)),'Resultater - Vestdanmark'!$F$3:$F$504,$A211,IF(E211=År1,'Resultater - Vestdanmark'!H$3:H$504,IF(E211=År2,'Resultater - Vestdanmark'!I$3:I$504,'Resultater - Vestdanmark'!J$3:J$504)),"&gt;0"),SUMIFS(IF(E211=År1,'Resultater - Østdanmark'!H$3:H$504,IF(E211=År2,'Resultater - Østdanmark'!I$3:I$504,'Resultater - Østdanmark'!J$3:J$504)),'Resultater - Østdanmark'!$F$3:$F$504,$A211,IF(E211=År1,'Resultater - Østdanmark'!H$3:H$504,IF(E211=År2,'Resultater - Østdanmark'!I$3:I$504,'Resultater - Østdanmark'!J$3:J$504)),"&gt;0"))</f>
        <v>97912.17273786338</v>
      </c>
      <c r="H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forbrug'!H$3,'Forbrug af biomasse'!$B$2:$B$425,$F211)</f>
        <v>0</v>
      </c>
      <c r="I211">
        <f>IF(F211="Vestdanmark",-IF(A211="Halm",SUMIFS(IF(E211=År1,'Resultater - Vestdanmark'!H$3:H$504,IF(E211=År2,'Resultater - Vestdanmark'!I$3:I$504,'Resultater - Vestdanmark'!J$3:J$504)),'Resultater - Vestdanmark'!$F$3:$F$504,$A211,'Resultater - Vestdanmark'!H$3:H$504,"&lt;0"),0),-IF(A211="Halm",SUMIFS(IF(E211=År1,'Resultater - Østdanmark'!H$3:H$504,IF(E211=År2,'Resultater - Østdanmark'!I$3:I$504,'Resultater - Østdanmark'!J$3:J$504)),'Resultater - Østdanmark'!$F$3:$F$504,$A211,'Resultater - Østdanmark'!H$3:H$504,"&lt;0"),0))</f>
        <v>0</v>
      </c>
      <c r="J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forbrug'!J$3,'Forbrug af biomasse'!$B$2:$B$425,$F211)</f>
        <v>233902.44520004498</v>
      </c>
      <c r="K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forbrug'!K$3,'Forbrug af biomasse'!$B$2:$B$425,$F211)</f>
        <v>0</v>
      </c>
      <c r="L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forbrug'!L$3,'Forbrug af biomasse'!$B$2:$B$425,$F211)</f>
        <v>0</v>
      </c>
      <c r="M211" s="94">
        <f>IF(A211&lt;&gt;"Biogas",SUMIFS('Forbrug af biomasse'!$E$2:$E$425,'Forbrug af biomasse'!$C$2:$C$425,'Resultat-Produktion &amp; forbrug'!$A211,'Forbrug af biomasse'!$D$2:$D$425,'Resultat-Produktion &amp; forbrug'!$E211,'Forbrug af biomasse'!$A$2:$A$425,'Resultat-Produktion &amp; forbrug'!M$3,'Forbrug af biomasse'!$B$2:$B$425,$F211),G211)</f>
        <v>0</v>
      </c>
      <c r="N211" s="94">
        <f>SUMIFS('Forbrug af biomasse'!E:E,'Forbrug af biomasse'!C:C,'Resultat-Produktion &amp; forbrug'!$A211,'Forbrug af biomasse'!D:D,'Resultat-Produktion &amp; forbrug'!$E211,'Forbrug af biomasse'!G:G,1,'Forbrug af biomasse'!B:B,$F211)</f>
        <v>0</v>
      </c>
      <c r="O211" s="179">
        <f t="shared" si="53"/>
        <v>-135990.2724621816</v>
      </c>
      <c r="P211" s="94">
        <f t="shared" si="65"/>
        <v>0</v>
      </c>
      <c r="Q211" s="180">
        <f t="shared" si="54"/>
        <v>0</v>
      </c>
      <c r="R211">
        <f>IFERROR(VLOOKUP(A211,[1]Energiindhold!$A$2:$C$11,3,FALSE),IFERROR(VLOOKUP(A211,[1]Biogasudbytte!$A$2:$B$18,2,FALSE)*[1]Energiindhold!$C$10,0))*P211</f>
        <v>0</v>
      </c>
      <c r="S211">
        <f>IF(A211&lt;&gt;"Biogas",IFERROR(VLOOKUP(A211,[1]Biogasudbytte!$A$2:$B$18,2,FALSE)*[1]Energiindhold!$C$10,0)*K211*IFERROR(VLOOKUP(A211,Biogasanlæg!$F$3:$G$8,2,FALSE),1)+IFERROR(VLOOKUP(A211,[1]Energiindhold!$A$2:$C$11,3,FALSE),0)*M211+IF(E211&lt;&gt;År1,R211,0),0)</f>
        <v>0</v>
      </c>
      <c r="T211">
        <f>IFERROR(VLOOKUP(A211,[1]Biogasudbytte!$A$2:$B$18,2,FALSE)*[1]Energiindhold!$C$10,0)*K211*IFERROR(VLOOKUP(A211,Biogasanlæg!$F$3:$G$8,2,FALSE),1)</f>
        <v>0</v>
      </c>
      <c r="U211" s="170">
        <f t="shared" si="55"/>
        <v>0</v>
      </c>
      <c r="V211" s="169">
        <f>P211*IFERROR(VLOOKUP(A211,[1]Tørstofindhold!A$2:B$24,2,FALSE),0)</f>
        <v>0</v>
      </c>
      <c r="W211">
        <f>IF(E211=År1,Q211,SUM(P211,Q211))*IFERROR(VLOOKUP(A211,[1]Tørstofindhold!A$2:B$24,2,FALSE),0)</f>
        <v>0</v>
      </c>
      <c r="X211">
        <f>K211*IFERROR(VLOOKUP(A211,[1]Tørstofindhold!A$2:B$24,2,FALSE),0)</f>
        <v>0</v>
      </c>
      <c r="Y211" s="170">
        <f t="shared" si="56"/>
        <v>0</v>
      </c>
      <c r="Z211">
        <f t="shared" si="66"/>
        <v>1</v>
      </c>
      <c r="AA211">
        <f t="shared" si="67"/>
        <v>0</v>
      </c>
      <c r="AB211" s="94">
        <f t="shared" si="68"/>
        <v>97912.17273786338</v>
      </c>
      <c r="AC211">
        <f>AB211*D211*10000*VLOOKUP(A211,[1]kcal!$A$2:$C$49,3,FALSE)/1000000000000</f>
        <v>3.8185747367766726E-2</v>
      </c>
    </row>
    <row r="212" spans="1:29" x14ac:dyDescent="0.25">
      <c r="A212" s="171" t="str">
        <f t="shared" si="62"/>
        <v>Halm</v>
      </c>
      <c r="B212" s="171" t="str">
        <f t="shared" si="63"/>
        <v>Halm og strå</v>
      </c>
      <c r="C212" s="171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71">
        <f t="shared" si="61"/>
        <v>0</v>
      </c>
      <c r="E212" s="171">
        <f t="shared" si="64"/>
        <v>2030</v>
      </c>
      <c r="F212" t="s">
        <v>24</v>
      </c>
      <c r="G212" s="94">
        <f ca="1">IF(F212="Vestdanmark",SUMIFS(IF(E212=År1,'Resultater - Vestdanmark'!H$3:H$504,IF(E212=År2,'Resultater - Vestdanmark'!I$3:I$504,'Resultater - Vestdanmark'!J$3:J$504)),'Resultater - Vestdanmark'!$F$3:$F$504,$A212,IF(E212=År1,'Resultater - Vestdanmark'!H$3:H$504,IF(E212=År2,'Resultater - Vestdanmark'!I$3:I$504,'Resultater - Vestdanmark'!J$3:J$504)),"&gt;0"),SUMIFS(IF(E212=År1,'Resultater - Østdanmark'!H$3:H$504,IF(E212=År2,'Resultater - Østdanmark'!I$3:I$504,'Resultater - Østdanmark'!J$3:J$504)),'Resultater - Østdanmark'!$F$3:$F$504,$A212,IF(E212=År1,'Resultater - Østdanmark'!H$3:H$504,IF(E212=År2,'Resultater - Østdanmark'!I$3:I$504,'Resultater - Østdanmark'!J$3:J$504)),"&gt;0"))</f>
        <v>1319801.737259608</v>
      </c>
      <c r="H212" s="94">
        <f ca="1">SUMIFS('Forbrug af biomasse'!$E$2:$E$425,'Forbrug af biomasse'!$C$2:$C$425,'Resultat-Produktion &amp; forbrug'!$A212,'Forbrug af biomasse'!$D$2:$D$425,'Resultat-Produktion &amp; forbrug'!$E212,'Forbrug af biomasse'!$A$2:$A$425,'Resultat-Produktion &amp; forbrug'!H$3,'Forbrug af biomasse'!$B$2:$B$425,$F212)</f>
        <v>92128.125779914451</v>
      </c>
      <c r="I212">
        <f ca="1">IF(F212="Vestdanmark",-IF(A212="Halm",SUMIFS(IF(E212=År1,'Resultater - Vestdanmark'!H$3:H$504,IF(E212=År2,'Resultater - Vestdanmark'!I$3:I$504,'Resultater - Vestdanmark'!J$3:J$504)),'Resultater - Vestdanmark'!$F$3:$F$504,$A212,'Resultater - Vestdanmark'!H$3:H$504,"&lt;0"),0),-IF(A212="Halm",SUMIFS(IF(E212=År1,'Resultater - Østdanmark'!H$3:H$504,IF(E212=År2,'Resultater - Østdanmark'!I$3:I$504,'Resultater - Østdanmark'!J$3:J$504)),'Resultater - Østdanmark'!$F$3:$F$504,$A212,'Resultater - Østdanmark'!H$3:H$504,"&lt;0"),0))</f>
        <v>99919.118195708812</v>
      </c>
      <c r="J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forbrug'!J$3,'Forbrug af biomasse'!$B$2:$B$425,$F212)</f>
        <v>0</v>
      </c>
      <c r="K212" s="94">
        <f ca="1">SUMIFS('Forbrug af biomasse'!$E$2:$E$425,'Forbrug af biomasse'!$C$2:$C$425,'Resultat-Produktion &amp; forbrug'!$A212,'Forbrug af biomasse'!$D$2:$D$425,'Resultat-Produktion &amp; forbrug'!$E212,'Forbrug af biomasse'!$A$2:$A$425,'Resultat-Produktion &amp; forbrug'!K$3,'Forbrug af biomasse'!$B$2:$B$425,$F212)</f>
        <v>0</v>
      </c>
      <c r="L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forbrug'!L$3,'Forbrug af biomasse'!$B$2:$B$425,$F212)</f>
        <v>0</v>
      </c>
      <c r="M212" s="94">
        <f ca="1">IF(A212&lt;&gt;"Biogas",SUMIFS('Forbrug af biomasse'!$E$2:$E$425,'Forbrug af biomasse'!$C$2:$C$425,'Resultat-Produktion &amp; forbrug'!$A212,'Forbrug af biomasse'!$D$2:$D$425,'Resultat-Produktion &amp; forbrug'!$E212,'Forbrug af biomasse'!$A$2:$A$425,'Resultat-Produktion &amp; forbrug'!M$3,'Forbrug af biomasse'!$B$2:$B$425,$F212),G212)</f>
        <v>1127754.4932839847</v>
      </c>
      <c r="N212" s="94">
        <f ca="1">SUMIFS('Forbrug af biomasse'!E:E,'Forbrug af biomasse'!C:C,'Resultat-Produktion &amp; forbrug'!$A212,'Forbrug af biomasse'!D:D,'Resultat-Produktion &amp; forbrug'!$E212,'Forbrug af biomasse'!G:G,1,'Forbrug af biomasse'!B:B,$F212)</f>
        <v>0</v>
      </c>
      <c r="O212" s="179">
        <f t="shared" ca="1" si="53"/>
        <v>0</v>
      </c>
      <c r="P212" s="94">
        <f t="shared" ca="1" si="65"/>
        <v>0</v>
      </c>
      <c r="Q212" s="180">
        <f t="shared" ca="1" si="54"/>
        <v>1127754.4932839847</v>
      </c>
      <c r="R212">
        <f ca="1">IFERROR(VLOOKUP(A212,[1]Energiindhold!$A$2:$C$11,3,FALSE),IFERROR(VLOOKUP(A212,[1]Biogasudbytte!$A$2:$B$18,2,FALSE)*[1]Energiindhold!$C$10,0))*P212</f>
        <v>0</v>
      </c>
      <c r="S212">
        <f ca="1">IF(A212&lt;&gt;"Biogas",IFERROR(VLOOKUP(A212,[1]Biogasudbytte!$A$2:$B$18,2,FALSE)*[1]Energiindhold!$C$10,0)*K212*IFERROR(VLOOKUP(A212,Biogasanlæg!$F$3:$G$8,2,FALSE),1)+IFERROR(VLOOKUP(A212,[1]Energiindhold!$A$2:$C$11,3,FALSE),0)*M212+IF(E212&lt;&gt;År1,R212,0),0)</f>
        <v>11.656252040671873</v>
      </c>
      <c r="T212">
        <f ca="1">IFERROR(VLOOKUP(A212,[1]Biogasudbytte!$A$2:$B$18,2,FALSE)*[1]Energiindhold!$C$10,0)*K212*IFERROR(VLOOKUP(A212,Biogasanlæg!$F$3:$G$8,2,FALSE),1)</f>
        <v>0</v>
      </c>
      <c r="U212" s="170">
        <f t="shared" ca="1" si="55"/>
        <v>11.656252040671873</v>
      </c>
      <c r="V212" s="169">
        <f ca="1">P212*IFERROR(VLOOKUP(A212,[1]Tørstofindhold!A$2:B$24,2,FALSE),0)</f>
        <v>0</v>
      </c>
      <c r="W212">
        <f ca="1">IF(E212=År1,Q212,SUM(P212,Q212))*IFERROR(VLOOKUP(A212,[1]Tørstofindhold!A$2:B$24,2,FALSE),0)</f>
        <v>958591.31929138699</v>
      </c>
      <c r="X212">
        <f ca="1">K212*IFERROR(VLOOKUP(A212,[1]Tørstofindhold!A$2:B$24,2,FALSE),0)</f>
        <v>0</v>
      </c>
      <c r="Y212" s="170">
        <f t="shared" ca="1" si="56"/>
        <v>958591.31929138699</v>
      </c>
      <c r="Z212">
        <f t="shared" ca="1" si="66"/>
        <v>0</v>
      </c>
      <c r="AA212">
        <f t="shared" ca="1" si="67"/>
        <v>0</v>
      </c>
      <c r="AB212" s="94">
        <f t="shared" ca="1" si="68"/>
        <v>1127754.4932839847</v>
      </c>
      <c r="AC212">
        <f ca="1">AB212*D212*10000*VLOOKUP(A212,[1]kcal!$A$2:$C$49,3,FALSE)/1000000000000</f>
        <v>0</v>
      </c>
    </row>
    <row r="213" spans="1:29" x14ac:dyDescent="0.25">
      <c r="A213" s="171" t="str">
        <f t="shared" si="62"/>
        <v>Have/parkaffald</v>
      </c>
      <c r="B213" s="171" t="str">
        <f t="shared" si="63"/>
        <v>Bionedbrydeligt affald</v>
      </c>
      <c r="C213" s="171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1</v>
      </c>
      <c r="D213" s="171">
        <f t="shared" si="61"/>
        <v>0</v>
      </c>
      <c r="E213" s="171">
        <f t="shared" si="64"/>
        <v>2030</v>
      </c>
      <c r="F213" t="s">
        <v>24</v>
      </c>
      <c r="G213" s="94">
        <f>IF(F213="Vestdanmark",SUMIFS(IF(E213=År1,'Resultater - Vestdanmark'!H$3:H$504,IF(E213=År2,'Resultater - Vestdanmark'!I$3:I$504,'Resultater - Vestdanmark'!J$3:J$504)),'Resultater - Vestdanmark'!$F$3:$F$504,$A213,IF(E213=År1,'Resultater - Vestdanmark'!H$3:H$504,IF(E213=År2,'Resultater - Vestdanmark'!I$3:I$504,'Resultater - Vestdanmark'!J$3:J$504)),"&gt;0"),SUMIFS(IF(E213=År1,'Resultater - Østdanmark'!H$3:H$504,IF(E213=År2,'Resultater - Østdanmark'!I$3:I$504,'Resultater - Østdanmark'!J$3:J$504)),'Resultater - Østdanmark'!$F$3:$F$504,$A213,IF(E213=År1,'Resultater - Østdanmark'!H$3:H$504,IF(E213=År2,'Resultater - Østdanmark'!I$3:I$504,'Resultater - Østdanmark'!J$3:J$504)),"&gt;0"))</f>
        <v>456074.89013160887</v>
      </c>
      <c r="H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forbrug'!H$3,'Forbrug af biomasse'!$B$2:$B$425,$F213)</f>
        <v>0</v>
      </c>
      <c r="I213">
        <f>IF(F213="Vestdanmark",-IF(A213="Halm",SUMIFS(IF(E213=År1,'Resultater - Vestdanmark'!H$3:H$504,IF(E213=År2,'Resultater - Vestdanmark'!I$3:I$504,'Resultater - Vestdanmark'!J$3:J$504)),'Resultater - Vestdanmark'!$F$3:$F$504,$A213,'Resultater - Vestdanmark'!H$3:H$504,"&lt;0"),0),-IF(A213="Halm",SUMIFS(IF(E213=År1,'Resultater - Østdanmark'!H$3:H$504,IF(E213=År2,'Resultater - Østdanmark'!I$3:I$504,'Resultater - Østdanmark'!J$3:J$504)),'Resultater - Østdanmark'!$F$3:$F$504,$A213,'Resultater - Østdanmark'!H$3:H$504,"&lt;0"),0))</f>
        <v>0</v>
      </c>
      <c r="J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forbrug'!J$3,'Forbrug af biomasse'!$B$2:$B$425,$F213)</f>
        <v>0</v>
      </c>
      <c r="K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forbrug'!K$3,'Forbrug af biomasse'!$B$2:$B$425,$F213)</f>
        <v>348039.31140100124</v>
      </c>
      <c r="L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forbrug'!L$3,'Forbrug af biomasse'!$B$2:$B$425,$F213)</f>
        <v>0</v>
      </c>
      <c r="M213" s="94">
        <f>IF(A213&lt;&gt;"Biogas",SUMIFS('Forbrug af biomasse'!$E$2:$E$425,'Forbrug af biomasse'!$C$2:$C$425,'Resultat-Produktion &amp; forbrug'!$A213,'Forbrug af biomasse'!$D$2:$D$425,'Resultat-Produktion &amp; forbrug'!$E213,'Forbrug af biomasse'!$A$2:$A$425,'Resultat-Produktion &amp; forbrug'!M$3,'Forbrug af biomasse'!$B$2:$B$425,$F213),G213)</f>
        <v>108035.57873060764</v>
      </c>
      <c r="N213" s="94">
        <f>SUMIFS('Forbrug af biomasse'!E:E,'Forbrug af biomasse'!C:C,'Resultat-Produktion &amp; forbrug'!$A213,'Forbrug af biomasse'!D:D,'Resultat-Produktion &amp; forbrug'!$E213,'Forbrug af biomasse'!G:G,1,'Forbrug af biomasse'!B:B,$F213)</f>
        <v>0</v>
      </c>
      <c r="O213" s="179">
        <f t="shared" si="53"/>
        <v>0</v>
      </c>
      <c r="P213" s="94">
        <f t="shared" si="65"/>
        <v>0</v>
      </c>
      <c r="Q213" s="180">
        <f t="shared" si="54"/>
        <v>456074.89013160887</v>
      </c>
      <c r="R213">
        <f>IFERROR(VLOOKUP(A213,[1]Energiindhold!$A$2:$C$11,3,FALSE),IFERROR(VLOOKUP(A213,[1]Biogasudbytte!$A$2:$B$18,2,FALSE)*[1]Energiindhold!$C$10,0))*P213</f>
        <v>0</v>
      </c>
      <c r="S213">
        <f>IF(A213&lt;&gt;"Biogas",IFERROR(VLOOKUP(A213,[1]Biogasudbytte!$A$2:$B$18,2,FALSE)*[1]Energiindhold!$C$10,0)*K213*IFERROR(VLOOKUP(A213,Biogasanlæg!$F$3:$G$8,2,FALSE),1)+IFERROR(VLOOKUP(A213,[1]Energiindhold!$A$2:$C$11,3,FALSE),0)*M213+IF(E213&lt;&gt;År1,R213,0),0)</f>
        <v>2.5196700890881236</v>
      </c>
      <c r="T213">
        <f>IFERROR(VLOOKUP(A213,[1]Biogasudbytte!$A$2:$B$18,2,FALSE)*[1]Energiindhold!$C$10,0)*K213*IFERROR(VLOOKUP(A213,Biogasanlæg!$F$3:$G$8,2,FALSE),1)</f>
        <v>0.59099511351069822</v>
      </c>
      <c r="U213" s="170">
        <f t="shared" si="55"/>
        <v>1.9286749755774255</v>
      </c>
      <c r="V213" s="169">
        <f>P213*IFERROR(VLOOKUP(A213,[1]Tørstofindhold!A$2:B$24,2,FALSE),0)</f>
        <v>0</v>
      </c>
      <c r="W213">
        <f>IF(E213=År1,Q213,SUM(P213,Q213))*IFERROR(VLOOKUP(A213,[1]Tørstofindhold!A$2:B$24,2,FALSE),0)</f>
        <v>136822.46703948267</v>
      </c>
      <c r="X213">
        <f>K213*IFERROR(VLOOKUP(A213,[1]Tørstofindhold!A$2:B$24,2,FALSE),0)</f>
        <v>104411.79342030037</v>
      </c>
      <c r="Y213" s="170">
        <f t="shared" si="56"/>
        <v>32410.6736191823</v>
      </c>
      <c r="Z213">
        <f t="shared" si="66"/>
        <v>0</v>
      </c>
      <c r="AA213">
        <f t="shared" si="67"/>
        <v>0</v>
      </c>
      <c r="AB213" s="94">
        <f t="shared" si="68"/>
        <v>108035.57873060764</v>
      </c>
      <c r="AC213">
        <f>AB213*D213*10000*VLOOKUP(A213,[1]kcal!$A$2:$C$49,3,FALSE)/1000000000000</f>
        <v>0</v>
      </c>
    </row>
    <row r="214" spans="1:29" x14ac:dyDescent="0.25">
      <c r="A214" s="171" t="str">
        <f t="shared" si="62"/>
        <v>Import af foder</v>
      </c>
      <c r="B214" s="171" t="str">
        <f t="shared" si="63"/>
        <v/>
      </c>
      <c r="C214" s="171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0</v>
      </c>
      <c r="D214" s="171">
        <f t="shared" si="61"/>
        <v>1</v>
      </c>
      <c r="E214" s="171">
        <f t="shared" si="64"/>
        <v>2030</v>
      </c>
      <c r="F214" t="s">
        <v>24</v>
      </c>
      <c r="G214" s="94">
        <f>IF(F214="Vestdanmark",SUMIFS(IF(E214=År1,'Resultater - Vestdanmark'!H$3:H$504,IF(E214=År2,'Resultater - Vestdanmark'!I$3:I$504,'Resultater - Vestdanmark'!J$3:J$504)),'Resultater - Vestdanmark'!$F$3:$F$504,$A214,IF(E214=År1,'Resultater - Vestdanmark'!H$3:H$504,IF(E214=År2,'Resultater - Vestdanmark'!I$3:I$504,'Resultater - Vestdanmark'!J$3:J$504)),"&gt;0"),SUMIFS(IF(E214=År1,'Resultater - Østdanmark'!H$3:H$504,IF(E214=År2,'Resultater - Østdanmark'!I$3:I$504,'Resultater - Østdanmark'!J$3:J$504)),'Resultater - Østdanmark'!$F$3:$F$504,$A214,IF(E214=År1,'Resultater - Østdanmark'!H$3:H$504,IF(E214=År2,'Resultater - Østdanmark'!I$3:I$504,'Resultater - Østdanmark'!J$3:J$504)),"&gt;0"))</f>
        <v>0</v>
      </c>
      <c r="H214" s="94">
        <f ca="1">SUMIFS('Forbrug af biomasse'!$E$2:$E$425,'Forbrug af biomasse'!$C$2:$C$425,'Resultat-Produktion &amp; forbrug'!$A214,'Forbrug af biomasse'!$D$2:$D$425,'Resultat-Produktion &amp; forbrug'!$E214,'Forbrug af biomasse'!$A$2:$A$425,'Resultat-Produktion &amp; forbrug'!H$3,'Forbrug af biomasse'!$B$2:$B$425,$F214)</f>
        <v>575400.46112831845</v>
      </c>
      <c r="I214">
        <f>IF(F214="Vestdanmark",-IF(A214="Halm",SUMIFS(IF(E214=År1,'Resultater - Vestdanmark'!H$3:H$504,IF(E214=År2,'Resultater - Vestdanmark'!I$3:I$504,'Resultater - Vestdanmark'!J$3:J$504)),'Resultater - Vestdanmark'!$F$3:$F$504,$A214,'Resultater - Vestdanmark'!H$3:H$504,"&lt;0"),0),-IF(A214="Halm",SUMIFS(IF(E214=År1,'Resultater - Østdanmark'!H$3:H$504,IF(E214=År2,'Resultater - Østdanmark'!I$3:I$504,'Resultater - Østdanmark'!J$3:J$504)),'Resultater - Østdanmark'!$F$3:$F$504,$A214,'Resultater - Østdanmark'!H$3:H$504,"&lt;0"),0))</f>
        <v>0</v>
      </c>
      <c r="J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forbrug'!J$3,'Forbrug af biomasse'!$B$2:$B$425,$F214)</f>
        <v>0</v>
      </c>
      <c r="K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forbrug'!K$3,'Forbrug af biomasse'!$B$2:$B$425,$F214)</f>
        <v>0</v>
      </c>
      <c r="L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forbrug'!L$3,'Forbrug af biomasse'!$B$2:$B$425,$F214)</f>
        <v>0</v>
      </c>
      <c r="M214" s="94">
        <f>IF(A214&lt;&gt;"Biogas",SUMIFS('Forbrug af biomasse'!$E$2:$E$425,'Forbrug af biomasse'!$C$2:$C$425,'Resultat-Produktion &amp; forbrug'!$A214,'Forbrug af biomasse'!$D$2:$D$425,'Resultat-Produktion &amp; forbrug'!$E214,'Forbrug af biomasse'!$A$2:$A$425,'Resultat-Produktion &amp; forbrug'!M$3,'Forbrug af biomasse'!$B$2:$B$425,$F214),G214)</f>
        <v>0</v>
      </c>
      <c r="N214" s="94">
        <f>SUMIFS('Forbrug af biomasse'!E:E,'Forbrug af biomasse'!C:C,'Resultat-Produktion &amp; forbrug'!$A214,'Forbrug af biomasse'!D:D,'Resultat-Produktion &amp; forbrug'!$E214,'Forbrug af biomasse'!G:G,1,'Forbrug af biomasse'!B:B,$F214)</f>
        <v>0</v>
      </c>
      <c r="O214" s="179">
        <f t="shared" ca="1" si="53"/>
        <v>-575400.46112831845</v>
      </c>
      <c r="P214" s="94">
        <f t="shared" si="65"/>
        <v>0</v>
      </c>
      <c r="Q214" s="180">
        <f t="shared" si="54"/>
        <v>0</v>
      </c>
      <c r="R214">
        <f>IFERROR(VLOOKUP(A214,[1]Energiindhold!$A$2:$C$11,3,FALSE),IFERROR(VLOOKUP(A214,[1]Biogasudbytte!$A$2:$B$18,2,FALSE)*[1]Energiindhold!$C$10,0))*P214</f>
        <v>0</v>
      </c>
      <c r="S214">
        <f>IF(A214&lt;&gt;"Biogas",IFERROR(VLOOKUP(A214,[1]Biogasudbytte!$A$2:$B$18,2,FALSE)*[1]Energiindhold!$C$10,0)*K214*IFERROR(VLOOKUP(A214,Biogasanlæg!$F$3:$G$8,2,FALSE),1)+IFERROR(VLOOKUP(A214,[1]Energiindhold!$A$2:$C$11,3,FALSE),0)*M214+IF(E214&lt;&gt;År1,R214,0),0)</f>
        <v>0</v>
      </c>
      <c r="T214">
        <f>IFERROR(VLOOKUP(A214,[1]Biogasudbytte!$A$2:$B$18,2,FALSE)*[1]Energiindhold!$C$10,0)*K214*IFERROR(VLOOKUP(A214,Biogasanlæg!$F$3:$G$8,2,FALSE),1)</f>
        <v>0</v>
      </c>
      <c r="U214" s="170">
        <f t="shared" si="55"/>
        <v>0</v>
      </c>
      <c r="V214" s="169">
        <f>P214*IFERROR(VLOOKUP(A214,[1]Tørstofindhold!A$2:B$24,2,FALSE),0)</f>
        <v>0</v>
      </c>
      <c r="W214">
        <f>IF(E214=År1,Q214,SUM(P214,Q214))*IFERROR(VLOOKUP(A214,[1]Tørstofindhold!A$2:B$24,2,FALSE),0)</f>
        <v>0</v>
      </c>
      <c r="X214">
        <f>K214*IFERROR(VLOOKUP(A214,[1]Tørstofindhold!A$2:B$24,2,FALSE),0)</f>
        <v>0</v>
      </c>
      <c r="Y214" s="170">
        <f t="shared" si="56"/>
        <v>0</v>
      </c>
      <c r="Z214">
        <f t="shared" ca="1" si="66"/>
        <v>1</v>
      </c>
      <c r="AA214">
        <f t="shared" ca="1" si="67"/>
        <v>0</v>
      </c>
      <c r="AB214" s="94">
        <f t="shared" ca="1" si="68"/>
        <v>-575400.46112831845</v>
      </c>
      <c r="AC214">
        <f ca="1">AB214*D214*10000*VLOOKUP(A214,[1]kcal!$A$2:$C$49,3,FALSE)/1000000000000</f>
        <v>-0.32797826284314147</v>
      </c>
    </row>
    <row r="215" spans="1:29" x14ac:dyDescent="0.25">
      <c r="A215" s="171" t="str">
        <f t="shared" si="62"/>
        <v>Industriaffald</v>
      </c>
      <c r="B215" s="171" t="str">
        <f t="shared" si="63"/>
        <v>Bionedbrydeligt affald</v>
      </c>
      <c r="C215" s="171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1</v>
      </c>
      <c r="D215" s="171">
        <f t="shared" si="61"/>
        <v>0</v>
      </c>
      <c r="E215" s="171">
        <f t="shared" si="64"/>
        <v>2030</v>
      </c>
      <c r="F215" t="s">
        <v>24</v>
      </c>
      <c r="G215" s="94">
        <f ca="1">IF(F215="Vestdanmark",SUMIFS(IF(E215=År1,'Resultater - Vestdanmark'!H$3:H$504,IF(E215=År2,'Resultater - Vestdanmark'!I$3:I$504,'Resultater - Vestdanmark'!J$3:J$504)),'Resultater - Vestdanmark'!$F$3:$F$504,$A215,IF(E215=År1,'Resultater - Vestdanmark'!H$3:H$504,IF(E215=År2,'Resultater - Vestdanmark'!I$3:I$504,'Resultater - Vestdanmark'!J$3:J$504)),"&gt;0"),SUMIFS(IF(E215=År1,'Resultater - Østdanmark'!H$3:H$504,IF(E215=År2,'Resultater - Østdanmark'!I$3:I$504,'Resultater - Østdanmark'!J$3:J$504)),'Resultater - Østdanmark'!$F$3:$F$504,$A215,IF(E215=År1,'Resultater - Østdanmark'!H$3:H$504,IF(E215=År2,'Resultater - Østdanmark'!I$3:I$504,'Resultater - Østdanmark'!J$3:J$504)),"&gt;0"))</f>
        <v>201909.85062896684</v>
      </c>
      <c r="H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forbrug'!H$3,'Forbrug af biomasse'!$B$2:$B$425,$F215)</f>
        <v>0</v>
      </c>
      <c r="I215">
        <f>IF(F215="Vestdanmark",-IF(A215="Halm",SUMIFS(IF(E215=År1,'Resultater - Vestdanmark'!H$3:H$504,IF(E215=År2,'Resultater - Vestdanmark'!I$3:I$504,'Resultater - Vestdanmark'!J$3:J$504)),'Resultater - Vestdanmark'!$F$3:$F$504,$A215,'Resultater - Vestdanmark'!H$3:H$504,"&lt;0"),0),-IF(A215="Halm",SUMIFS(IF(E215=År1,'Resultater - Østdanmark'!H$3:H$504,IF(E215=År2,'Resultater - Østdanmark'!I$3:I$504,'Resultater - Østdanmark'!J$3:J$504)),'Resultater - Østdanmark'!$F$3:$F$504,$A215,'Resultater - Østdanmark'!H$3:H$504,"&lt;0"),0))</f>
        <v>0</v>
      </c>
      <c r="J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forbrug'!J$3,'Forbrug af biomasse'!$B$2:$B$425,$F215)</f>
        <v>0</v>
      </c>
      <c r="K215" s="94">
        <f ca="1">SUMIFS('Forbrug af biomasse'!$E$2:$E$425,'Forbrug af biomasse'!$C$2:$C$425,'Resultat-Produktion &amp; forbrug'!$A215,'Forbrug af biomasse'!$D$2:$D$425,'Resultat-Produktion &amp; forbrug'!$E215,'Forbrug af biomasse'!$A$2:$A$425,'Resultat-Produktion &amp; forbrug'!K$3,'Forbrug af biomasse'!$B$2:$B$425,$F215)</f>
        <v>0</v>
      </c>
      <c r="L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forbrug'!L$3,'Forbrug af biomasse'!$B$2:$B$425,$F215)</f>
        <v>0</v>
      </c>
      <c r="M215" s="94">
        <f>IF(A215&lt;&gt;"Biogas",SUMIFS('Forbrug af biomasse'!$E$2:$E$425,'Forbrug af biomasse'!$C$2:$C$425,'Resultat-Produktion &amp; forbrug'!$A215,'Forbrug af biomasse'!$D$2:$D$425,'Resultat-Produktion &amp; forbrug'!$E215,'Forbrug af biomasse'!$A$2:$A$425,'Resultat-Produktion &amp; forbrug'!M$3,'Forbrug af biomasse'!$B$2:$B$425,$F215),G215)</f>
        <v>0</v>
      </c>
      <c r="N215" s="94">
        <f>SUMIFS('Forbrug af biomasse'!E:E,'Forbrug af biomasse'!C:C,'Resultat-Produktion &amp; forbrug'!$A215,'Forbrug af biomasse'!D:D,'Resultat-Produktion &amp; forbrug'!$E215,'Forbrug af biomasse'!G:G,1,'Forbrug af biomasse'!B:B,$F215)</f>
        <v>0</v>
      </c>
      <c r="O215" s="179">
        <f t="shared" ca="1" si="53"/>
        <v>201909.85062896684</v>
      </c>
      <c r="P215" s="94">
        <f t="shared" ca="1" si="65"/>
        <v>201909.85062896684</v>
      </c>
      <c r="Q215" s="180">
        <f t="shared" ca="1" si="54"/>
        <v>0</v>
      </c>
      <c r="R215">
        <f ca="1">IFERROR(VLOOKUP(A215,[1]Energiindhold!$A$2:$C$11,3,FALSE),IFERROR(VLOOKUP(A215,[1]Biogasudbytte!$A$2:$B$18,2,FALSE)*[1]Energiindhold!$C$10,0))*P215</f>
        <v>0.87490163105589525</v>
      </c>
      <c r="S215">
        <f ca="1">IF(A215&lt;&gt;"Biogas",IFERROR(VLOOKUP(A215,[1]Biogasudbytte!$A$2:$B$18,2,FALSE)*[1]Energiindhold!$C$10,0)*K215*IFERROR(VLOOKUP(A215,Biogasanlæg!$F$3:$G$8,2,FALSE),1)+IFERROR(VLOOKUP(A215,[1]Energiindhold!$A$2:$C$11,3,FALSE),0)*M215+IF(E215&lt;&gt;År1,R215,0),0)</f>
        <v>0.87490163105589525</v>
      </c>
      <c r="T215">
        <f ca="1">IFERROR(VLOOKUP(A215,[1]Biogasudbytte!$A$2:$B$18,2,FALSE)*[1]Energiindhold!$C$10,0)*K215*IFERROR(VLOOKUP(A215,Biogasanlæg!$F$3:$G$8,2,FALSE),1)</f>
        <v>0</v>
      </c>
      <c r="U215" s="170">
        <f t="shared" ca="1" si="55"/>
        <v>0.87490163105589525</v>
      </c>
      <c r="V215" s="169">
        <f ca="1">P215*IFERROR(VLOOKUP(A215,[1]Tørstofindhold!A$2:B$24,2,FALSE),0)</f>
        <v>84802.137264166071</v>
      </c>
      <c r="W215">
        <f ca="1">IF(E215=År1,Q215,SUM(P215,Q215))*IFERROR(VLOOKUP(A215,[1]Tørstofindhold!A$2:B$24,2,FALSE),0)</f>
        <v>84802.137264166071</v>
      </c>
      <c r="X215">
        <f ca="1">K215*IFERROR(VLOOKUP(A215,[1]Tørstofindhold!A$2:B$24,2,FALSE),0)</f>
        <v>0</v>
      </c>
      <c r="Y215" s="170">
        <f t="shared" ca="1" si="56"/>
        <v>84802.137264166071</v>
      </c>
      <c r="Z215">
        <f t="shared" ca="1" si="66"/>
        <v>0</v>
      </c>
      <c r="AA215">
        <f t="shared" ca="1" si="67"/>
        <v>1</v>
      </c>
      <c r="AB215" s="94">
        <f t="shared" ca="1" si="68"/>
        <v>201909.85062896684</v>
      </c>
      <c r="AC215">
        <f ca="1">AB215*D215*10000*VLOOKUP(A215,[1]kcal!$A$2:$C$49,3,FALSE)/1000000000000</f>
        <v>0</v>
      </c>
    </row>
    <row r="216" spans="1:29" x14ac:dyDescent="0.25">
      <c r="A216" s="171" t="str">
        <f t="shared" si="62"/>
        <v>Juletræer</v>
      </c>
      <c r="B216" s="171" t="str">
        <f t="shared" si="63"/>
        <v/>
      </c>
      <c r="C216" s="171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71">
        <f t="shared" si="61"/>
        <v>0</v>
      </c>
      <c r="E216" s="171">
        <f t="shared" si="64"/>
        <v>2030</v>
      </c>
      <c r="F216" t="s">
        <v>24</v>
      </c>
      <c r="G216" s="94">
        <f>IF(F216="Vestdanmark",SUMIFS(IF(E216=År1,'Resultater - Vestdanmark'!H$3:H$504,IF(E216=År2,'Resultater - Vestdanmark'!I$3:I$504,'Resultater - Vestdanmark'!J$3:J$504)),'Resultater - Vestdanmark'!$F$3:$F$504,$A216,IF(E216=År1,'Resultater - Vestdanmark'!H$3:H$504,IF(E216=År2,'Resultater - Vestdanmark'!I$3:I$504,'Resultater - Vestdanmark'!J$3:J$504)),"&gt;0"),SUMIFS(IF(E216=År1,'Resultater - Østdanmark'!H$3:H$504,IF(E216=År2,'Resultater - Østdanmark'!I$3:I$504,'Resultater - Østdanmark'!J$3:J$504)),'Resultater - Østdanmark'!$F$3:$F$504,$A216,IF(E216=År1,'Resultater - Østdanmark'!H$3:H$504,IF(E216=År2,'Resultater - Østdanmark'!I$3:I$504,'Resultater - Østdanmark'!J$3:J$504)),"&gt;0"))</f>
        <v>149103.32939023938</v>
      </c>
      <c r="H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forbrug'!H$3,'Forbrug af biomasse'!$B$2:$B$425,$F216)</f>
        <v>0</v>
      </c>
      <c r="I216">
        <f>IF(F216="Vestdanmark",-IF(A216="Halm",SUMIFS(IF(E216=År1,'Resultater - Vestdanmark'!H$3:H$504,IF(E216=År2,'Resultater - Vestdanmark'!I$3:I$504,'Resultater - Vestdanmark'!J$3:J$504)),'Resultater - Vestdanmark'!$F$3:$F$504,$A216,'Resultater - Vestdanmark'!H$3:H$504,"&lt;0"),0),-IF(A216="Halm",SUMIFS(IF(E216=År1,'Resultater - Østdanmark'!H$3:H$504,IF(E216=År2,'Resultater - Østdanmark'!I$3:I$504,'Resultater - Østdanmark'!J$3:J$504)),'Resultater - Østdanmark'!$F$3:$F$504,$A216,'Resultater - Østdanmark'!H$3:H$504,"&lt;0"),0))</f>
        <v>0</v>
      </c>
      <c r="J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forbrug'!J$3,'Forbrug af biomasse'!$B$2:$B$425,$F216)</f>
        <v>0</v>
      </c>
      <c r="K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forbrug'!K$3,'Forbrug af biomasse'!$B$2:$B$425,$F216)</f>
        <v>0</v>
      </c>
      <c r="L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forbrug'!L$3,'Forbrug af biomasse'!$B$2:$B$425,$F216)</f>
        <v>0</v>
      </c>
      <c r="M216" s="94">
        <f>IF(A216&lt;&gt;"Biogas",SUMIFS('Forbrug af biomasse'!$E$2:$E$425,'Forbrug af biomasse'!$C$2:$C$425,'Resultat-Produktion &amp; forbrug'!$A216,'Forbrug af biomasse'!$D$2:$D$425,'Resultat-Produktion &amp; forbrug'!$E216,'Forbrug af biomasse'!$A$2:$A$425,'Resultat-Produktion &amp; forbrug'!M$3,'Forbrug af biomasse'!$B$2:$B$425,$F216),G216)</f>
        <v>0</v>
      </c>
      <c r="N216" s="94">
        <f>SUMIFS('Forbrug af biomasse'!E:E,'Forbrug af biomasse'!C:C,'Resultat-Produktion &amp; forbrug'!$A216,'Forbrug af biomasse'!D:D,'Resultat-Produktion &amp; forbrug'!$E216,'Forbrug af biomasse'!G:G,1,'Forbrug af biomasse'!B:B,$F216)</f>
        <v>0</v>
      </c>
      <c r="O216" s="179">
        <f t="shared" si="53"/>
        <v>149103.32939023938</v>
      </c>
      <c r="P216" s="94">
        <f t="shared" si="65"/>
        <v>0</v>
      </c>
      <c r="Q216" s="180">
        <f t="shared" si="54"/>
        <v>0</v>
      </c>
      <c r="R216">
        <f>IFERROR(VLOOKUP(A216,[1]Energiindhold!$A$2:$C$11,3,FALSE),IFERROR(VLOOKUP(A216,[1]Biogasudbytte!$A$2:$B$18,2,FALSE)*[1]Energiindhold!$C$10,0))*P216</f>
        <v>0</v>
      </c>
      <c r="S216">
        <f>IF(A216&lt;&gt;"Biogas",IFERROR(VLOOKUP(A216,[1]Biogasudbytte!$A$2:$B$18,2,FALSE)*[1]Energiindhold!$C$10,0)*K216*IFERROR(VLOOKUP(A216,Biogasanlæg!$F$3:$G$8,2,FALSE),1)+IFERROR(VLOOKUP(A216,[1]Energiindhold!$A$2:$C$11,3,FALSE),0)*M216+IF(E216&lt;&gt;År1,R216,0),0)</f>
        <v>0</v>
      </c>
      <c r="T216">
        <f>IFERROR(VLOOKUP(A216,[1]Biogasudbytte!$A$2:$B$18,2,FALSE)*[1]Energiindhold!$C$10,0)*K216*IFERROR(VLOOKUP(A216,Biogasanlæg!$F$3:$G$8,2,FALSE),1)</f>
        <v>0</v>
      </c>
      <c r="U216" s="170">
        <f t="shared" si="55"/>
        <v>0</v>
      </c>
      <c r="V216" s="169">
        <f>P216*IFERROR(VLOOKUP(A216,[1]Tørstofindhold!A$2:B$24,2,FALSE),0)</f>
        <v>0</v>
      </c>
      <c r="W216">
        <f>IF(E216=År1,Q216,SUM(P216,Q216))*IFERROR(VLOOKUP(A216,[1]Tørstofindhold!A$2:B$24,2,FALSE),0)</f>
        <v>0</v>
      </c>
      <c r="X216">
        <f>K216*IFERROR(VLOOKUP(A216,[1]Tørstofindhold!A$2:B$24,2,FALSE),0)</f>
        <v>0</v>
      </c>
      <c r="Y216" s="170">
        <f t="shared" si="56"/>
        <v>0</v>
      </c>
      <c r="Z216">
        <f t="shared" si="66"/>
        <v>0</v>
      </c>
      <c r="AA216">
        <f t="shared" si="67"/>
        <v>1</v>
      </c>
      <c r="AB216" s="94">
        <f t="shared" si="68"/>
        <v>149103.32939023938</v>
      </c>
      <c r="AC216">
        <f>AB216*D216*10000*VLOOKUP(A216,[1]kcal!$A$2:$C$49,3,FALSE)/1000000000000</f>
        <v>0</v>
      </c>
    </row>
    <row r="217" spans="1:29" x14ac:dyDescent="0.25">
      <c r="A217" s="171" t="str">
        <f t="shared" si="62"/>
        <v>Kartofler</v>
      </c>
      <c r="B217" s="171" t="str">
        <f t="shared" si="63"/>
        <v/>
      </c>
      <c r="C217" s="171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0</v>
      </c>
      <c r="D217" s="171">
        <f t="shared" si="61"/>
        <v>1</v>
      </c>
      <c r="E217" s="171">
        <f t="shared" si="64"/>
        <v>2030</v>
      </c>
      <c r="F217" t="s">
        <v>24</v>
      </c>
      <c r="G217" s="94">
        <f>IF(F217="Vestdanmark",SUMIFS(IF(E217=År1,'Resultater - Vestdanmark'!H$3:H$504,IF(E217=År2,'Resultater - Vestdanmark'!I$3:I$504,'Resultater - Vestdanmark'!J$3:J$504)),'Resultater - Vestdanmark'!$F$3:$F$504,$A217,IF(E217=År1,'Resultater - Vestdanmark'!H$3:H$504,IF(E217=År2,'Resultater - Vestdanmark'!I$3:I$504,'Resultater - Vestdanmark'!J$3:J$504)),"&gt;0"),SUMIFS(IF(E217=År1,'Resultater - Østdanmark'!H$3:H$504,IF(E217=År2,'Resultater - Østdanmark'!I$3:I$504,'Resultater - Østdanmark'!J$3:J$504)),'Resultater - Østdanmark'!$F$3:$F$504,$A217,IF(E217=År1,'Resultater - Østdanmark'!H$3:H$504,IF(E217=År2,'Resultater - Østdanmark'!I$3:I$504,'Resultater - Østdanmark'!J$3:J$504)),"&gt;0"))</f>
        <v>119105.39823782785</v>
      </c>
      <c r="H217" s="94">
        <f ca="1">SUMIFS('Forbrug af biomasse'!$E$2:$E$425,'Forbrug af biomasse'!$C$2:$C$425,'Resultat-Produktion &amp; forbrug'!$A217,'Forbrug af biomasse'!$D$2:$D$425,'Resultat-Produktion &amp; forbrug'!$E217,'Forbrug af biomasse'!$A$2:$A$425,'Resultat-Produktion &amp; forbrug'!H$3,'Forbrug af biomasse'!$B$2:$B$425,$F217)</f>
        <v>0</v>
      </c>
      <c r="I217">
        <f>IF(F217="Vestdanmark",-IF(A217="Halm",SUMIFS(IF(E217=År1,'Resultater - Vestdanmark'!H$3:H$504,IF(E217=År2,'Resultater - Vestdanmark'!I$3:I$504,'Resultater - Vestdanmark'!J$3:J$504)),'Resultater - Vestdanmark'!$F$3:$F$504,$A217,'Resultater - Vestdanmark'!H$3:H$504,"&lt;0"),0),-IF(A217="Halm",SUMIFS(IF(E217=År1,'Resultater - Østdanmark'!H$3:H$504,IF(E217=År2,'Resultater - Østdanmark'!I$3:I$504,'Resultater - Østdanmark'!J$3:J$504)),'Resultater - Østdanmark'!$F$3:$F$504,$A217,'Resultater - Østdanmark'!H$3:H$504,"&lt;0"),0))</f>
        <v>0</v>
      </c>
      <c r="J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forbrug'!J$3,'Forbrug af biomasse'!$B$2:$B$425,$F217)</f>
        <v>106960.41463921656</v>
      </c>
      <c r="K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forbrug'!K$3,'Forbrug af biomasse'!$B$2:$B$425,$F217)</f>
        <v>0</v>
      </c>
      <c r="L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forbrug'!L$3,'Forbrug af biomasse'!$B$2:$B$425,$F217)</f>
        <v>0</v>
      </c>
      <c r="M217" s="94">
        <f>IF(A217&lt;&gt;"Biogas",SUMIFS('Forbrug af biomasse'!$E$2:$E$425,'Forbrug af biomasse'!$C$2:$C$425,'Resultat-Produktion &amp; forbrug'!$A217,'Forbrug af biomasse'!$D$2:$D$425,'Resultat-Produktion &amp; forbrug'!$E217,'Forbrug af biomasse'!$A$2:$A$425,'Resultat-Produktion &amp; forbrug'!M$3,'Forbrug af biomasse'!$B$2:$B$425,$F217),G217)</f>
        <v>0</v>
      </c>
      <c r="N217" s="94">
        <f>SUMIFS('Forbrug af biomasse'!E:E,'Forbrug af biomasse'!C:C,'Resultat-Produktion &amp; forbrug'!$A217,'Forbrug af biomasse'!D:D,'Resultat-Produktion &amp; forbrug'!$E217,'Forbrug af biomasse'!G:G,1,'Forbrug af biomasse'!B:B,$F217)</f>
        <v>0</v>
      </c>
      <c r="O217" s="179">
        <f t="shared" ref="O217:O282" ca="1" si="69">G217-SUM(H217:N217)</f>
        <v>12144.983598611288</v>
      </c>
      <c r="P217" s="94">
        <f t="shared" si="65"/>
        <v>0</v>
      </c>
      <c r="Q217" s="180">
        <f t="shared" ref="Q217:Q282" si="70">SUM(K217,M217)</f>
        <v>0</v>
      </c>
      <c r="R217">
        <f>IFERROR(VLOOKUP(A217,[1]Energiindhold!$A$2:$C$11,3,FALSE),IFERROR(VLOOKUP(A217,[1]Biogasudbytte!$A$2:$B$18,2,FALSE)*[1]Energiindhold!$C$10,0))*P217</f>
        <v>0</v>
      </c>
      <c r="S217">
        <f>IF(A217&lt;&gt;"Biogas",IFERROR(VLOOKUP(A217,[1]Biogasudbytte!$A$2:$B$18,2,FALSE)*[1]Energiindhold!$C$10,0)*K217*IFERROR(VLOOKUP(A217,Biogasanlæg!$F$3:$G$8,2,FALSE),1)+IFERROR(VLOOKUP(A217,[1]Energiindhold!$A$2:$C$11,3,FALSE),0)*M217+IF(E217&lt;&gt;År1,R217,0),0)</f>
        <v>0</v>
      </c>
      <c r="T217">
        <f>IFERROR(VLOOKUP(A217,[1]Biogasudbytte!$A$2:$B$18,2,FALSE)*[1]Energiindhold!$C$10,0)*K217*IFERROR(VLOOKUP(A217,Biogasanlæg!$F$3:$G$8,2,FALSE),1)</f>
        <v>0</v>
      </c>
      <c r="U217" s="170">
        <f t="shared" ref="U217:U282" si="71">S217-T217</f>
        <v>0</v>
      </c>
      <c r="V217" s="169">
        <f>P217*IFERROR(VLOOKUP(A217,[1]Tørstofindhold!A$2:B$24,2,FALSE),0)</f>
        <v>0</v>
      </c>
      <c r="W217">
        <f>IF(E217=År1,Q217,SUM(P217,Q217))*IFERROR(VLOOKUP(A217,[1]Tørstofindhold!A$2:B$24,2,FALSE),0)</f>
        <v>0</v>
      </c>
      <c r="X217">
        <f>K217*IFERROR(VLOOKUP(A217,[1]Tørstofindhold!A$2:B$24,2,FALSE),0)</f>
        <v>0</v>
      </c>
      <c r="Y217" s="170">
        <f t="shared" ref="Y217:Y282" si="72">W217-X217</f>
        <v>0</v>
      </c>
      <c r="Z217">
        <f t="shared" ca="1" si="66"/>
        <v>0</v>
      </c>
      <c r="AA217">
        <f t="shared" ca="1" si="67"/>
        <v>1</v>
      </c>
      <c r="AB217" s="94">
        <f t="shared" ca="1" si="68"/>
        <v>119105.39823782785</v>
      </c>
      <c r="AC217">
        <f ca="1">AB217*D217*10000*VLOOKUP(A217,[1]kcal!$A$2:$C$49,3,FALSE)/1000000000000</f>
        <v>9.2902210625505716E-2</v>
      </c>
    </row>
    <row r="218" spans="1:29" x14ac:dyDescent="0.25">
      <c r="A218" s="171" t="str">
        <f t="shared" si="62"/>
        <v>Korn</v>
      </c>
      <c r="B218" s="171" t="str">
        <f t="shared" si="63"/>
        <v>Halm og strå</v>
      </c>
      <c r="C218" s="171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1</v>
      </c>
      <c r="D218" s="171">
        <f t="shared" si="61"/>
        <v>1</v>
      </c>
      <c r="E218" s="171">
        <f t="shared" si="64"/>
        <v>2030</v>
      </c>
      <c r="F218" t="s">
        <v>24</v>
      </c>
      <c r="G218" s="94">
        <f>IF(F218="Vestdanmark",SUMIFS(IF(E218=År1,'Resultater - Vestdanmark'!H$3:H$504,IF(E218=År2,'Resultater - Vestdanmark'!I$3:I$504,'Resultater - Vestdanmark'!J$3:J$504)),'Resultater - Vestdanmark'!$F$3:$F$504,$A218,IF(E218=År1,'Resultater - Vestdanmark'!H$3:H$504,IF(E218=År2,'Resultater - Vestdanmark'!I$3:I$504,'Resultater - Vestdanmark'!J$3:J$504)),"&gt;0"),SUMIFS(IF(E218=År1,'Resultater - Østdanmark'!H$3:H$504,IF(E218=År2,'Resultater - Østdanmark'!I$3:I$504,'Resultater - Østdanmark'!J$3:J$504)),'Resultater - Østdanmark'!$F$3:$F$504,$A218,IF(E218=År1,'Resultater - Østdanmark'!H$3:H$504,IF(E218=År2,'Resultater - Østdanmark'!I$3:I$504,'Resultater - Østdanmark'!J$3:J$504)),"&gt;0"))</f>
        <v>2330116.0777529324</v>
      </c>
      <c r="H218" s="94">
        <f ca="1">SUMIFS('Forbrug af biomasse'!$E$2:$E$425,'Forbrug af biomasse'!$C$2:$C$425,'Resultat-Produktion &amp; forbrug'!$A218,'Forbrug af biomasse'!$D$2:$D$425,'Resultat-Produktion &amp; forbrug'!$E218,'Forbrug af biomasse'!$A$2:$A$425,'Resultat-Produktion &amp; forbrug'!H$3,'Forbrug af biomasse'!$B$2:$B$425,$F218)</f>
        <v>700622.1199230341</v>
      </c>
      <c r="I218">
        <f>IF(F218="Vestdanmark",-IF(A218="Halm",SUMIFS(IF(E218=År1,'Resultater - Vestdanmark'!H$3:H$504,IF(E218=År2,'Resultater - Vestdanmark'!I$3:I$504,'Resultater - Vestdanmark'!J$3:J$504)),'Resultater - Vestdanmark'!$F$3:$F$504,$A218,'Resultater - Vestdanmark'!H$3:H$504,"&lt;0"),0),-IF(A218="Halm",SUMIFS(IF(E218=År1,'Resultater - Østdanmark'!H$3:H$504,IF(E218=År2,'Resultater - Østdanmark'!I$3:I$504,'Resultater - Østdanmark'!J$3:J$504)),'Resultater - Østdanmark'!$F$3:$F$504,$A218,'Resultater - Østdanmark'!H$3:H$504,"&lt;0"),0))</f>
        <v>0</v>
      </c>
      <c r="J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forbrug'!J$3,'Forbrug af biomasse'!$B$2:$B$425,$F218)</f>
        <v>256234.83946537593</v>
      </c>
      <c r="K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forbrug'!K$3,'Forbrug af biomasse'!$B$2:$B$425,$F218)</f>
        <v>0</v>
      </c>
      <c r="L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forbrug'!L$3,'Forbrug af biomasse'!$B$2:$B$425,$F218)</f>
        <v>0</v>
      </c>
      <c r="M218" s="94">
        <f>IF(A218&lt;&gt;"Biogas",SUMIFS('Forbrug af biomasse'!$E$2:$E$425,'Forbrug af biomasse'!$C$2:$C$425,'Resultat-Produktion &amp; forbrug'!$A218,'Forbrug af biomasse'!$D$2:$D$425,'Resultat-Produktion &amp; forbrug'!$E218,'Forbrug af biomasse'!$A$2:$A$425,'Resultat-Produktion &amp; forbrug'!M$3,'Forbrug af biomasse'!$B$2:$B$425,$F218),G218)</f>
        <v>0</v>
      </c>
      <c r="N218" s="94">
        <f>SUMIFS('Forbrug af biomasse'!E:E,'Forbrug af biomasse'!C:C,'Resultat-Produktion &amp; forbrug'!$A218,'Forbrug af biomasse'!D:D,'Resultat-Produktion &amp; forbrug'!$E218,'Forbrug af biomasse'!G:G,1,'Forbrug af biomasse'!B:B,$F218)</f>
        <v>0</v>
      </c>
      <c r="O218" s="179">
        <f ca="1">G218-SUM(H218:N218)</f>
        <v>1373259.1183645225</v>
      </c>
      <c r="P218" s="94">
        <f t="shared" ca="1" si="65"/>
        <v>1373259.1183645225</v>
      </c>
      <c r="Q218" s="180">
        <f t="shared" si="70"/>
        <v>0</v>
      </c>
      <c r="R218">
        <f ca="1">IFERROR(VLOOKUP(A218,[1]Energiindhold!$A$2:$C$11,3,FALSE),IFERROR(VLOOKUP(A218,[1]Biogasudbytte!$A$2:$B$18,2,FALSE)*[1]Energiindhold!$C$10,0))*P218</f>
        <v>4.7032202241219192</v>
      </c>
      <c r="S218">
        <f ca="1">IF(A218&lt;&gt;"Biogas",IFERROR(VLOOKUP(A218,[1]Biogasudbytte!$A$2:$B$18,2,FALSE)*[1]Energiindhold!$C$10,0)*K218*IFERROR(VLOOKUP(A218,Biogasanlæg!$F$3:$G$8,2,FALSE),1)+IFERROR(VLOOKUP(A218,[1]Energiindhold!$A$2:$C$11,3,FALSE),0)*M218+IF(E218&lt;&gt;År1,R218,0),0)</f>
        <v>4.7032202241219192</v>
      </c>
      <c r="T218">
        <f>IFERROR(VLOOKUP(A218,[1]Biogasudbytte!$A$2:$B$18,2,FALSE)*[1]Energiindhold!$C$10,0)*K218*IFERROR(VLOOKUP(A218,Biogasanlæg!$F$3:$G$8,2,FALSE),1)</f>
        <v>0</v>
      </c>
      <c r="U218" s="170">
        <f t="shared" ca="1" si="71"/>
        <v>4.7032202241219192</v>
      </c>
      <c r="V218" s="169">
        <f ca="1">P218*IFERROR(VLOOKUP(A218,[1]Tørstofindhold!A$2:B$24,2,FALSE),0)</f>
        <v>425710.32669300196</v>
      </c>
      <c r="W218">
        <f ca="1">IF(E218=År1,Q218,SUM(P218,Q218))*IFERROR(VLOOKUP(A218,[1]Tørstofindhold!A$2:B$24,2,FALSE),0)</f>
        <v>425710.32669300196</v>
      </c>
      <c r="X218">
        <f>K218*IFERROR(VLOOKUP(A218,[1]Tørstofindhold!A$2:B$24,2,FALSE),0)</f>
        <v>0</v>
      </c>
      <c r="Y218" s="170">
        <f t="shared" ca="1" si="72"/>
        <v>425710.32669300196</v>
      </c>
      <c r="Z218">
        <f t="shared" ca="1" si="66"/>
        <v>0</v>
      </c>
      <c r="AA218">
        <f t="shared" ca="1" si="67"/>
        <v>1</v>
      </c>
      <c r="AB218" s="94">
        <f t="shared" ca="1" si="68"/>
        <v>1629493.9578298982</v>
      </c>
      <c r="AC218">
        <f ca="1">AB218*D218*10000*VLOOKUP(A218,[1]kcal!$A$2:$C$49,3,FALSE)/1000000000000</f>
        <v>5.9639478856574275</v>
      </c>
    </row>
    <row r="219" spans="1:29" x14ac:dyDescent="0.25">
      <c r="A219" s="171" t="str">
        <f t="shared" si="62"/>
        <v>Kunstgødning</v>
      </c>
      <c r="B219" s="171" t="str">
        <f t="shared" si="63"/>
        <v/>
      </c>
      <c r="C219" s="171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0</v>
      </c>
      <c r="D219" s="171">
        <f t="shared" si="61"/>
        <v>0</v>
      </c>
      <c r="E219" s="171">
        <f t="shared" si="64"/>
        <v>2030</v>
      </c>
      <c r="F219" t="s">
        <v>24</v>
      </c>
      <c r="G219" s="94">
        <f>IF(F219="Vestdanmark",SUMIFS(IF(E219=År1,'Resultater - Vestdanmark'!H$3:H$504,IF(E219=År2,'Resultater - Vestdanmark'!I$3:I$504,'Resultater - Vestdanmark'!J$3:J$504)),'Resultater - Vestdanmark'!$F$3:$F$504,$A219,IF(E219=År1,'Resultater - Vestdanmark'!H$3:H$504,IF(E219=År2,'Resultater - Vestdanmark'!I$3:I$504,'Resultater - Vestdanmark'!J$3:J$504)),"&gt;0"),SUMIFS(IF(E219=År1,'Resultater - Østdanmark'!H$3:H$504,IF(E219=År2,'Resultater - Østdanmark'!I$3:I$504,'Resultater - Østdanmark'!J$3:J$504)),'Resultater - Østdanmark'!$F$3:$F$504,$A219,IF(E219=År1,'Resultater - Østdanmark'!H$3:H$504,IF(E219=År2,'Resultater - Østdanmark'!I$3:I$504,'Resultater - Østdanmark'!J$3:J$504)),"&gt;0"))</f>
        <v>0</v>
      </c>
      <c r="H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forbrug'!H$3,'Forbrug af biomasse'!$B$2:$B$425,$F219)</f>
        <v>0</v>
      </c>
      <c r="I219">
        <f>IF(F219="Vestdanmark",-IF(A219="Halm",SUMIFS(IF(E219=År1,'Resultater - Vestdanmark'!H$3:H$504,IF(E219=År2,'Resultater - Vestdanmark'!I$3:I$504,'Resultater - Vestdanmark'!J$3:J$504)),'Resultater - Vestdanmark'!$F$3:$F$504,$A219,'Resultater - Vestdanmark'!H$3:H$504,"&lt;0"),0),-IF(A219="Halm",SUMIFS(IF(E219=År1,'Resultater - Østdanmark'!H$3:H$504,IF(E219=År2,'Resultater - Østdanmark'!I$3:I$504,'Resultater - Østdanmark'!J$3:J$504)),'Resultater - Østdanmark'!$F$3:$F$504,$A219,'Resultater - Østdanmark'!H$3:H$504,"&lt;0"),0))</f>
        <v>0</v>
      </c>
      <c r="J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forbrug'!J$3,'Forbrug af biomasse'!$B$2:$B$425,$F219)</f>
        <v>0</v>
      </c>
      <c r="K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forbrug'!K$3,'Forbrug af biomasse'!$B$2:$B$425,$F219)</f>
        <v>0</v>
      </c>
      <c r="L219" s="94">
        <f ca="1">SUMIFS('Forbrug af biomasse'!$E$2:$E$425,'Forbrug af biomasse'!$C$2:$C$425,'Resultat-Produktion &amp; forbrug'!$A219,'Forbrug af biomasse'!$D$2:$D$425,'Resultat-Produktion &amp; forbrug'!$E219,'Forbrug af biomasse'!$A$2:$A$425,'Resultat-Produktion &amp; forbrug'!L$3,'Forbrug af biomasse'!$B$2:$B$425,$F219)</f>
        <v>327346.69641367544</v>
      </c>
      <c r="M219" s="94">
        <f>IF(A219&lt;&gt;"Biogas",SUMIFS('Forbrug af biomasse'!$E$2:$E$425,'Forbrug af biomasse'!$C$2:$C$425,'Resultat-Produktion &amp; forbrug'!$A219,'Forbrug af biomasse'!$D$2:$D$425,'Resultat-Produktion &amp; forbrug'!$E219,'Forbrug af biomasse'!$A$2:$A$425,'Resultat-Produktion &amp; forbrug'!M$3,'Forbrug af biomasse'!$B$2:$B$425,$F219),G219)</f>
        <v>0</v>
      </c>
      <c r="N219" s="94">
        <f>SUMIFS('Forbrug af biomasse'!E:E,'Forbrug af biomasse'!C:C,'Resultat-Produktion &amp; forbrug'!$A219,'Forbrug af biomasse'!D:D,'Resultat-Produktion &amp; forbrug'!$E219,'Forbrug af biomasse'!G:G,1,'Forbrug af biomasse'!B:B,$F219)</f>
        <v>0</v>
      </c>
      <c r="O219" s="179">
        <f t="shared" ca="1" si="69"/>
        <v>-327346.69641367544</v>
      </c>
      <c r="P219" s="94">
        <f t="shared" si="65"/>
        <v>0</v>
      </c>
      <c r="Q219" s="180">
        <f t="shared" si="70"/>
        <v>0</v>
      </c>
      <c r="R219">
        <f>IFERROR(VLOOKUP(A219,[1]Energiindhold!$A$2:$C$11,3,FALSE),IFERROR(VLOOKUP(A219,[1]Biogasudbytte!$A$2:$B$18,2,FALSE)*[1]Energiindhold!$C$10,0))*P219</f>
        <v>0</v>
      </c>
      <c r="S219">
        <f>IF(A219&lt;&gt;"Biogas",IFERROR(VLOOKUP(A219,[1]Biogasudbytte!$A$2:$B$18,2,FALSE)*[1]Energiindhold!$C$10,0)*K219*IFERROR(VLOOKUP(A219,Biogasanlæg!$F$3:$G$8,2,FALSE),1)+IFERROR(VLOOKUP(A219,[1]Energiindhold!$A$2:$C$11,3,FALSE),0)*M219+IF(E219&lt;&gt;År1,R219,0),0)</f>
        <v>0</v>
      </c>
      <c r="T219">
        <f>IFERROR(VLOOKUP(A219,[1]Biogasudbytte!$A$2:$B$18,2,FALSE)*[1]Energiindhold!$C$10,0)*K219*IFERROR(VLOOKUP(A219,Biogasanlæg!$F$3:$G$8,2,FALSE),1)</f>
        <v>0</v>
      </c>
      <c r="U219" s="170">
        <f t="shared" si="71"/>
        <v>0</v>
      </c>
      <c r="V219" s="169">
        <f>P219*IFERROR(VLOOKUP(A219,[1]Tørstofindhold!A$2:B$24,2,FALSE),0)</f>
        <v>0</v>
      </c>
      <c r="W219">
        <f>IF(E219=År1,Q219,SUM(P219,Q219))*IFERROR(VLOOKUP(A219,[1]Tørstofindhold!A$2:B$24,2,FALSE),0)</f>
        <v>0</v>
      </c>
      <c r="X219">
        <f>K219*IFERROR(VLOOKUP(A219,[1]Tørstofindhold!A$2:B$24,2,FALSE),0)</f>
        <v>0</v>
      </c>
      <c r="Y219" s="170">
        <f t="shared" si="72"/>
        <v>0</v>
      </c>
      <c r="Z219">
        <f t="shared" ca="1" si="66"/>
        <v>1</v>
      </c>
      <c r="AA219">
        <f t="shared" ca="1" si="67"/>
        <v>0</v>
      </c>
      <c r="AB219" s="94">
        <f t="shared" ca="1" si="68"/>
        <v>-327346.69641367544</v>
      </c>
      <c r="AC219">
        <f ca="1">AB219*D219*10000*VLOOKUP(A219,[1]kcal!$A$2:$C$49,3,FALSE)/1000000000000</f>
        <v>0</v>
      </c>
    </row>
    <row r="220" spans="1:29" x14ac:dyDescent="0.25">
      <c r="A220" s="171" t="str">
        <f t="shared" si="62"/>
        <v>Kvæggylle</v>
      </c>
      <c r="B220" s="171" t="str">
        <f t="shared" si="63"/>
        <v>Husdyrgødning</v>
      </c>
      <c r="C220" s="171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1</v>
      </c>
      <c r="D220" s="171">
        <f t="shared" si="61"/>
        <v>0</v>
      </c>
      <c r="E220" s="171">
        <f t="shared" si="64"/>
        <v>2030</v>
      </c>
      <c r="F220" t="s">
        <v>24</v>
      </c>
      <c r="G220" s="94">
        <f ca="1">IF(F220="Vestdanmark",SUMIFS(IF(E220=År1,'Resultater - Vestdanmark'!H$3:H$504,IF(E220=År2,'Resultater - Vestdanmark'!I$3:I$504,'Resultater - Vestdanmark'!J$3:J$504)),'Resultater - Vestdanmark'!$F$3:$F$504,$A220,IF(E220=År1,'Resultater - Vestdanmark'!H$3:H$504,IF(E220=År2,'Resultater - Vestdanmark'!I$3:I$504,'Resultater - Vestdanmark'!J$3:J$504)),"&gt;0"),SUMIFS(IF(E220=År1,'Resultater - Østdanmark'!H$3:H$504,IF(E220=År2,'Resultater - Østdanmark'!I$3:I$504,'Resultater - Østdanmark'!J$3:J$504)),'Resultater - Østdanmark'!$F$3:$F$504,$A220,IF(E220=År1,'Resultater - Østdanmark'!H$3:H$504,IF(E220=År2,'Resultater - Østdanmark'!I$3:I$504,'Resultater - Østdanmark'!J$3:J$504)),"&gt;0"))</f>
        <v>922789.17266620893</v>
      </c>
      <c r="H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forbrug'!H$3,'Forbrug af biomasse'!$B$2:$B$425,$F220)</f>
        <v>0</v>
      </c>
      <c r="I220">
        <f>IF(F220="Vestdanmark",-IF(A220="Halm",SUMIFS(IF(E220=År1,'Resultater - Vestdanmark'!H$3:H$504,IF(E220=År2,'Resultater - Vestdanmark'!I$3:I$504,'Resultater - Vestdanmark'!J$3:J$504)),'Resultater - Vestdanmark'!$F$3:$F$504,$A220,'Resultater - Vestdanmark'!H$3:H$504,"&lt;0"),0),-IF(A220="Halm",SUMIFS(IF(E220=År1,'Resultater - Østdanmark'!H$3:H$504,IF(E220=År2,'Resultater - Østdanmark'!I$3:I$504,'Resultater - Østdanmark'!J$3:J$504)),'Resultater - Østdanmark'!$F$3:$F$504,$A220,'Resultater - Østdanmark'!H$3:H$504,"&lt;0"),0))</f>
        <v>0</v>
      </c>
      <c r="J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forbrug'!J$3,'Forbrug af biomasse'!$B$2:$B$425,$F220)</f>
        <v>0</v>
      </c>
      <c r="K220" s="94">
        <f ca="1">SUMIFS('Forbrug af biomasse'!$E$2:$E$425,'Forbrug af biomasse'!$C$2:$C$425,'Resultat-Produktion &amp; forbrug'!$A220,'Forbrug af biomasse'!$D$2:$D$425,'Resultat-Produktion &amp; forbrug'!$E220,'Forbrug af biomasse'!$A$2:$A$425,'Resultat-Produktion &amp; forbrug'!K$3,'Forbrug af biomasse'!$B$2:$B$425,$F220)</f>
        <v>692091.87949965673</v>
      </c>
      <c r="L220" s="94">
        <f ca="1">SUMIFS('Forbrug af biomasse'!$E$2:$E$425,'Forbrug af biomasse'!$C$2:$C$425,'Resultat-Produktion &amp; forbrug'!$A220,'Forbrug af biomasse'!$D$2:$D$425,'Resultat-Produktion &amp; forbrug'!$E220,'Forbrug af biomasse'!$A$2:$A$425,'Resultat-Produktion &amp; forbrug'!L$3,'Forbrug af biomasse'!$B$2:$B$425,$F220)</f>
        <v>230697.29316655223</v>
      </c>
      <c r="M220" s="94">
        <f>IF(A220&lt;&gt;"Biogas",SUMIFS('Forbrug af biomasse'!$E$2:$E$425,'Forbrug af biomasse'!$C$2:$C$425,'Resultat-Produktion &amp; forbrug'!$A220,'Forbrug af biomasse'!$D$2:$D$425,'Resultat-Produktion &amp; forbrug'!$E220,'Forbrug af biomasse'!$A$2:$A$425,'Resultat-Produktion &amp; forbrug'!M$3,'Forbrug af biomasse'!$B$2:$B$425,$F220),G220)</f>
        <v>0</v>
      </c>
      <c r="N220" s="94">
        <f>SUMIFS('Forbrug af biomasse'!E:E,'Forbrug af biomasse'!C:C,'Resultat-Produktion &amp; forbrug'!$A220,'Forbrug af biomasse'!D:D,'Resultat-Produktion &amp; forbrug'!$E220,'Forbrug af biomasse'!G:G,1,'Forbrug af biomasse'!B:B,$F220)</f>
        <v>0</v>
      </c>
      <c r="O220" s="179">
        <f t="shared" ca="1" si="69"/>
        <v>0</v>
      </c>
      <c r="P220" s="94">
        <f t="shared" ca="1" si="65"/>
        <v>0</v>
      </c>
      <c r="Q220" s="180">
        <f t="shared" ca="1" si="70"/>
        <v>692091.87949965673</v>
      </c>
      <c r="R220">
        <f ca="1">IFERROR(VLOOKUP(A220,[1]Energiindhold!$A$2:$C$11,3,FALSE),IFERROR(VLOOKUP(A220,[1]Biogasudbytte!$A$2:$B$18,2,FALSE)*[1]Energiindhold!$C$10,0))*P220</f>
        <v>0</v>
      </c>
      <c r="S220">
        <f ca="1">IF(A220&lt;&gt;"Biogas",IFERROR(VLOOKUP(A220,[1]Biogasudbytte!$A$2:$B$18,2,FALSE)*[1]Energiindhold!$C$10,0)*K220*IFERROR(VLOOKUP(A220,Biogasanlæg!$F$3:$G$8,2,FALSE),1)+IFERROR(VLOOKUP(A220,[1]Energiindhold!$A$2:$C$11,3,FALSE),0)*M220+IF(E220&lt;&gt;År1,R220,0),0)</f>
        <v>0.35032998848393127</v>
      </c>
      <c r="T220">
        <f ca="1">IFERROR(VLOOKUP(A220,[1]Biogasudbytte!$A$2:$B$18,2,FALSE)*[1]Energiindhold!$C$10,0)*K220*IFERROR(VLOOKUP(A220,Biogasanlæg!$F$3:$G$8,2,FALSE),1)</f>
        <v>0.35032998848393127</v>
      </c>
      <c r="U220" s="170">
        <f t="shared" ca="1" si="71"/>
        <v>0</v>
      </c>
      <c r="V220" s="169">
        <f ca="1">P220*IFERROR(VLOOKUP(A220,[1]Tørstofindhold!A$2:B$24,2,FALSE),0)</f>
        <v>0</v>
      </c>
      <c r="W220">
        <f ca="1">IF(E220=År1,Q220,SUM(P220,Q220))*IFERROR(VLOOKUP(A220,[1]Tørstofindhold!A$2:B$24,2,FALSE),0)</f>
        <v>52598.982841973913</v>
      </c>
      <c r="X220">
        <f ca="1">K220*IFERROR(VLOOKUP(A220,[1]Tørstofindhold!A$2:B$24,2,FALSE),0)</f>
        <v>52598.982841973913</v>
      </c>
      <c r="Y220" s="170">
        <f t="shared" ca="1" si="72"/>
        <v>0</v>
      </c>
      <c r="Z220">
        <f t="shared" ca="1" si="66"/>
        <v>0</v>
      </c>
      <c r="AA220">
        <f t="shared" ca="1" si="67"/>
        <v>0</v>
      </c>
      <c r="AB220" s="94">
        <f t="shared" ca="1" si="68"/>
        <v>0</v>
      </c>
      <c r="AC220">
        <f ca="1">AB220*D220*10000*VLOOKUP(A220,[1]kcal!$A$2:$C$49,3,FALSE)/1000000000000</f>
        <v>0</v>
      </c>
    </row>
    <row r="221" spans="1:29" x14ac:dyDescent="0.25">
      <c r="A221" s="171" t="str">
        <f t="shared" si="62"/>
        <v>Mælk til foder</v>
      </c>
      <c r="B221" s="171" t="str">
        <f t="shared" si="63"/>
        <v/>
      </c>
      <c r="C221" s="171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0</v>
      </c>
      <c r="D221" s="171">
        <f t="shared" si="61"/>
        <v>0</v>
      </c>
      <c r="E221" s="171">
        <f t="shared" si="64"/>
        <v>2030</v>
      </c>
      <c r="F221" t="s">
        <v>24</v>
      </c>
      <c r="G221" s="94">
        <f ca="1">IF(F221="Vestdanmark",SUMIFS(IF(E221=År1,'Resultater - Vestdanmark'!H$3:H$504,IF(E221=År2,'Resultater - Vestdanmark'!I$3:I$504,'Resultater - Vestdanmark'!J$3:J$504)),'Resultater - Vestdanmark'!$F$3:$F$504,$A221,IF(E221=År1,'Resultater - Vestdanmark'!H$3:H$504,IF(E221=År2,'Resultater - Vestdanmark'!I$3:I$504,'Resultater - Vestdanmark'!J$3:J$504)),"&gt;0"),SUMIFS(IF(E221=År1,'Resultater - Østdanmark'!H$3:H$504,IF(E221=År2,'Resultater - Østdanmark'!I$3:I$504,'Resultater - Østdanmark'!J$3:J$504)),'Resultater - Østdanmark'!$F$3:$F$504,$A221,IF(E221=År1,'Resultater - Østdanmark'!H$3:H$504,IF(E221=År2,'Resultater - Østdanmark'!I$3:I$504,'Resultater - Østdanmark'!J$3:J$504)),"&gt;0"))</f>
        <v>115210.53389359287</v>
      </c>
      <c r="H221" s="94">
        <f ca="1">SUMIFS('Forbrug af biomasse'!$E$2:$E$425,'Forbrug af biomasse'!$C$2:$C$425,'Resultat-Produktion &amp; forbrug'!$A221,'Forbrug af biomasse'!$D$2:$D$425,'Resultat-Produktion &amp; forbrug'!$E221,'Forbrug af biomasse'!$A$2:$A$425,'Resultat-Produktion &amp; forbrug'!H$3,'Forbrug af biomasse'!$B$2:$B$425,$F221)</f>
        <v>180626.6382614313</v>
      </c>
      <c r="I221">
        <f>IF(F221="Vestdanmark",-IF(A221="Halm",SUMIFS(IF(E221=År1,'Resultater - Vestdanmark'!H$3:H$504,IF(E221=År2,'Resultater - Vestdanmark'!I$3:I$504,'Resultater - Vestdanmark'!J$3:J$504)),'Resultater - Vestdanmark'!$F$3:$F$504,$A221,'Resultater - Vestdanmark'!H$3:H$504,"&lt;0"),0),-IF(A221="Halm",SUMIFS(IF(E221=År1,'Resultater - Østdanmark'!H$3:H$504,IF(E221=År2,'Resultater - Østdanmark'!I$3:I$504,'Resultater - Østdanmark'!J$3:J$504)),'Resultater - Østdanmark'!$F$3:$F$504,$A221,'Resultater - Østdanmark'!H$3:H$504,"&lt;0"),0))</f>
        <v>0</v>
      </c>
      <c r="J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forbrug'!J$3,'Forbrug af biomasse'!$B$2:$B$425,$F221)</f>
        <v>0</v>
      </c>
      <c r="K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forbrug'!K$3,'Forbrug af biomasse'!$B$2:$B$425,$F221)</f>
        <v>0</v>
      </c>
      <c r="L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forbrug'!L$3,'Forbrug af biomasse'!$B$2:$B$425,$F221)</f>
        <v>0</v>
      </c>
      <c r="M221" s="94">
        <f>IF(A221&lt;&gt;"Biogas",SUMIFS('Forbrug af biomasse'!$E$2:$E$425,'Forbrug af biomasse'!$C$2:$C$425,'Resultat-Produktion &amp; forbrug'!$A221,'Forbrug af biomasse'!$D$2:$D$425,'Resultat-Produktion &amp; forbrug'!$E221,'Forbrug af biomasse'!$A$2:$A$425,'Resultat-Produktion &amp; forbrug'!M$3,'Forbrug af biomasse'!$B$2:$B$425,$F221),G221)</f>
        <v>0</v>
      </c>
      <c r="N221" s="94">
        <f>SUMIFS('Forbrug af biomasse'!E:E,'Forbrug af biomasse'!C:C,'Resultat-Produktion &amp; forbrug'!$A221,'Forbrug af biomasse'!D:D,'Resultat-Produktion &amp; forbrug'!$E221,'Forbrug af biomasse'!G:G,1,'Forbrug af biomasse'!B:B,$F221)</f>
        <v>0</v>
      </c>
      <c r="O221" s="179">
        <f t="shared" ca="1" si="69"/>
        <v>-65416.10436783843</v>
      </c>
      <c r="P221" s="94">
        <f t="shared" si="65"/>
        <v>0</v>
      </c>
      <c r="Q221" s="180">
        <f t="shared" si="70"/>
        <v>0</v>
      </c>
      <c r="R221">
        <f>IFERROR(VLOOKUP(A221,[1]Energiindhold!$A$2:$C$11,3,FALSE),IFERROR(VLOOKUP(A221,[1]Biogasudbytte!$A$2:$B$18,2,FALSE)*[1]Energiindhold!$C$10,0))*P221</f>
        <v>0</v>
      </c>
      <c r="S221">
        <f>IF(A221&lt;&gt;"Biogas",IFERROR(VLOOKUP(A221,[1]Biogasudbytte!$A$2:$B$18,2,FALSE)*[1]Energiindhold!$C$10,0)*K221*IFERROR(VLOOKUP(A221,Biogasanlæg!$F$3:$G$8,2,FALSE),1)+IFERROR(VLOOKUP(A221,[1]Energiindhold!$A$2:$C$11,3,FALSE),0)*M221+IF(E221&lt;&gt;År1,R221,0),0)</f>
        <v>0</v>
      </c>
      <c r="T221">
        <f>IFERROR(VLOOKUP(A221,[1]Biogasudbytte!$A$2:$B$18,2,FALSE)*[1]Energiindhold!$C$10,0)*K221*IFERROR(VLOOKUP(A221,Biogasanlæg!$F$3:$G$8,2,FALSE),1)</f>
        <v>0</v>
      </c>
      <c r="U221" s="170">
        <f t="shared" si="71"/>
        <v>0</v>
      </c>
      <c r="V221" s="169">
        <f>P221*IFERROR(VLOOKUP(A221,[1]Tørstofindhold!A$2:B$24,2,FALSE),0)</f>
        <v>0</v>
      </c>
      <c r="W221">
        <f>IF(E221=År1,Q221,SUM(P221,Q221))*IFERROR(VLOOKUP(A221,[1]Tørstofindhold!A$2:B$24,2,FALSE),0)</f>
        <v>0</v>
      </c>
      <c r="X221">
        <f>K221*IFERROR(VLOOKUP(A221,[1]Tørstofindhold!A$2:B$24,2,FALSE),0)</f>
        <v>0</v>
      </c>
      <c r="Y221" s="170">
        <f t="shared" si="72"/>
        <v>0</v>
      </c>
      <c r="Z221">
        <f t="shared" ca="1" si="66"/>
        <v>0</v>
      </c>
      <c r="AA221">
        <f t="shared" ca="1" si="67"/>
        <v>1</v>
      </c>
      <c r="AB221" s="94">
        <f t="shared" ca="1" si="68"/>
        <v>-65416.10436783843</v>
      </c>
      <c r="AC221">
        <f ca="1">AB221*D221*10000*VLOOKUP(A221,[1]kcal!$A$2:$C$49,3,FALSE)/1000000000000</f>
        <v>0</v>
      </c>
    </row>
    <row r="222" spans="1:29" x14ac:dyDescent="0.25">
      <c r="A222" s="171" t="str">
        <f t="shared" si="62"/>
        <v>Majs</v>
      </c>
      <c r="B222" s="171" t="str">
        <f t="shared" si="63"/>
        <v>Græs og urter</v>
      </c>
      <c r="C222" s="171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1</v>
      </c>
      <c r="D222" s="171">
        <f t="shared" si="61"/>
        <v>1</v>
      </c>
      <c r="E222" s="171">
        <f t="shared" si="64"/>
        <v>2030</v>
      </c>
      <c r="F222" t="s">
        <v>24</v>
      </c>
      <c r="G222" s="94">
        <f>IF(F222="Vestdanmark",SUMIFS(IF(E222=År1,'Resultater - Vestdanmark'!H$3:H$504,IF(E222=År2,'Resultater - Vestdanmark'!I$3:I$504,'Resultater - Vestdanmark'!J$3:J$504)),'Resultater - Vestdanmark'!$F$3:$F$504,$A222,IF(E222=År1,'Resultater - Vestdanmark'!H$3:H$504,IF(E222=År2,'Resultater - Vestdanmark'!I$3:I$504,'Resultater - Vestdanmark'!J$3:J$504)),"&gt;0"),SUMIFS(IF(E222=År1,'Resultater - Østdanmark'!H$3:H$504,IF(E222=År2,'Resultater - Østdanmark'!I$3:I$504,'Resultater - Østdanmark'!J$3:J$504)),'Resultater - Østdanmark'!$F$3:$F$504,$A222,IF(E222=År1,'Resultater - Østdanmark'!H$3:H$504,IF(E222=År2,'Resultater - Østdanmark'!I$3:I$504,'Resultater - Østdanmark'!J$3:J$504)),"&gt;0"))</f>
        <v>376638.24462752714</v>
      </c>
      <c r="H222" s="94">
        <f ca="1">SUMIFS('Forbrug af biomasse'!$E$2:$E$425,'Forbrug af biomasse'!$C$2:$C$425,'Resultat-Produktion &amp; forbrug'!$A222,'Forbrug af biomasse'!$D$2:$D$425,'Resultat-Produktion &amp; forbrug'!$E222,'Forbrug af biomasse'!$A$2:$A$425,'Resultat-Produktion &amp; forbrug'!H$3,'Forbrug af biomasse'!$B$2:$B$425,$F222)</f>
        <v>674147.29351119313</v>
      </c>
      <c r="I222">
        <f>IF(F222="Vestdanmark",-IF(A222="Halm",SUMIFS(IF(E222=År1,'Resultater - Vestdanmark'!H$3:H$504,IF(E222=År2,'Resultater - Vestdanmark'!I$3:I$504,'Resultater - Vestdanmark'!J$3:J$504)),'Resultater - Vestdanmark'!$F$3:$F$504,$A222,'Resultater - Vestdanmark'!H$3:H$504,"&lt;0"),0),-IF(A222="Halm",SUMIFS(IF(E222=År1,'Resultater - Østdanmark'!H$3:H$504,IF(E222=År2,'Resultater - Østdanmark'!I$3:I$504,'Resultater - Østdanmark'!J$3:J$504)),'Resultater - Østdanmark'!$F$3:$F$504,$A222,'Resultater - Østdanmark'!H$3:H$504,"&lt;0"),0))</f>
        <v>0</v>
      </c>
      <c r="J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forbrug'!J$3,'Forbrug af biomasse'!$B$2:$B$425,$F222)</f>
        <v>0</v>
      </c>
      <c r="K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forbrug'!K$3,'Forbrug af biomasse'!$B$2:$B$425,$F222)</f>
        <v>0</v>
      </c>
      <c r="L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forbrug'!L$3,'Forbrug af biomasse'!$B$2:$B$425,$F222)</f>
        <v>0</v>
      </c>
      <c r="M222" s="94">
        <f>IF(A222&lt;&gt;"Biogas",SUMIFS('Forbrug af biomasse'!$E$2:$E$425,'Forbrug af biomasse'!$C$2:$C$425,'Resultat-Produktion &amp; forbrug'!$A222,'Forbrug af biomasse'!$D$2:$D$425,'Resultat-Produktion &amp; forbrug'!$E222,'Forbrug af biomasse'!$A$2:$A$425,'Resultat-Produktion &amp; forbrug'!M$3,'Forbrug af biomasse'!$B$2:$B$425,$F222),G222)</f>
        <v>0</v>
      </c>
      <c r="N222" s="94">
        <f>SUMIFS('Forbrug af biomasse'!E:E,'Forbrug af biomasse'!C:C,'Resultat-Produktion &amp; forbrug'!$A222,'Forbrug af biomasse'!D:D,'Resultat-Produktion &amp; forbrug'!$E222,'Forbrug af biomasse'!G:G,1,'Forbrug af biomasse'!B:B,$F222)</f>
        <v>0</v>
      </c>
      <c r="O222" s="179">
        <f t="shared" ca="1" si="69"/>
        <v>-297509.04888366599</v>
      </c>
      <c r="P222" s="94">
        <f t="shared" ca="1" si="65"/>
        <v>0</v>
      </c>
      <c r="Q222" s="180">
        <f t="shared" si="70"/>
        <v>0</v>
      </c>
      <c r="R222">
        <f ca="1">IFERROR(VLOOKUP(A222,[1]Energiindhold!$A$2:$C$11,3,FALSE),IFERROR(VLOOKUP(A222,[1]Biogasudbytte!$A$2:$B$18,2,FALSE)*[1]Energiindhold!$C$10,0))*P222</f>
        <v>0</v>
      </c>
      <c r="S222">
        <f ca="1">IF(A222&lt;&gt;"Biogas",IFERROR(VLOOKUP(A222,[1]Biogasudbytte!$A$2:$B$18,2,FALSE)*[1]Energiindhold!$C$10,0)*K222*IFERROR(VLOOKUP(A222,Biogasanlæg!$F$3:$G$8,2,FALSE),1)+IFERROR(VLOOKUP(A222,[1]Energiindhold!$A$2:$C$11,3,FALSE),0)*M222+IF(E222&lt;&gt;År1,R222,0),0)</f>
        <v>0</v>
      </c>
      <c r="T222">
        <f>IFERROR(VLOOKUP(A222,[1]Biogasudbytte!$A$2:$B$18,2,FALSE)*[1]Energiindhold!$C$10,0)*K222*IFERROR(VLOOKUP(A222,Biogasanlæg!$F$3:$G$8,2,FALSE),1)</f>
        <v>0</v>
      </c>
      <c r="U222" s="170">
        <f t="shared" ca="1" si="71"/>
        <v>0</v>
      </c>
      <c r="V222" s="169">
        <f ca="1">P222*IFERROR(VLOOKUP(A222,[1]Tørstofindhold!A$2:B$24,2,FALSE),0)</f>
        <v>0</v>
      </c>
      <c r="W222">
        <f ca="1">IF(E222=År1,Q222,SUM(P222,Q222))*IFERROR(VLOOKUP(A222,[1]Tørstofindhold!A$2:B$24,2,FALSE),0)</f>
        <v>0</v>
      </c>
      <c r="X222">
        <f>K222*IFERROR(VLOOKUP(A222,[1]Tørstofindhold!A$2:B$24,2,FALSE),0)</f>
        <v>0</v>
      </c>
      <c r="Y222" s="170">
        <f t="shared" ca="1" si="72"/>
        <v>0</v>
      </c>
      <c r="Z222">
        <f t="shared" ca="1" si="66"/>
        <v>0</v>
      </c>
      <c r="AA222">
        <f t="shared" ca="1" si="67"/>
        <v>1</v>
      </c>
      <c r="AB222" s="94">
        <f t="shared" ca="1" si="68"/>
        <v>-297509.04888366599</v>
      </c>
      <c r="AC222">
        <f ca="1">AB222*D222*10000*VLOOKUP(A222,[1]kcal!$A$2:$C$49,3,FALSE)/1000000000000</f>
        <v>-0.27073323448413605</v>
      </c>
    </row>
    <row r="223" spans="1:29" x14ac:dyDescent="0.25">
      <c r="A223" s="171" t="str">
        <f t="shared" si="62"/>
        <v>Mejeriprodukter</v>
      </c>
      <c r="B223" s="171" t="str">
        <f t="shared" si="63"/>
        <v/>
      </c>
      <c r="C223" s="171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0</v>
      </c>
      <c r="D223" s="171">
        <f t="shared" si="61"/>
        <v>1</v>
      </c>
      <c r="E223" s="171">
        <f t="shared" si="64"/>
        <v>2030</v>
      </c>
      <c r="F223" t="s">
        <v>24</v>
      </c>
      <c r="G223" s="94">
        <f ca="1">IF(F223="Vestdanmark",SUMIFS(IF(E223=År1,'Resultater - Vestdanmark'!H$3:H$504,IF(E223=År2,'Resultater - Vestdanmark'!I$3:I$504,'Resultater - Vestdanmark'!J$3:J$504)),'Resultater - Vestdanmark'!$F$3:$F$504,$A223,IF(E223=År1,'Resultater - Vestdanmark'!H$3:H$504,IF(E223=År2,'Resultater - Vestdanmark'!I$3:I$504,'Resultater - Vestdanmark'!J$3:J$504)),"&gt;0"),SUMIFS(IF(E223=År1,'Resultater - Østdanmark'!H$3:H$504,IF(E223=År2,'Resultater - Østdanmark'!I$3:I$504,'Resultater - Østdanmark'!J$3:J$504)),'Resultater - Østdanmark'!$F$3:$F$504,$A223,IF(E223=År1,'Resultater - Østdanmark'!H$3:H$504,IF(E223=År2,'Resultater - Østdanmark'!I$3:I$504,'Resultater - Østdanmark'!J$3:J$504)),"&gt;0"))</f>
        <v>222296.53737538058</v>
      </c>
      <c r="H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forbrug'!H$3,'Forbrug af biomasse'!$B$2:$B$425,$F223)</f>
        <v>0</v>
      </c>
      <c r="I223">
        <f>IF(F223="Vestdanmark",-IF(A223="Halm",SUMIFS(IF(E223=År1,'Resultater - Vestdanmark'!H$3:H$504,IF(E223=År2,'Resultater - Vestdanmark'!I$3:I$504,'Resultater - Vestdanmark'!J$3:J$504)),'Resultater - Vestdanmark'!$F$3:$F$504,$A223,'Resultater - Vestdanmark'!H$3:H$504,"&lt;0"),0),-IF(A223="Halm",SUMIFS(IF(E223=År1,'Resultater - Østdanmark'!H$3:H$504,IF(E223=År2,'Resultater - Østdanmark'!I$3:I$504,'Resultater - Østdanmark'!J$3:J$504)),'Resultater - Østdanmark'!$F$3:$F$504,$A223,'Resultater - Østdanmark'!H$3:H$504,"&lt;0"),0))</f>
        <v>0</v>
      </c>
      <c r="J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forbrug'!J$3,'Forbrug af biomasse'!$B$2:$B$425,$F223)</f>
        <v>409035.43180711387</v>
      </c>
      <c r="K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forbrug'!K$3,'Forbrug af biomasse'!$B$2:$B$425,$F223)</f>
        <v>0</v>
      </c>
      <c r="L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forbrug'!L$3,'Forbrug af biomasse'!$B$2:$B$425,$F223)</f>
        <v>0</v>
      </c>
      <c r="M223" s="94">
        <f>IF(A223&lt;&gt;"Biogas",SUMIFS('Forbrug af biomasse'!$E$2:$E$425,'Forbrug af biomasse'!$C$2:$C$425,'Resultat-Produktion &amp; forbrug'!$A223,'Forbrug af biomasse'!$D$2:$D$425,'Resultat-Produktion &amp; forbrug'!$E223,'Forbrug af biomasse'!$A$2:$A$425,'Resultat-Produktion &amp; forbrug'!M$3,'Forbrug af biomasse'!$B$2:$B$425,$F223),G223)</f>
        <v>0</v>
      </c>
      <c r="N223" s="94">
        <f>SUMIFS('Forbrug af biomasse'!E:E,'Forbrug af biomasse'!C:C,'Resultat-Produktion &amp; forbrug'!$A223,'Forbrug af biomasse'!D:D,'Resultat-Produktion &amp; forbrug'!$E223,'Forbrug af biomasse'!G:G,1,'Forbrug af biomasse'!B:B,$F223)</f>
        <v>0</v>
      </c>
      <c r="O223" s="179">
        <f t="shared" ca="1" si="69"/>
        <v>-186738.89443173329</v>
      </c>
      <c r="P223" s="94">
        <f t="shared" si="65"/>
        <v>0</v>
      </c>
      <c r="Q223" s="180">
        <f t="shared" si="70"/>
        <v>0</v>
      </c>
      <c r="R223">
        <f>IFERROR(VLOOKUP(A223,[1]Energiindhold!$A$2:$C$11,3,FALSE),IFERROR(VLOOKUP(A223,[1]Biogasudbytte!$A$2:$B$18,2,FALSE)*[1]Energiindhold!$C$10,0))*P223</f>
        <v>0</v>
      </c>
      <c r="S223">
        <f>IF(A223&lt;&gt;"Biogas",IFERROR(VLOOKUP(A223,[1]Biogasudbytte!$A$2:$B$18,2,FALSE)*[1]Energiindhold!$C$10,0)*K223*IFERROR(VLOOKUP(A223,Biogasanlæg!$F$3:$G$8,2,FALSE),1)+IFERROR(VLOOKUP(A223,[1]Energiindhold!$A$2:$C$11,3,FALSE),0)*M223+IF(E223&lt;&gt;År1,R223,0),0)</f>
        <v>0</v>
      </c>
      <c r="T223">
        <f>IFERROR(VLOOKUP(A223,[1]Biogasudbytte!$A$2:$B$18,2,FALSE)*[1]Energiindhold!$C$10,0)*K223*IFERROR(VLOOKUP(A223,Biogasanlæg!$F$3:$G$8,2,FALSE),1)</f>
        <v>0</v>
      </c>
      <c r="U223" s="170">
        <f t="shared" si="71"/>
        <v>0</v>
      </c>
      <c r="V223" s="169">
        <f>P223*IFERROR(VLOOKUP(A223,[1]Tørstofindhold!A$2:B$24,2,FALSE),0)</f>
        <v>0</v>
      </c>
      <c r="W223">
        <f>IF(E223=År1,Q223,SUM(P223,Q223))*IFERROR(VLOOKUP(A223,[1]Tørstofindhold!A$2:B$24,2,FALSE),0)</f>
        <v>0</v>
      </c>
      <c r="X223">
        <f>K223*IFERROR(VLOOKUP(A223,[1]Tørstofindhold!A$2:B$24,2,FALSE),0)</f>
        <v>0</v>
      </c>
      <c r="Y223" s="170">
        <f t="shared" si="72"/>
        <v>0</v>
      </c>
      <c r="Z223">
        <f t="shared" ca="1" si="66"/>
        <v>0</v>
      </c>
      <c r="AA223">
        <f t="shared" ca="1" si="67"/>
        <v>1</v>
      </c>
      <c r="AB223" s="94">
        <f t="shared" ca="1" si="68"/>
        <v>222296.53737538058</v>
      </c>
      <c r="AC223">
        <f ca="1">AB223*D223*10000*VLOOKUP(A223,[1]kcal!$A$2:$C$49,3,FALSE)/1000000000000</f>
        <v>0.14004681854648976</v>
      </c>
    </row>
    <row r="224" spans="1:29" x14ac:dyDescent="0.25">
      <c r="A224" s="171" t="str">
        <f t="shared" si="62"/>
        <v>Muslinger</v>
      </c>
      <c r="B224" s="171" t="str">
        <f t="shared" si="63"/>
        <v>Havbiomasse</v>
      </c>
      <c r="C224" s="171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1</v>
      </c>
      <c r="D224" s="171">
        <f t="shared" si="61"/>
        <v>1</v>
      </c>
      <c r="E224" s="171">
        <f t="shared" si="64"/>
        <v>2030</v>
      </c>
      <c r="F224" t="s">
        <v>24</v>
      </c>
      <c r="G224" s="94">
        <f>IF(F224="Vestdanmark",SUMIFS(IF(E224=År1,'Resultater - Vestdanmark'!H$3:H$504,IF(E224=År2,'Resultater - Vestdanmark'!I$3:I$504,'Resultater - Vestdanmark'!J$3:J$504)),'Resultater - Vestdanmark'!$F$3:$F$504,$A224,IF(E224=År1,'Resultater - Vestdanmark'!H$3:H$504,IF(E224=År2,'Resultater - Vestdanmark'!I$3:I$504,'Resultater - Vestdanmark'!J$3:J$504)),"&gt;0"),SUMIFS(IF(E224=År1,'Resultater - Østdanmark'!H$3:H$504,IF(E224=År2,'Resultater - Østdanmark'!I$3:I$504,'Resultater - Østdanmark'!J$3:J$504)),'Resultater - Østdanmark'!$F$3:$F$504,$A224,IF(E224=År1,'Resultater - Østdanmark'!H$3:H$504,IF(E224=År2,'Resultater - Østdanmark'!I$3:I$504,'Resultater - Østdanmark'!J$3:J$504)),"&gt;0"))</f>
        <v>1.1976865502381491</v>
      </c>
      <c r="H224" s="94">
        <f ca="1">SUMIFS('Forbrug af biomasse'!$E$2:$E$425,'Forbrug af biomasse'!$C$2:$C$425,'Resultat-Produktion &amp; forbrug'!$A224,'Forbrug af biomasse'!$D$2:$D$425,'Resultat-Produktion &amp; forbrug'!$E224,'Forbrug af biomasse'!$A$2:$A$425,'Resultat-Produktion &amp; forbrug'!H$3,'Forbrug af biomasse'!$B$2:$B$425,$F224)</f>
        <v>0</v>
      </c>
      <c r="I224">
        <f>IF(F224="Vestdanmark",-IF(A224="Halm",SUMIFS(IF(E224=År1,'Resultater - Vestdanmark'!H$3:H$504,IF(E224=År2,'Resultater - Vestdanmark'!I$3:I$504,'Resultater - Vestdanmark'!J$3:J$504)),'Resultater - Vestdanmark'!$F$3:$F$504,$A224,'Resultater - Vestdanmark'!H$3:H$504,"&lt;0"),0),-IF(A224="Halm",SUMIFS(IF(E224=År1,'Resultater - Østdanmark'!H$3:H$504,IF(E224=År2,'Resultater - Østdanmark'!I$3:I$504,'Resultater - Østdanmark'!J$3:J$504)),'Resultater - Østdanmark'!$F$3:$F$504,$A224,'Resultater - Østdanmark'!H$3:H$504,"&lt;0"),0))</f>
        <v>0</v>
      </c>
      <c r="J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forbrug'!J$3,'Forbrug af biomasse'!$B$2:$B$425,$F224)</f>
        <v>0</v>
      </c>
      <c r="K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forbrug'!K$3,'Forbrug af biomasse'!$B$2:$B$425,$F224)</f>
        <v>0</v>
      </c>
      <c r="L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forbrug'!L$3,'Forbrug af biomasse'!$B$2:$B$425,$F224)</f>
        <v>0</v>
      </c>
      <c r="M224" s="94">
        <f>IF(A224&lt;&gt;"Biogas",SUMIFS('Forbrug af biomasse'!$E$2:$E$425,'Forbrug af biomasse'!$C$2:$C$425,'Resultat-Produktion &amp; forbrug'!$A224,'Forbrug af biomasse'!$D$2:$D$425,'Resultat-Produktion &amp; forbrug'!$E224,'Forbrug af biomasse'!$A$2:$A$425,'Resultat-Produktion &amp; forbrug'!M$3,'Forbrug af biomasse'!$B$2:$B$425,$F224),G224)</f>
        <v>0</v>
      </c>
      <c r="N224" s="94">
        <f>SUMIFS('Forbrug af biomasse'!E:E,'Forbrug af biomasse'!C:C,'Resultat-Produktion &amp; forbrug'!$A224,'Forbrug af biomasse'!D:D,'Resultat-Produktion &amp; forbrug'!$E224,'Forbrug af biomasse'!G:G,1,'Forbrug af biomasse'!B:B,$F224)</f>
        <v>0</v>
      </c>
      <c r="O224" s="179">
        <f t="shared" ca="1" si="69"/>
        <v>1.1976865502381491</v>
      </c>
      <c r="P224" s="94">
        <f t="shared" ca="1" si="65"/>
        <v>1.1976865502381491</v>
      </c>
      <c r="Q224" s="180">
        <f t="shared" si="70"/>
        <v>0</v>
      </c>
      <c r="R224">
        <f ca="1">IFERROR(VLOOKUP(A224,[1]Energiindhold!$A$2:$C$11,3,FALSE),IFERROR(VLOOKUP(A224,[1]Biogasudbytte!$A$2:$B$18,2,FALSE)*[1]Energiindhold!$C$10,0))*P224</f>
        <v>1.0749236788387388E-6</v>
      </c>
      <c r="S224">
        <f ca="1">IF(A224&lt;&gt;"Biogas",IFERROR(VLOOKUP(A224,[1]Biogasudbytte!$A$2:$B$18,2,FALSE)*[1]Energiindhold!$C$10,0)*K224*IFERROR(VLOOKUP(A224,Biogasanlæg!$F$3:$G$8,2,FALSE),1)+IFERROR(VLOOKUP(A224,[1]Energiindhold!$A$2:$C$11,3,FALSE),0)*M224+IF(E224&lt;&gt;År1,R224,0),0)</f>
        <v>1.0749236788387388E-6</v>
      </c>
      <c r="T224">
        <f>IFERROR(VLOOKUP(A224,[1]Biogasudbytte!$A$2:$B$18,2,FALSE)*[1]Energiindhold!$C$10,0)*K224*IFERROR(VLOOKUP(A224,Biogasanlæg!$F$3:$G$8,2,FALSE),1)</f>
        <v>0</v>
      </c>
      <c r="U224" s="170">
        <f t="shared" ca="1" si="71"/>
        <v>1.0749236788387388E-6</v>
      </c>
      <c r="V224" s="169">
        <f ca="1">P224*IFERROR(VLOOKUP(A224,[1]Tørstofindhold!A$2:B$24,2,FALSE),0)</f>
        <v>0.17965298253572234</v>
      </c>
      <c r="W224">
        <f ca="1">IF(E224=År1,Q224,SUM(P224,Q224))*IFERROR(VLOOKUP(A224,[1]Tørstofindhold!A$2:B$24,2,FALSE),0)</f>
        <v>0.17965298253572234</v>
      </c>
      <c r="X224">
        <f>K224*IFERROR(VLOOKUP(A224,[1]Tørstofindhold!A$2:B$24,2,FALSE),0)</f>
        <v>0</v>
      </c>
      <c r="Y224" s="170">
        <f t="shared" ca="1" si="72"/>
        <v>0.17965298253572234</v>
      </c>
      <c r="Z224">
        <f t="shared" ca="1" si="66"/>
        <v>0</v>
      </c>
      <c r="AA224">
        <f t="shared" ca="1" si="67"/>
        <v>1</v>
      </c>
      <c r="AB224" s="94">
        <f t="shared" ca="1" si="68"/>
        <v>1.1976865502381491</v>
      </c>
      <c r="AC224">
        <f ca="1">AB224*D224*10000*VLOOKUP(A224,[1]kcal!$A$2:$C$49,3,FALSE)/1000000000000</f>
        <v>9.9407983669766362E-7</v>
      </c>
    </row>
    <row r="225" spans="1:29" x14ac:dyDescent="0.25">
      <c r="A225" s="171" t="str">
        <f t="shared" si="62"/>
        <v>Oksekød</v>
      </c>
      <c r="B225" s="171" t="str">
        <f t="shared" si="63"/>
        <v/>
      </c>
      <c r="C225" s="171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71">
        <f t="shared" si="61"/>
        <v>1</v>
      </c>
      <c r="E225" s="171">
        <f t="shared" si="64"/>
        <v>2030</v>
      </c>
      <c r="F225" t="s">
        <v>24</v>
      </c>
      <c r="G225" s="94">
        <f ca="1">IF(F225="Vestdanmark",SUMIFS(IF(E225=År1,'Resultater - Vestdanmark'!H$3:H$504,IF(E225=År2,'Resultater - Vestdanmark'!I$3:I$504,'Resultater - Vestdanmark'!J$3:J$504)),'Resultater - Vestdanmark'!$F$3:$F$504,$A225,IF(E225=År1,'Resultater - Vestdanmark'!H$3:H$504,IF(E225=År2,'Resultater - Vestdanmark'!I$3:I$504,'Resultater - Vestdanmark'!J$3:J$504)),"&gt;0"),SUMIFS(IF(E225=År1,'Resultater - Østdanmark'!H$3:H$504,IF(E225=År2,'Resultater - Østdanmark'!I$3:I$504,'Resultater - Østdanmark'!J$3:J$504)),'Resultater - Østdanmark'!$F$3:$F$504,$A225,IF(E225=År1,'Resultater - Østdanmark'!H$3:H$504,IF(E225=År2,'Resultater - Østdanmark'!I$3:I$504,'Resultater - Østdanmark'!J$3:J$504)),"&gt;0"))</f>
        <v>7545.7953205064359</v>
      </c>
      <c r="H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forbrug'!H$3,'Forbrug af biomasse'!$B$2:$B$425,$F225)</f>
        <v>0</v>
      </c>
      <c r="I225">
        <f>IF(F225="Vestdanmark",-IF(A225="Halm",SUMIFS(IF(E225=År1,'Resultater - Vestdanmark'!H$3:H$504,IF(E225=År2,'Resultater - Vestdanmark'!I$3:I$504,'Resultater - Vestdanmark'!J$3:J$504)),'Resultater - Vestdanmark'!$F$3:$F$504,$A225,'Resultater - Vestdanmark'!H$3:H$504,"&lt;0"),0),-IF(A225="Halm",SUMIFS(IF(E225=År1,'Resultater - Østdanmark'!H$3:H$504,IF(E225=År2,'Resultater - Østdanmark'!I$3:I$504,'Resultater - Østdanmark'!J$3:J$504)),'Resultater - Østdanmark'!$F$3:$F$504,$A225,'Resultater - Østdanmark'!H$3:H$504,"&lt;0"),0))</f>
        <v>0</v>
      </c>
      <c r="J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forbrug'!J$3,'Forbrug af biomasse'!$B$2:$B$425,$F225)</f>
        <v>51975.70917962808</v>
      </c>
      <c r="K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forbrug'!K$3,'Forbrug af biomasse'!$B$2:$B$425,$F225)</f>
        <v>0</v>
      </c>
      <c r="L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forbrug'!L$3,'Forbrug af biomasse'!$B$2:$B$425,$F225)</f>
        <v>0</v>
      </c>
      <c r="M225" s="94">
        <f>IF(A225&lt;&gt;"Biogas",SUMIFS('Forbrug af biomasse'!$E$2:$E$425,'Forbrug af biomasse'!$C$2:$C$425,'Resultat-Produktion &amp; forbrug'!$A225,'Forbrug af biomasse'!$D$2:$D$425,'Resultat-Produktion &amp; forbrug'!$E225,'Forbrug af biomasse'!$A$2:$A$425,'Resultat-Produktion &amp; forbrug'!M$3,'Forbrug af biomasse'!$B$2:$B$425,$F225),G225)</f>
        <v>0</v>
      </c>
      <c r="N225" s="94">
        <f>SUMIFS('Forbrug af biomasse'!E:E,'Forbrug af biomasse'!C:C,'Resultat-Produktion &amp; forbrug'!$A225,'Forbrug af biomasse'!D:D,'Resultat-Produktion &amp; forbrug'!$E225,'Forbrug af biomasse'!G:G,1,'Forbrug af biomasse'!B:B,$F225)</f>
        <v>0</v>
      </c>
      <c r="O225" s="179">
        <f t="shared" ca="1" si="69"/>
        <v>-44429.913859121647</v>
      </c>
      <c r="P225" s="94">
        <f t="shared" si="65"/>
        <v>0</v>
      </c>
      <c r="Q225" s="180">
        <f t="shared" si="70"/>
        <v>0</v>
      </c>
      <c r="R225">
        <f>IFERROR(VLOOKUP(A225,[1]Energiindhold!$A$2:$C$11,3,FALSE),IFERROR(VLOOKUP(A225,[1]Biogasudbytte!$A$2:$B$18,2,FALSE)*[1]Energiindhold!$C$10,0))*P225</f>
        <v>0</v>
      </c>
      <c r="S225">
        <f>IF(A225&lt;&gt;"Biogas",IFERROR(VLOOKUP(A225,[1]Biogasudbytte!$A$2:$B$18,2,FALSE)*[1]Energiindhold!$C$10,0)*K225*IFERROR(VLOOKUP(A225,Biogasanlæg!$F$3:$G$8,2,FALSE),1)+IFERROR(VLOOKUP(A225,[1]Energiindhold!$A$2:$C$11,3,FALSE),0)*M225+IF(E225&lt;&gt;År1,R225,0),0)</f>
        <v>0</v>
      </c>
      <c r="T225">
        <f>IFERROR(VLOOKUP(A225,[1]Biogasudbytte!$A$2:$B$18,2,FALSE)*[1]Energiindhold!$C$10,0)*K225*IFERROR(VLOOKUP(A225,Biogasanlæg!$F$3:$G$8,2,FALSE),1)</f>
        <v>0</v>
      </c>
      <c r="U225" s="170">
        <f t="shared" si="71"/>
        <v>0</v>
      </c>
      <c r="V225" s="169">
        <f>P225*IFERROR(VLOOKUP(A225,[1]Tørstofindhold!A$2:B$24,2,FALSE),0)</f>
        <v>0</v>
      </c>
      <c r="W225">
        <f>IF(E225=År1,Q225,SUM(P225,Q225))*IFERROR(VLOOKUP(A225,[1]Tørstofindhold!A$2:B$24,2,FALSE),0)</f>
        <v>0</v>
      </c>
      <c r="X225">
        <f>K225*IFERROR(VLOOKUP(A225,[1]Tørstofindhold!A$2:B$24,2,FALSE),0)</f>
        <v>0</v>
      </c>
      <c r="Y225" s="170">
        <f t="shared" si="72"/>
        <v>0</v>
      </c>
      <c r="Z225">
        <f t="shared" ca="1" si="66"/>
        <v>0</v>
      </c>
      <c r="AA225">
        <f t="shared" ca="1" si="67"/>
        <v>1</v>
      </c>
      <c r="AB225" s="94">
        <f t="shared" ca="1" si="68"/>
        <v>7545.7953205064359</v>
      </c>
      <c r="AC225">
        <f ca="1">AB225*D225*10000*VLOOKUP(A225,[1]kcal!$A$2:$C$49,3,FALSE)/1000000000000</f>
        <v>1.4714300874987549E-2</v>
      </c>
    </row>
    <row r="226" spans="1:29" x14ac:dyDescent="0.25">
      <c r="A226" s="171" t="str">
        <f t="shared" si="62"/>
        <v>Øvrige</v>
      </c>
      <c r="B226" s="171" t="str">
        <f t="shared" si="63"/>
        <v/>
      </c>
      <c r="C226" s="171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0</v>
      </c>
      <c r="D226" s="171">
        <f t="shared" si="61"/>
        <v>1</v>
      </c>
      <c r="E226" s="171">
        <f t="shared" si="64"/>
        <v>2030</v>
      </c>
      <c r="F226" t="s">
        <v>24</v>
      </c>
      <c r="G226" s="94">
        <f>IF(F226="Vestdanmark",SUMIFS(IF(E226=År1,'Resultater - Vestdanmark'!H$3:H$504,IF(E226=År2,'Resultater - Vestdanmark'!I$3:I$504,'Resultater - Vestdanmark'!J$3:J$504)),'Resultater - Vestdanmark'!$F$3:$F$504,$A226,IF(E226=År1,'Resultater - Vestdanmark'!H$3:H$504,IF(E226=År2,'Resultater - Vestdanmark'!I$3:I$504,'Resultater - Vestdanmark'!J$3:J$504)),"&gt;0"),SUMIFS(IF(E226=År1,'Resultater - Østdanmark'!H$3:H$504,IF(E226=År2,'Resultater - Østdanmark'!I$3:I$504,'Resultater - Østdanmark'!J$3:J$504)),'Resultater - Østdanmark'!$F$3:$F$504,$A226,IF(E226=År1,'Resultater - Østdanmark'!H$3:H$504,IF(E226=År2,'Resultater - Østdanmark'!I$3:I$504,'Resultater - Østdanmark'!J$3:J$504)),"&gt;0"))</f>
        <v>404887.87519347097</v>
      </c>
      <c r="H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forbrug'!H$3,'Forbrug af biomasse'!$B$2:$B$425,$F226)</f>
        <v>0</v>
      </c>
      <c r="I226">
        <f>IF(F226="Vestdanmark",-IF(A226="Halm",SUMIFS(IF(E226=År1,'Resultater - Vestdanmark'!H$3:H$504,IF(E226=År2,'Resultater - Vestdanmark'!I$3:I$504,'Resultater - Vestdanmark'!J$3:J$504)),'Resultater - Vestdanmark'!$F$3:$F$504,$A226,'Resultater - Vestdanmark'!H$3:H$504,"&lt;0"),0),-IF(A226="Halm",SUMIFS(IF(E226=År1,'Resultater - Østdanmark'!H$3:H$504,IF(E226=År2,'Resultater - Østdanmark'!I$3:I$504,'Resultater - Østdanmark'!J$3:J$504)),'Resultater - Østdanmark'!$F$3:$F$504,$A226,'Resultater - Østdanmark'!H$3:H$504,"&lt;0"),0))</f>
        <v>0</v>
      </c>
      <c r="J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forbrug'!J$3,'Forbrug af biomasse'!$B$2:$B$425,$F226)</f>
        <v>0</v>
      </c>
      <c r="K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forbrug'!K$3,'Forbrug af biomasse'!$B$2:$B$425,$F226)</f>
        <v>0</v>
      </c>
      <c r="L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forbrug'!L$3,'Forbrug af biomasse'!$B$2:$B$425,$F226)</f>
        <v>0</v>
      </c>
      <c r="M226" s="94">
        <f>IF(A226&lt;&gt;"Biogas",SUMIFS('Forbrug af biomasse'!$E$2:$E$425,'Forbrug af biomasse'!$C$2:$C$425,'Resultat-Produktion &amp; forbrug'!$A226,'Forbrug af biomasse'!$D$2:$D$425,'Resultat-Produktion &amp; forbrug'!$E226,'Forbrug af biomasse'!$A$2:$A$425,'Resultat-Produktion &amp; forbrug'!M$3,'Forbrug af biomasse'!$B$2:$B$425,$F226),G226)</f>
        <v>0</v>
      </c>
      <c r="N226" s="94">
        <f>SUMIFS('Forbrug af biomasse'!E:E,'Forbrug af biomasse'!C:C,'Resultat-Produktion &amp; forbrug'!$A226,'Forbrug af biomasse'!D:D,'Resultat-Produktion &amp; forbrug'!$E226,'Forbrug af biomasse'!G:G,1,'Forbrug af biomasse'!B:B,$F226)</f>
        <v>0</v>
      </c>
      <c r="O226" s="179">
        <f t="shared" si="69"/>
        <v>404887.87519347097</v>
      </c>
      <c r="P226" s="94">
        <f t="shared" si="65"/>
        <v>0</v>
      </c>
      <c r="Q226" s="180">
        <f t="shared" si="70"/>
        <v>0</v>
      </c>
      <c r="R226">
        <f>IFERROR(VLOOKUP(A226,[1]Energiindhold!$A$2:$C$11,3,FALSE),IFERROR(VLOOKUP(A226,[1]Biogasudbytte!$A$2:$B$18,2,FALSE)*[1]Energiindhold!$C$10,0))*P226</f>
        <v>0</v>
      </c>
      <c r="S226">
        <f>IF(A226&lt;&gt;"Biogas",IFERROR(VLOOKUP(A226,[1]Biogasudbytte!$A$2:$B$18,2,FALSE)*[1]Energiindhold!$C$10,0)*K226*IFERROR(VLOOKUP(A226,Biogasanlæg!$F$3:$G$8,2,FALSE),1)+IFERROR(VLOOKUP(A226,[1]Energiindhold!$A$2:$C$11,3,FALSE),0)*M226+IF(E226&lt;&gt;År1,R226,0),0)</f>
        <v>0</v>
      </c>
      <c r="T226">
        <f>IFERROR(VLOOKUP(A226,[1]Biogasudbytte!$A$2:$B$18,2,FALSE)*[1]Energiindhold!$C$10,0)*K226*IFERROR(VLOOKUP(A226,Biogasanlæg!$F$3:$G$8,2,FALSE),1)</f>
        <v>0</v>
      </c>
      <c r="U226" s="170">
        <f t="shared" si="71"/>
        <v>0</v>
      </c>
      <c r="V226" s="169">
        <f>P226*IFERROR(VLOOKUP(A226,[1]Tørstofindhold!A$2:B$24,2,FALSE),0)</f>
        <v>0</v>
      </c>
      <c r="W226">
        <f>IF(E226=År1,Q226,SUM(P226,Q226))*IFERROR(VLOOKUP(A226,[1]Tørstofindhold!A$2:B$24,2,FALSE),0)</f>
        <v>0</v>
      </c>
      <c r="X226">
        <f>K226*IFERROR(VLOOKUP(A226,[1]Tørstofindhold!A$2:B$24,2,FALSE),0)</f>
        <v>0</v>
      </c>
      <c r="Y226" s="170">
        <f t="shared" si="72"/>
        <v>0</v>
      </c>
      <c r="Z226">
        <f t="shared" si="66"/>
        <v>0</v>
      </c>
      <c r="AA226">
        <f t="shared" si="67"/>
        <v>1</v>
      </c>
      <c r="AB226" s="94">
        <f t="shared" si="68"/>
        <v>404887.87519347097</v>
      </c>
      <c r="AC226">
        <f>AB226*D226*10000*VLOOKUP(A226,[1]kcal!$A$2:$C$49,3,FALSE)/1000000000000</f>
        <v>0.15790627132545368</v>
      </c>
    </row>
    <row r="227" spans="1:29" x14ac:dyDescent="0.25">
      <c r="A227" s="171" t="str">
        <f t="shared" si="62"/>
        <v>Pil &amp; poppel</v>
      </c>
      <c r="B227" s="171" t="str">
        <f t="shared" si="63"/>
        <v>Vedmasse</v>
      </c>
      <c r="C227" s="171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71">
        <f t="shared" si="61"/>
        <v>0</v>
      </c>
      <c r="E227" s="171">
        <f t="shared" si="64"/>
        <v>2030</v>
      </c>
      <c r="F227" t="s">
        <v>24</v>
      </c>
      <c r="G227" s="94">
        <f>IF(F227="Vestdanmark",SUMIFS(IF(E227=År1,'Resultater - Vestdanmark'!H$3:H$504,IF(E227=År2,'Resultater - Vestdanmark'!I$3:I$504,'Resultater - Vestdanmark'!J$3:J$504)),'Resultater - Vestdanmark'!$F$3:$F$504,$A227,IF(E227=År1,'Resultater - Vestdanmark'!H$3:H$504,IF(E227=År2,'Resultater - Vestdanmark'!I$3:I$504,'Resultater - Vestdanmark'!J$3:J$504)),"&gt;0"),SUMIFS(IF(E227=År1,'Resultater - Østdanmark'!H$3:H$504,IF(E227=År2,'Resultater - Østdanmark'!I$3:I$504,'Resultater - Østdanmark'!J$3:J$504)),'Resultater - Østdanmark'!$F$3:$F$504,$A227,IF(E227=År1,'Resultater - Østdanmark'!H$3:H$504,IF(E227=År2,'Resultater - Østdanmark'!I$3:I$504,'Resultater - Østdanmark'!J$3:J$504)),"&gt;0"))</f>
        <v>39167.06519291555</v>
      </c>
      <c r="H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forbrug'!H$3,'Forbrug af biomasse'!$B$2:$B$425,$F227)</f>
        <v>0</v>
      </c>
      <c r="I227">
        <f>IF(F227="Vestdanmark",-IF(A227="Halm",SUMIFS(IF(E227=År1,'Resultater - Vestdanmark'!H$3:H$504,IF(E227=År2,'Resultater - Vestdanmark'!I$3:I$504,'Resultater - Vestdanmark'!J$3:J$504)),'Resultater - Vestdanmark'!$F$3:$F$504,$A227,'Resultater - Vestdanmark'!H$3:H$504,"&lt;0"),0),-IF(A227="Halm",SUMIFS(IF(E227=År1,'Resultater - Østdanmark'!H$3:H$504,IF(E227=År2,'Resultater - Østdanmark'!I$3:I$504,'Resultater - Østdanmark'!J$3:J$504)),'Resultater - Østdanmark'!$F$3:$F$504,$A227,'Resultater - Østdanmark'!H$3:H$504,"&lt;0"),0))</f>
        <v>0</v>
      </c>
      <c r="J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forbrug'!J$3,'Forbrug af biomasse'!$B$2:$B$425,$F227)</f>
        <v>0</v>
      </c>
      <c r="K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forbrug'!K$3,'Forbrug af biomasse'!$B$2:$B$425,$F227)</f>
        <v>0</v>
      </c>
      <c r="L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forbrug'!L$3,'Forbrug af biomasse'!$B$2:$B$425,$F227)</f>
        <v>0</v>
      </c>
      <c r="M227" s="94">
        <f>IF(A227&lt;&gt;"Biogas",SUMIFS('Forbrug af biomasse'!$E$2:$E$425,'Forbrug af biomasse'!$C$2:$C$425,'Resultat-Produktion &amp; forbrug'!$A227,'Forbrug af biomasse'!$D$2:$D$425,'Resultat-Produktion &amp; forbrug'!$E227,'Forbrug af biomasse'!$A$2:$A$425,'Resultat-Produktion &amp; forbrug'!M$3,'Forbrug af biomasse'!$B$2:$B$425,$F227),G227)</f>
        <v>39167.06519291555</v>
      </c>
      <c r="N227" s="94">
        <f>SUMIFS('Forbrug af biomasse'!E:E,'Forbrug af biomasse'!C:C,'Resultat-Produktion &amp; forbrug'!$A227,'Forbrug af biomasse'!D:D,'Resultat-Produktion &amp; forbrug'!$E227,'Forbrug af biomasse'!G:G,1,'Forbrug af biomasse'!B:B,$F227)</f>
        <v>0</v>
      </c>
      <c r="O227" s="179">
        <f t="shared" si="69"/>
        <v>0</v>
      </c>
      <c r="P227" s="94">
        <f t="shared" si="65"/>
        <v>0</v>
      </c>
      <c r="Q227" s="180">
        <f t="shared" si="70"/>
        <v>39167.06519291555</v>
      </c>
      <c r="R227">
        <f>IFERROR(VLOOKUP(A227,[1]Energiindhold!$A$2:$C$11,3,FALSE),IFERROR(VLOOKUP(A227,[1]Biogasudbytte!$A$2:$B$18,2,FALSE)*[1]Energiindhold!$C$10,0))*P227</f>
        <v>0</v>
      </c>
      <c r="S227">
        <f>IF(A227&lt;&gt;"Biogas",IFERROR(VLOOKUP(A227,[1]Biogasudbytte!$A$2:$B$18,2,FALSE)*[1]Energiindhold!$C$10,0)*K227*IFERROR(VLOOKUP(A227,Biogasanlæg!$F$3:$G$8,2,FALSE),1)+IFERROR(VLOOKUP(A227,[1]Energiindhold!$A$2:$C$11,3,FALSE),0)*M227+IF(E227&lt;&gt;År1,R227,0),0)</f>
        <v>0.72067399954964595</v>
      </c>
      <c r="T227">
        <f>IFERROR(VLOOKUP(A227,[1]Biogasudbytte!$A$2:$B$18,2,FALSE)*[1]Energiindhold!$C$10,0)*K227*IFERROR(VLOOKUP(A227,Biogasanlæg!$F$3:$G$8,2,FALSE),1)</f>
        <v>0</v>
      </c>
      <c r="U227" s="170">
        <f t="shared" si="71"/>
        <v>0.72067399954964595</v>
      </c>
      <c r="V227" s="169">
        <f>P227*IFERROR(VLOOKUP(A227,[1]Tørstofindhold!A$2:B$24,2,FALSE),0)</f>
        <v>0</v>
      </c>
      <c r="W227">
        <f>IF(E227=År1,Q227,SUM(P227,Q227))*IFERROR(VLOOKUP(A227,[1]Tørstofindhold!A$2:B$24,2,FALSE),0)</f>
        <v>16254.332055059955</v>
      </c>
      <c r="X227">
        <f>K227*IFERROR(VLOOKUP(A227,[1]Tørstofindhold!A$2:B$24,2,FALSE),0)</f>
        <v>0</v>
      </c>
      <c r="Y227" s="170">
        <f t="shared" si="72"/>
        <v>16254.332055059955</v>
      </c>
      <c r="Z227">
        <f t="shared" si="66"/>
        <v>0</v>
      </c>
      <c r="AA227">
        <f t="shared" si="67"/>
        <v>0</v>
      </c>
      <c r="AB227" s="94">
        <f t="shared" si="68"/>
        <v>39167.06519291555</v>
      </c>
      <c r="AC227">
        <f>AB227*D227*10000*VLOOKUP(A227,[1]kcal!$A$2:$C$49,3,FALSE)/1000000000000</f>
        <v>0</v>
      </c>
    </row>
    <row r="228" spans="1:29" x14ac:dyDescent="0.25">
      <c r="A228" s="171" t="str">
        <f t="shared" ref="A228:A229" si="73">A180</f>
        <v>Pyrolysegas</v>
      </c>
      <c r="B228" s="171" t="str">
        <f t="shared" ref="B228:B229" si="74">IF(B180&lt;&gt;"",B180,"")</f>
        <v>Pyrolyseprodukter</v>
      </c>
      <c r="C228" s="171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71">
        <f t="shared" si="61"/>
        <v>0</v>
      </c>
      <c r="E228" s="171">
        <f t="shared" si="64"/>
        <v>2030</v>
      </c>
      <c r="F228" t="s">
        <v>24</v>
      </c>
      <c r="G228" s="94">
        <f ca="1">IF(F228="Vestdanmark",SUMIFS(IF(E228=År1,'Resultater - Vestdanmark'!H$3:H$504,IF(E228=År2,'Resultater - Vestdanmark'!I$3:I$504,'Resultater - Vestdanmark'!J$3:J$504)),'Resultater - Vestdanmark'!$F$3:$F$504,$A228,IF(E228=År1,'Resultater - Vestdanmark'!H$3:H$504,IF(E228=År2,'Resultater - Vestdanmark'!I$3:I$504,'Resultater - Vestdanmark'!J$3:J$504)),"&gt;0"),SUMIFS(IF(E228=År1,'Resultater - Østdanmark'!H$3:H$504,IF(E228=År2,'Resultater - Østdanmark'!I$3:I$504,'Resultater - Østdanmark'!J$3:J$504)),'Resultater - Østdanmark'!$F$3:$F$504,$A228,IF(E228=År1,'Resultater - Østdanmark'!H$3:H$504,IF(E228=År2,'Resultater - Østdanmark'!I$3:I$504,'Resultater - Østdanmark'!J$3:J$504)),"&gt;0"))</f>
        <v>0</v>
      </c>
      <c r="H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forbrug'!H$3,'Forbrug af biomasse'!$B$2:$B$425,$F228)</f>
        <v>0</v>
      </c>
      <c r="I228">
        <f>IF(F228="Vestdanmark",-IF(A228="Halm",SUMIFS(IF(E228=År1,'Resultater - Vestdanmark'!H$3:H$504,IF(E228=År2,'Resultater - Vestdanmark'!I$3:I$504,'Resultater - Vestdanmark'!J$3:J$504)),'Resultater - Vestdanmark'!$F$3:$F$504,$A228,'Resultater - Vestdanmark'!H$3:H$504,"&lt;0"),0),-IF(A228="Halm",SUMIFS(IF(E228=År1,'Resultater - Østdanmark'!H$3:H$504,IF(E228=År2,'Resultater - Østdanmark'!I$3:I$504,'Resultater - Østdanmark'!J$3:J$504)),'Resultater - Østdanmark'!$F$3:$F$504,$A228,'Resultater - Østdanmark'!H$3:H$504,"&lt;0"),0))</f>
        <v>0</v>
      </c>
      <c r="J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forbrug'!J$3,'Forbrug af biomasse'!$B$2:$B$425,$F228)</f>
        <v>0</v>
      </c>
      <c r="K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forbrug'!K$3,'Forbrug af biomasse'!$B$2:$B$425,$F228)</f>
        <v>0</v>
      </c>
      <c r="L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forbrug'!L$3,'Forbrug af biomasse'!$B$2:$B$425,$F228)</f>
        <v>0</v>
      </c>
      <c r="M228" s="94">
        <f ca="1">IF(A228&lt;&gt;"Biogas",SUMIFS('Forbrug af biomasse'!$E$2:$E$425,'Forbrug af biomasse'!$C$2:$C$425,'Resultat-Produktion &amp; forbrug'!$A228,'Forbrug af biomasse'!$D$2:$D$425,'Resultat-Produktion &amp; forbrug'!$E228,'Forbrug af biomasse'!$A$2:$A$425,'Resultat-Produktion &amp; forbrug'!M$3,'Forbrug af biomasse'!$B$2:$B$425,$F228),G228)</f>
        <v>0</v>
      </c>
      <c r="N228" s="94">
        <f>SUMIFS('Forbrug af biomasse'!E:E,'Forbrug af biomasse'!C:C,'Resultat-Produktion &amp; forbrug'!$A228,'Forbrug af biomasse'!D:D,'Resultat-Produktion &amp; forbrug'!$E228,'Forbrug af biomasse'!G:G,1,'Forbrug af biomasse'!B:B,$F228)</f>
        <v>0</v>
      </c>
      <c r="O228" s="179">
        <f t="shared" ref="O228:O229" ca="1" si="75">G228-SUM(H228:N228)</f>
        <v>0</v>
      </c>
      <c r="P228" s="94">
        <f t="shared" ca="1" si="65"/>
        <v>0</v>
      </c>
      <c r="Q228" s="180">
        <f t="shared" ref="Q228:Q229" ca="1" si="76">SUM(K228,M228)</f>
        <v>0</v>
      </c>
      <c r="R228">
        <f ca="1">IFERROR(VLOOKUP(A228,[1]Energiindhold!$A$2:$C$11,3,FALSE),IFERROR(VLOOKUP(A228,[1]Biogasudbytte!$A$2:$B$18,2,FALSE)*[1]Energiindhold!$C$10,0))*P228</f>
        <v>0</v>
      </c>
      <c r="S228">
        <f ca="1">IF(A228&lt;&gt;"Biogas",IFERROR(VLOOKUP(A228,[1]Biogasudbytte!$A$2:$B$18,2,FALSE)*[1]Energiindhold!$C$10,0)*K228*IFERROR(VLOOKUP(A228,Biogasanlæg!$F$3:$G$8,2,FALSE),1)+IFERROR(VLOOKUP(A228,[1]Energiindhold!$A$2:$C$11,3,FALSE),0)*M228+IF(E228&lt;&gt;År1,R228,0),0)</f>
        <v>0</v>
      </c>
      <c r="T228">
        <f>IFERROR(VLOOKUP(A228,[1]Biogasudbytte!$A$2:$B$18,2,FALSE)*[1]Energiindhold!$C$10,0)*K228*IFERROR(VLOOKUP(A228,Biogasanlæg!$F$3:$G$8,2,FALSE),1)</f>
        <v>0</v>
      </c>
      <c r="U228" s="170">
        <f t="shared" ref="U228:U229" ca="1" si="77">S228-T228</f>
        <v>0</v>
      </c>
      <c r="V228" s="169">
        <f ca="1">P228*IFERROR(VLOOKUP(A228,[1]Tørstofindhold!A$2:B$24,2,FALSE),0)</f>
        <v>0</v>
      </c>
      <c r="W228">
        <f ca="1">IF(E228=År1,Q228,SUM(P228,Q228))*IFERROR(VLOOKUP(A228,[1]Tørstofindhold!A$2:B$24,2,FALSE),0)</f>
        <v>0</v>
      </c>
      <c r="X228">
        <f>K228*IFERROR(VLOOKUP(A228,[1]Tørstofindhold!A$2:B$24,2,FALSE),0)</f>
        <v>0</v>
      </c>
      <c r="Y228" s="170">
        <f t="shared" ref="Y228:Y229" ca="1" si="78">W228-X228</f>
        <v>0</v>
      </c>
      <c r="Z228">
        <f t="shared" ca="1" si="66"/>
        <v>0</v>
      </c>
      <c r="AA228">
        <f t="shared" ca="1" si="67"/>
        <v>0</v>
      </c>
      <c r="AB228" s="94">
        <f t="shared" ca="1" si="68"/>
        <v>0</v>
      </c>
      <c r="AC228">
        <f ca="1">AB228*D228*10000*VLOOKUP(A228,[1]kcal!$A$2:$C$49,3,FALSE)/1000000000000</f>
        <v>0</v>
      </c>
    </row>
    <row r="229" spans="1:29" x14ac:dyDescent="0.25">
      <c r="A229" s="171" t="str">
        <f t="shared" si="73"/>
        <v>Pyrolyseolie</v>
      </c>
      <c r="B229" s="171" t="str">
        <f t="shared" si="74"/>
        <v>Pyrolyseprodukter</v>
      </c>
      <c r="C229" s="171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1</v>
      </c>
      <c r="D229" s="171">
        <f t="shared" si="61"/>
        <v>0</v>
      </c>
      <c r="E229" s="171">
        <f t="shared" si="64"/>
        <v>2030</v>
      </c>
      <c r="F229" t="s">
        <v>24</v>
      </c>
      <c r="G229" s="94">
        <f ca="1">IF(F229="Vestdanmark",SUMIFS(IF(E229=År1,'Resultater - Vestdanmark'!H$3:H$504,IF(E229=År2,'Resultater - Vestdanmark'!I$3:I$504,'Resultater - Vestdanmark'!J$3:J$504)),'Resultater - Vestdanmark'!$F$3:$F$504,$A229,IF(E229=År1,'Resultater - Vestdanmark'!H$3:H$504,IF(E229=År2,'Resultater - Vestdanmark'!I$3:I$504,'Resultater - Vestdanmark'!J$3:J$504)),"&gt;0"),SUMIFS(IF(E229=År1,'Resultater - Østdanmark'!H$3:H$504,IF(E229=År2,'Resultater - Østdanmark'!I$3:I$504,'Resultater - Østdanmark'!J$3:J$504)),'Resultater - Østdanmark'!$F$3:$F$504,$A229,IF(E229=År1,'Resultater - Østdanmark'!H$3:H$504,IF(E229=År2,'Resultater - Østdanmark'!I$3:I$504,'Resultater - Østdanmark'!J$3:J$504)),"&gt;0"))</f>
        <v>0</v>
      </c>
      <c r="H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forbrug'!H$3,'Forbrug af biomasse'!$B$2:$B$425,$F229)</f>
        <v>0</v>
      </c>
      <c r="I229">
        <f>IF(F229="Vestdanmark",-IF(A229="Halm",SUMIFS(IF(E229=År1,'Resultater - Vestdanmark'!H$3:H$504,IF(E229=År2,'Resultater - Vestdanmark'!I$3:I$504,'Resultater - Vestdanmark'!J$3:J$504)),'Resultater - Vestdanmark'!$F$3:$F$504,$A229,'Resultater - Vestdanmark'!H$3:H$504,"&lt;0"),0),-IF(A229="Halm",SUMIFS(IF(E229=År1,'Resultater - Østdanmark'!H$3:H$504,IF(E229=År2,'Resultater - Østdanmark'!I$3:I$504,'Resultater - Østdanmark'!J$3:J$504)),'Resultater - Østdanmark'!$F$3:$F$504,$A229,'Resultater - Østdanmark'!H$3:H$504,"&lt;0"),0))</f>
        <v>0</v>
      </c>
      <c r="J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forbrug'!J$3,'Forbrug af biomasse'!$B$2:$B$425,$F229)</f>
        <v>0</v>
      </c>
      <c r="K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forbrug'!K$3,'Forbrug af biomasse'!$B$2:$B$425,$F229)</f>
        <v>0</v>
      </c>
      <c r="L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forbrug'!L$3,'Forbrug af biomasse'!$B$2:$B$425,$F229)</f>
        <v>0</v>
      </c>
      <c r="M229" s="94">
        <f ca="1">IF(A229&lt;&gt;"Biogas",SUMIFS('Forbrug af biomasse'!$E$2:$E$425,'Forbrug af biomasse'!$C$2:$C$425,'Resultat-Produktion &amp; forbrug'!$A229,'Forbrug af biomasse'!$D$2:$D$425,'Resultat-Produktion &amp; forbrug'!$E229,'Forbrug af biomasse'!$A$2:$A$425,'Resultat-Produktion &amp; forbrug'!M$3,'Forbrug af biomasse'!$B$2:$B$425,$F229),G229)</f>
        <v>0</v>
      </c>
      <c r="N229" s="94">
        <f>SUMIFS('Forbrug af biomasse'!E:E,'Forbrug af biomasse'!C:C,'Resultat-Produktion &amp; forbrug'!$A229,'Forbrug af biomasse'!D:D,'Resultat-Produktion &amp; forbrug'!$E229,'Forbrug af biomasse'!G:G,1,'Forbrug af biomasse'!B:B,$F229)</f>
        <v>0</v>
      </c>
      <c r="O229" s="179">
        <f t="shared" ca="1" si="75"/>
        <v>0</v>
      </c>
      <c r="P229" s="94">
        <f t="shared" ca="1" si="65"/>
        <v>0</v>
      </c>
      <c r="Q229" s="180">
        <f t="shared" ca="1" si="76"/>
        <v>0</v>
      </c>
      <c r="R229">
        <f ca="1">IFERROR(VLOOKUP(A229,[1]Energiindhold!$A$2:$C$11,3,FALSE),IFERROR(VLOOKUP(A229,[1]Biogasudbytte!$A$2:$B$18,2,FALSE)*[1]Energiindhold!$C$10,0))*P229</f>
        <v>0</v>
      </c>
      <c r="S229">
        <f ca="1">IF(A229&lt;&gt;"Biogas",IFERROR(VLOOKUP(A229,[1]Biogasudbytte!$A$2:$B$18,2,FALSE)*[1]Energiindhold!$C$10,0)*K229*IFERROR(VLOOKUP(A229,Biogasanlæg!$F$3:$G$8,2,FALSE),1)+IFERROR(VLOOKUP(A229,[1]Energiindhold!$A$2:$C$11,3,FALSE),0)*M229+IF(E229&lt;&gt;År1,R229,0),0)</f>
        <v>0</v>
      </c>
      <c r="T229">
        <f>IFERROR(VLOOKUP(A229,[1]Biogasudbytte!$A$2:$B$18,2,FALSE)*[1]Energiindhold!$C$10,0)*K229*IFERROR(VLOOKUP(A229,Biogasanlæg!$F$3:$G$8,2,FALSE),1)</f>
        <v>0</v>
      </c>
      <c r="U229" s="170">
        <f t="shared" ca="1" si="77"/>
        <v>0</v>
      </c>
      <c r="V229" s="169">
        <f ca="1">P229*IFERROR(VLOOKUP(A229,[1]Tørstofindhold!A$2:B$24,2,FALSE),0)</f>
        <v>0</v>
      </c>
      <c r="W229">
        <f ca="1">IF(E229=År1,Q229,SUM(P229,Q229))*IFERROR(VLOOKUP(A229,[1]Tørstofindhold!A$2:B$24,2,FALSE),0)</f>
        <v>0</v>
      </c>
      <c r="X229">
        <f>K229*IFERROR(VLOOKUP(A229,[1]Tørstofindhold!A$2:B$24,2,FALSE),0)</f>
        <v>0</v>
      </c>
      <c r="Y229" s="170">
        <f t="shared" ca="1" si="78"/>
        <v>0</v>
      </c>
      <c r="Z229">
        <f t="shared" ca="1" si="66"/>
        <v>0</v>
      </c>
      <c r="AA229">
        <f t="shared" ca="1" si="67"/>
        <v>0</v>
      </c>
      <c r="AB229" s="94">
        <f t="shared" ca="1" si="68"/>
        <v>0</v>
      </c>
      <c r="AC229">
        <f ca="1">AB229*D229*10000*VLOOKUP(A229,[1]kcal!$A$2:$C$49,3,FALSE)/1000000000000</f>
        <v>0</v>
      </c>
    </row>
    <row r="230" spans="1:29" x14ac:dyDescent="0.25">
      <c r="A230" s="171" t="str">
        <f t="shared" ref="A230:A275" si="79">A182</f>
        <v>Råmælk</v>
      </c>
      <c r="B230" s="171" t="str">
        <f t="shared" ref="B230:B275" si="80">IF(B182&lt;&gt;"",B182,"")</f>
        <v/>
      </c>
      <c r="C230" s="171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71">
        <f t="shared" si="61"/>
        <v>0</v>
      </c>
      <c r="E230" s="171">
        <f t="shared" si="64"/>
        <v>2030</v>
      </c>
      <c r="F230" t="s">
        <v>24</v>
      </c>
      <c r="G230" s="94">
        <f ca="1">IF(F230="Vestdanmark",SUMIFS(IF(E230=År1,'Resultater - Vestdanmark'!H$3:H$504,IF(E230=År2,'Resultater - Vestdanmark'!I$3:I$504,'Resultater - Vestdanmark'!J$3:J$504)),'Resultater - Vestdanmark'!$F$3:$F$504,$A230,IF(E230=År1,'Resultater - Vestdanmark'!H$3:H$504,IF(E230=År2,'Resultater - Vestdanmark'!I$3:I$504,'Resultater - Vestdanmark'!J$3:J$504)),"&gt;0"),SUMIFS(IF(E230=År1,'Resultater - Østdanmark'!H$3:H$504,IF(E230=År2,'Resultater - Østdanmark'!I$3:I$504,'Resultater - Østdanmark'!J$3:J$504)),'Resultater - Østdanmark'!$F$3:$F$504,$A230,IF(E230=År1,'Resultater - Østdanmark'!H$3:H$504,IF(E230=År2,'Resultater - Østdanmark'!I$3:I$504,'Resultater - Østdanmark'!J$3:J$504)),"&gt;0"))</f>
        <v>346161.09873740864</v>
      </c>
      <c r="H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forbrug'!H$3,'Forbrug af biomasse'!$B$2:$B$425,$F230)</f>
        <v>0</v>
      </c>
      <c r="I230">
        <f>IF(F230="Vestdanmark",-IF(A230="Halm",SUMIFS(IF(E230=År1,'Resultater - Vestdanmark'!H$3:H$504,IF(E230=År2,'Resultater - Vestdanmark'!I$3:I$504,'Resultater - Vestdanmark'!J$3:J$504)),'Resultater - Vestdanmark'!$F$3:$F$504,$A230,'Resultater - Vestdanmark'!H$3:H$504,"&lt;0"),0),-IF(A230="Halm",SUMIFS(IF(E230=År1,'Resultater - Østdanmark'!H$3:H$504,IF(E230=År2,'Resultater - Østdanmark'!I$3:I$504,'Resultater - Østdanmark'!J$3:J$504)),'Resultater - Østdanmark'!$F$3:$F$504,$A230,'Resultater - Østdanmark'!H$3:H$504,"&lt;0"),0))</f>
        <v>0</v>
      </c>
      <c r="J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forbrug'!J$3,'Forbrug af biomasse'!$B$2:$B$425,$F230)</f>
        <v>0</v>
      </c>
      <c r="K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forbrug'!K$3,'Forbrug af biomasse'!$B$2:$B$425,$F230)</f>
        <v>0</v>
      </c>
      <c r="L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forbrug'!L$3,'Forbrug af biomasse'!$B$2:$B$425,$F230)</f>
        <v>0</v>
      </c>
      <c r="M230" s="94">
        <f>IF(A230&lt;&gt;"Biogas",SUMIFS('Forbrug af biomasse'!$E$2:$E$425,'Forbrug af biomasse'!$C$2:$C$425,'Resultat-Produktion &amp; forbrug'!$A230,'Forbrug af biomasse'!$D$2:$D$425,'Resultat-Produktion &amp; forbrug'!$E230,'Forbrug af biomasse'!$A$2:$A$425,'Resultat-Produktion &amp; forbrug'!M$3,'Forbrug af biomasse'!$B$2:$B$425,$F230),G230)</f>
        <v>0</v>
      </c>
      <c r="N230" s="94">
        <f>SUMIFS('Forbrug af biomasse'!E:E,'Forbrug af biomasse'!C:C,'Resultat-Produktion &amp; forbrug'!$A230,'Forbrug af biomasse'!D:D,'Resultat-Produktion &amp; forbrug'!$E230,'Forbrug af biomasse'!G:G,1,'Forbrug af biomasse'!B:B,$F230)</f>
        <v>0</v>
      </c>
      <c r="O230" s="179">
        <f t="shared" ca="1" si="69"/>
        <v>346161.09873740864</v>
      </c>
      <c r="P230" s="94">
        <f t="shared" si="65"/>
        <v>0</v>
      </c>
      <c r="Q230" s="180">
        <f t="shared" si="70"/>
        <v>0</v>
      </c>
      <c r="R230">
        <f>IFERROR(VLOOKUP(A230,[1]Energiindhold!$A$2:$C$11,3,FALSE),IFERROR(VLOOKUP(A230,[1]Biogasudbytte!$A$2:$B$18,2,FALSE)*[1]Energiindhold!$C$10,0))*P230</f>
        <v>0</v>
      </c>
      <c r="S230">
        <f>IF(A230&lt;&gt;"Biogas",IFERROR(VLOOKUP(A230,[1]Biogasudbytte!$A$2:$B$18,2,FALSE)*[1]Energiindhold!$C$10,0)*K230*IFERROR(VLOOKUP(A230,Biogasanlæg!$F$3:$G$8,2,FALSE),1)+IFERROR(VLOOKUP(A230,[1]Energiindhold!$A$2:$C$11,3,FALSE),0)*M230+IF(E230&lt;&gt;År1,R230,0),0)</f>
        <v>0</v>
      </c>
      <c r="T230">
        <f>IFERROR(VLOOKUP(A230,[1]Biogasudbytte!$A$2:$B$18,2,FALSE)*[1]Energiindhold!$C$10,0)*K230*IFERROR(VLOOKUP(A230,Biogasanlæg!$F$3:$G$8,2,FALSE),1)</f>
        <v>0</v>
      </c>
      <c r="U230" s="170">
        <f t="shared" si="71"/>
        <v>0</v>
      </c>
      <c r="V230" s="169">
        <f>P230*IFERROR(VLOOKUP(A230,[1]Tørstofindhold!A$2:B$24,2,FALSE),0)</f>
        <v>0</v>
      </c>
      <c r="W230">
        <f>IF(E230=År1,Q230,SUM(P230,Q230))*IFERROR(VLOOKUP(A230,[1]Tørstofindhold!A$2:B$24,2,FALSE),0)</f>
        <v>0</v>
      </c>
      <c r="X230">
        <f>K230*IFERROR(VLOOKUP(A230,[1]Tørstofindhold!A$2:B$24,2,FALSE),0)</f>
        <v>0</v>
      </c>
      <c r="Y230" s="170">
        <f t="shared" si="72"/>
        <v>0</v>
      </c>
      <c r="Z230">
        <f t="shared" ca="1" si="66"/>
        <v>0</v>
      </c>
      <c r="AA230">
        <f t="shared" ca="1" si="67"/>
        <v>1</v>
      </c>
      <c r="AB230" s="94">
        <f t="shared" ca="1" si="68"/>
        <v>346161.09873740864</v>
      </c>
      <c r="AC230">
        <f ca="1">AB230*D230*10000*VLOOKUP(A230,[1]kcal!$A$2:$C$49,3,FALSE)/1000000000000</f>
        <v>0</v>
      </c>
    </row>
    <row r="231" spans="1:29" x14ac:dyDescent="0.25">
      <c r="A231" s="171" t="str">
        <f t="shared" si="79"/>
        <v>Raps</v>
      </c>
      <c r="B231" s="171" t="str">
        <f t="shared" si="80"/>
        <v/>
      </c>
      <c r="C231" s="171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71">
        <f t="shared" si="61"/>
        <v>0</v>
      </c>
      <c r="E231" s="171">
        <f t="shared" si="64"/>
        <v>2030</v>
      </c>
      <c r="F231" t="s">
        <v>24</v>
      </c>
      <c r="G231" s="94">
        <f>IF(F231="Vestdanmark",SUMIFS(IF(E231=År1,'Resultater - Vestdanmark'!H$3:H$504,IF(E231=År2,'Resultater - Vestdanmark'!I$3:I$504,'Resultater - Vestdanmark'!J$3:J$504)),'Resultater - Vestdanmark'!$F$3:$F$504,$A231,IF(E231=År1,'Resultater - Vestdanmark'!H$3:H$504,IF(E231=År2,'Resultater - Vestdanmark'!I$3:I$504,'Resultater - Vestdanmark'!J$3:J$504)),"&gt;0"),SUMIFS(IF(E231=År1,'Resultater - Østdanmark'!H$3:H$504,IF(E231=År2,'Resultater - Østdanmark'!I$3:I$504,'Resultater - Østdanmark'!J$3:J$504)),'Resultater - Østdanmark'!$F$3:$F$504,$A231,IF(E231=År1,'Resultater - Østdanmark'!H$3:H$504,IF(E231=År2,'Resultater - Østdanmark'!I$3:I$504,'Resultater - Østdanmark'!J$3:J$504)),"&gt;0"))</f>
        <v>197398.48186472419</v>
      </c>
      <c r="H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forbrug'!H$3,'Forbrug af biomasse'!$B$2:$B$425,$F231)</f>
        <v>0</v>
      </c>
      <c r="I231">
        <f>IF(F231="Vestdanmark",-IF(A231="Halm",SUMIFS(IF(E231=År1,'Resultater - Vestdanmark'!H$3:H$504,IF(E231=År2,'Resultater - Vestdanmark'!I$3:I$504,'Resultater - Vestdanmark'!J$3:J$504)),'Resultater - Vestdanmark'!$F$3:$F$504,$A231,'Resultater - Vestdanmark'!H$3:H$504,"&lt;0"),0),-IF(A231="Halm",SUMIFS(IF(E231=År1,'Resultater - Østdanmark'!H$3:H$504,IF(E231=År2,'Resultater - Østdanmark'!I$3:I$504,'Resultater - Østdanmark'!J$3:J$504)),'Resultater - Østdanmark'!$F$3:$F$504,$A231,'Resultater - Østdanmark'!H$3:H$504,"&lt;0"),0))</f>
        <v>0</v>
      </c>
      <c r="J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forbrug'!J$3,'Forbrug af biomasse'!$B$2:$B$425,$F231)</f>
        <v>0</v>
      </c>
      <c r="K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forbrug'!K$3,'Forbrug af biomasse'!$B$2:$B$425,$F231)</f>
        <v>0</v>
      </c>
      <c r="L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forbrug'!L$3,'Forbrug af biomasse'!$B$2:$B$425,$F231)</f>
        <v>0</v>
      </c>
      <c r="M231" s="94">
        <f>IF(A231&lt;&gt;"Biogas",SUMIFS('Forbrug af biomasse'!$E$2:$E$425,'Forbrug af biomasse'!$C$2:$C$425,'Resultat-Produktion &amp; forbrug'!$A231,'Forbrug af biomasse'!$D$2:$D$425,'Resultat-Produktion &amp; forbrug'!$E231,'Forbrug af biomasse'!$A$2:$A$425,'Resultat-Produktion &amp; forbrug'!M$3,'Forbrug af biomasse'!$B$2:$B$425,$F231),G231)</f>
        <v>0</v>
      </c>
      <c r="N231" s="94">
        <f>SUMIFS('Forbrug af biomasse'!E:E,'Forbrug af biomasse'!C:C,'Resultat-Produktion &amp; forbrug'!$A231,'Forbrug af biomasse'!D:D,'Resultat-Produktion &amp; forbrug'!$E231,'Forbrug af biomasse'!G:G,1,'Forbrug af biomasse'!B:B,$F231)</f>
        <v>197398.48186472419</v>
      </c>
      <c r="O231" s="179">
        <f t="shared" si="69"/>
        <v>0</v>
      </c>
      <c r="P231" s="94">
        <f t="shared" si="65"/>
        <v>0</v>
      </c>
      <c r="Q231" s="180">
        <f t="shared" si="70"/>
        <v>0</v>
      </c>
      <c r="R231">
        <f>IFERROR(VLOOKUP(A231,[1]Energiindhold!$A$2:$C$11,3,FALSE),IFERROR(VLOOKUP(A231,[1]Biogasudbytte!$A$2:$B$18,2,FALSE)*[1]Energiindhold!$C$10,0))*P231</f>
        <v>0</v>
      </c>
      <c r="S231">
        <f>IF(A231&lt;&gt;"Biogas",IFERROR(VLOOKUP(A231,[1]Biogasudbytte!$A$2:$B$18,2,FALSE)*[1]Energiindhold!$C$10,0)*K231*IFERROR(VLOOKUP(A231,Biogasanlæg!$F$3:$G$8,2,FALSE),1)+IFERROR(VLOOKUP(A231,[1]Energiindhold!$A$2:$C$11,3,FALSE),0)*M231+IF(E231&lt;&gt;År1,R231,0),0)</f>
        <v>0</v>
      </c>
      <c r="T231">
        <f>IFERROR(VLOOKUP(A231,[1]Biogasudbytte!$A$2:$B$18,2,FALSE)*[1]Energiindhold!$C$10,0)*K231*IFERROR(VLOOKUP(A231,Biogasanlæg!$F$3:$G$8,2,FALSE),1)</f>
        <v>0</v>
      </c>
      <c r="U231" s="170">
        <f t="shared" si="71"/>
        <v>0</v>
      </c>
      <c r="V231" s="169">
        <f>P231*IFERROR(VLOOKUP(A231,[1]Tørstofindhold!A$2:B$24,2,FALSE),0)</f>
        <v>0</v>
      </c>
      <c r="W231">
        <f>IF(E231=År1,Q231,SUM(P231,Q231))*IFERROR(VLOOKUP(A231,[1]Tørstofindhold!A$2:B$24,2,FALSE),0)</f>
        <v>0</v>
      </c>
      <c r="X231">
        <f>K231*IFERROR(VLOOKUP(A231,[1]Tørstofindhold!A$2:B$24,2,FALSE),0)</f>
        <v>0</v>
      </c>
      <c r="Y231" s="170">
        <f t="shared" si="72"/>
        <v>0</v>
      </c>
      <c r="Z231">
        <f t="shared" si="66"/>
        <v>0</v>
      </c>
      <c r="AA231">
        <f t="shared" si="67"/>
        <v>0</v>
      </c>
      <c r="AB231" s="94">
        <f t="shared" si="68"/>
        <v>197398.48186472419</v>
      </c>
      <c r="AC231">
        <f>AB231*D231*10000*VLOOKUP(A231,[1]kcal!$A$2:$C$49,3,FALSE)/1000000000000</f>
        <v>0</v>
      </c>
    </row>
    <row r="232" spans="1:29" x14ac:dyDescent="0.25">
      <c r="A232" s="171" t="str">
        <f t="shared" si="79"/>
        <v>Rapskage</v>
      </c>
      <c r="B232" s="171" t="str">
        <f t="shared" si="80"/>
        <v/>
      </c>
      <c r="C232" s="171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0</v>
      </c>
      <c r="D232" s="171">
        <f t="shared" si="61"/>
        <v>0</v>
      </c>
      <c r="E232" s="171">
        <f t="shared" si="64"/>
        <v>2030</v>
      </c>
      <c r="F232" t="s">
        <v>24</v>
      </c>
      <c r="G232" s="94">
        <f>IF(F232="Vestdanmark",SUMIFS(IF(E232=År1,'Resultater - Vestdanmark'!H$3:H$504,IF(E232=År2,'Resultater - Vestdanmark'!I$3:I$504,'Resultater - Vestdanmark'!J$3:J$504)),'Resultater - Vestdanmark'!$F$3:$F$504,$A232,IF(E232=År1,'Resultater - Vestdanmark'!H$3:H$504,IF(E232=År2,'Resultater - Vestdanmark'!I$3:I$504,'Resultater - Vestdanmark'!J$3:J$504)),"&gt;0"),SUMIFS(IF(E232=År1,'Resultater - Østdanmark'!H$3:H$504,IF(E232=År2,'Resultater - Østdanmark'!I$3:I$504,'Resultater - Østdanmark'!J$3:J$504)),'Resultater - Østdanmark'!$F$3:$F$504,$A232,IF(E232=År1,'Resultater - Østdanmark'!H$3:H$504,IF(E232=År2,'Resultater - Østdanmark'!I$3:I$504,'Resultater - Østdanmark'!J$3:J$504)),"&gt;0"))</f>
        <v>98699.240932362096</v>
      </c>
      <c r="H232" s="94">
        <f ca="1">SUMIFS('Forbrug af biomasse'!$E$2:$E$425,'Forbrug af biomasse'!$C$2:$C$425,'Resultat-Produktion &amp; forbrug'!$A232,'Forbrug af biomasse'!$D$2:$D$425,'Resultat-Produktion &amp; forbrug'!$E232,'Forbrug af biomasse'!$A$2:$A$425,'Resultat-Produktion &amp; forbrug'!H$3,'Forbrug af biomasse'!$B$2:$B$425,$F232)</f>
        <v>25514.0464210887</v>
      </c>
      <c r="I232">
        <f>IF(F232="Vestdanmark",-IF(A232="Halm",SUMIFS(IF(E232=År1,'Resultater - Vestdanmark'!H$3:H$504,IF(E232=År2,'Resultater - Vestdanmark'!I$3:I$504,'Resultater - Vestdanmark'!J$3:J$504)),'Resultater - Vestdanmark'!$F$3:$F$504,$A232,'Resultater - Vestdanmark'!H$3:H$504,"&lt;0"),0),-IF(A232="Halm",SUMIFS(IF(E232=År1,'Resultater - Østdanmark'!H$3:H$504,IF(E232=År2,'Resultater - Østdanmark'!I$3:I$504,'Resultater - Østdanmark'!J$3:J$504)),'Resultater - Østdanmark'!$F$3:$F$504,$A232,'Resultater - Østdanmark'!H$3:H$504,"&lt;0"),0))</f>
        <v>0</v>
      </c>
      <c r="J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forbrug'!J$3,'Forbrug af biomasse'!$B$2:$B$425,$F232)</f>
        <v>0</v>
      </c>
      <c r="K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forbrug'!K$3,'Forbrug af biomasse'!$B$2:$B$425,$F232)</f>
        <v>0</v>
      </c>
      <c r="L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forbrug'!L$3,'Forbrug af biomasse'!$B$2:$B$425,$F232)</f>
        <v>0</v>
      </c>
      <c r="M232" s="94">
        <f>IF(A232&lt;&gt;"Biogas",SUMIFS('Forbrug af biomasse'!$E$2:$E$425,'Forbrug af biomasse'!$C$2:$C$425,'Resultat-Produktion &amp; forbrug'!$A232,'Forbrug af biomasse'!$D$2:$D$425,'Resultat-Produktion &amp; forbrug'!$E232,'Forbrug af biomasse'!$A$2:$A$425,'Resultat-Produktion &amp; forbrug'!M$3,'Forbrug af biomasse'!$B$2:$B$425,$F232),G232)</f>
        <v>0</v>
      </c>
      <c r="N232" s="94">
        <f>SUMIFS('Forbrug af biomasse'!E:E,'Forbrug af biomasse'!C:C,'Resultat-Produktion &amp; forbrug'!$A232,'Forbrug af biomasse'!D:D,'Resultat-Produktion &amp; forbrug'!$E232,'Forbrug af biomasse'!G:G,1,'Forbrug af biomasse'!B:B,$F232)</f>
        <v>0</v>
      </c>
      <c r="O232" s="179">
        <f t="shared" ca="1" si="69"/>
        <v>73185.194511273396</v>
      </c>
      <c r="P232" s="94">
        <f t="shared" si="65"/>
        <v>0</v>
      </c>
      <c r="Q232" s="180">
        <f t="shared" si="70"/>
        <v>0</v>
      </c>
      <c r="R232">
        <f>IFERROR(VLOOKUP(A232,[1]Energiindhold!$A$2:$C$11,3,FALSE),IFERROR(VLOOKUP(A232,[1]Biogasudbytte!$A$2:$B$18,2,FALSE)*[1]Energiindhold!$C$10,0))*P232</f>
        <v>0</v>
      </c>
      <c r="S232">
        <f>IF(A232&lt;&gt;"Biogas",IFERROR(VLOOKUP(A232,[1]Biogasudbytte!$A$2:$B$18,2,FALSE)*[1]Energiindhold!$C$10,0)*K232*IFERROR(VLOOKUP(A232,Biogasanlæg!$F$3:$G$8,2,FALSE),1)+IFERROR(VLOOKUP(A232,[1]Energiindhold!$A$2:$C$11,3,FALSE),0)*M232+IF(E232&lt;&gt;År1,R232,0),0)</f>
        <v>0</v>
      </c>
      <c r="T232">
        <f>IFERROR(VLOOKUP(A232,[1]Biogasudbytte!$A$2:$B$18,2,FALSE)*[1]Energiindhold!$C$10,0)*K232*IFERROR(VLOOKUP(A232,Biogasanlæg!$F$3:$G$8,2,FALSE),1)</f>
        <v>0</v>
      </c>
      <c r="U232" s="170">
        <f t="shared" si="71"/>
        <v>0</v>
      </c>
      <c r="V232" s="169">
        <f>P232*IFERROR(VLOOKUP(A232,[1]Tørstofindhold!A$2:B$24,2,FALSE),0)</f>
        <v>0</v>
      </c>
      <c r="W232">
        <f>IF(E232=År1,Q232,SUM(P232,Q232))*IFERROR(VLOOKUP(A232,[1]Tørstofindhold!A$2:B$24,2,FALSE),0)</f>
        <v>0</v>
      </c>
      <c r="X232">
        <f>K232*IFERROR(VLOOKUP(A232,[1]Tørstofindhold!A$2:B$24,2,FALSE),0)</f>
        <v>0</v>
      </c>
      <c r="Y232" s="170">
        <f t="shared" si="72"/>
        <v>0</v>
      </c>
      <c r="Z232">
        <f t="shared" ca="1" si="66"/>
        <v>0</v>
      </c>
      <c r="AA232">
        <f t="shared" ca="1" si="67"/>
        <v>1</v>
      </c>
      <c r="AB232" s="94">
        <f t="shared" ca="1" si="68"/>
        <v>73185.194511273396</v>
      </c>
      <c r="AC232">
        <f ca="1">AB232*D232*10000*VLOOKUP(A232,[1]kcal!$A$2:$C$49,3,FALSE)/1000000000000</f>
        <v>0</v>
      </c>
    </row>
    <row r="233" spans="1:29" x14ac:dyDescent="0.25">
      <c r="A233" s="171" t="str">
        <f t="shared" si="79"/>
        <v>Rapsolie</v>
      </c>
      <c r="B233" s="171" t="str">
        <f t="shared" si="80"/>
        <v>Rapsolie</v>
      </c>
      <c r="C233" s="171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71">
        <f t="shared" si="61"/>
        <v>1</v>
      </c>
      <c r="E233" s="171">
        <f t="shared" si="64"/>
        <v>2030</v>
      </c>
      <c r="F233" t="s">
        <v>24</v>
      </c>
      <c r="G233" s="94">
        <f>IF(F233="Vestdanmark",SUMIFS(IF(E233=År1,'Resultater - Vestdanmark'!H$3:H$504,IF(E233=År2,'Resultater - Vestdanmark'!I$3:I$504,'Resultater - Vestdanmark'!J$3:J$504)),'Resultater - Vestdanmark'!$F$3:$F$504,$A233,IF(E233=År1,'Resultater - Vestdanmark'!H$3:H$504,IF(E233=År2,'Resultater - Vestdanmark'!I$3:I$504,'Resultater - Vestdanmark'!J$3:J$504)),"&gt;0"),SUMIFS(IF(E233=År1,'Resultater - Østdanmark'!H$3:H$504,IF(E233=År2,'Resultater - Østdanmark'!I$3:I$504,'Resultater - Østdanmark'!J$3:J$504)),'Resultater - Østdanmark'!$F$3:$F$504,$A233,IF(E233=År1,'Resultater - Østdanmark'!H$3:H$504,IF(E233=År2,'Resultater - Østdanmark'!I$3:I$504,'Resultater - Østdanmark'!J$3:J$504)),"&gt;0"))</f>
        <v>63167.514196711745</v>
      </c>
      <c r="H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forbrug'!H$3,'Forbrug af biomasse'!$B$2:$B$425,$F233)</f>
        <v>0</v>
      </c>
      <c r="I233">
        <f>IF(F233="Vestdanmark",-IF(A233="Halm",SUMIFS(IF(E233=År1,'Resultater - Vestdanmark'!H$3:H$504,IF(E233=År2,'Resultater - Vestdanmark'!I$3:I$504,'Resultater - Vestdanmark'!J$3:J$504)),'Resultater - Vestdanmark'!$F$3:$F$504,$A233,'Resultater - Vestdanmark'!H$3:H$504,"&lt;0"),0),-IF(A233="Halm",SUMIFS(IF(E233=År1,'Resultater - Østdanmark'!H$3:H$504,IF(E233=År2,'Resultater - Østdanmark'!I$3:I$504,'Resultater - Østdanmark'!J$3:J$504)),'Resultater - Østdanmark'!$F$3:$F$504,$A233,'Resultater - Østdanmark'!H$3:H$504,"&lt;0"),0))</f>
        <v>0</v>
      </c>
      <c r="J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forbrug'!J$3,'Forbrug af biomasse'!$B$2:$B$425,$F233)</f>
        <v>0</v>
      </c>
      <c r="K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forbrug'!K$3,'Forbrug af biomasse'!$B$2:$B$425,$F233)</f>
        <v>0</v>
      </c>
      <c r="L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forbrug'!L$3,'Forbrug af biomasse'!$B$2:$B$425,$F233)</f>
        <v>0</v>
      </c>
      <c r="M233" s="94">
        <f>IF(A233&lt;&gt;"Biogas",SUMIFS('Forbrug af biomasse'!$E$2:$E$425,'Forbrug af biomasse'!$C$2:$C$425,'Resultat-Produktion &amp; forbrug'!$A233,'Forbrug af biomasse'!$D$2:$D$425,'Resultat-Produktion &amp; forbrug'!$E233,'Forbrug af biomasse'!$A$2:$A$425,'Resultat-Produktion &amp; forbrug'!M$3,'Forbrug af biomasse'!$B$2:$B$425,$F233),G233)</f>
        <v>63167.514196711745</v>
      </c>
      <c r="N233" s="94">
        <f>SUMIFS('Forbrug af biomasse'!E:E,'Forbrug af biomasse'!C:C,'Resultat-Produktion &amp; forbrug'!$A233,'Forbrug af biomasse'!D:D,'Resultat-Produktion &amp; forbrug'!$E233,'Forbrug af biomasse'!G:G,1,'Forbrug af biomasse'!B:B,$F233)</f>
        <v>0</v>
      </c>
      <c r="O233" s="179">
        <f t="shared" si="69"/>
        <v>0</v>
      </c>
      <c r="P233" s="94">
        <f t="shared" si="65"/>
        <v>0</v>
      </c>
      <c r="Q233" s="180">
        <f t="shared" si="70"/>
        <v>63167.514196711745</v>
      </c>
      <c r="R233">
        <f>IFERROR(VLOOKUP(A233,[1]Energiindhold!$A$2:$C$11,3,FALSE),IFERROR(VLOOKUP(A233,[1]Biogasudbytte!$A$2:$B$18,2,FALSE)*[1]Energiindhold!$C$10,0))*P233</f>
        <v>0</v>
      </c>
      <c r="S233">
        <f>IF(A233&lt;&gt;"Biogas",IFERROR(VLOOKUP(A233,[1]Biogasudbytte!$A$2:$B$18,2,FALSE)*[1]Energiindhold!$C$10,0)*K233*IFERROR(VLOOKUP(A233,Biogasanlæg!$F$3:$G$8,2,FALSE),1)+IFERROR(VLOOKUP(A233,[1]Energiindhold!$A$2:$C$11,3,FALSE),0)*M233+IF(E233&lt;&gt;År1,R233,0),0)</f>
        <v>2.2108629968849107</v>
      </c>
      <c r="T233">
        <f>IFERROR(VLOOKUP(A233,[1]Biogasudbytte!$A$2:$B$18,2,FALSE)*[1]Energiindhold!$C$10,0)*K233*IFERROR(VLOOKUP(A233,Biogasanlæg!$F$3:$G$8,2,FALSE),1)</f>
        <v>0</v>
      </c>
      <c r="U233" s="170">
        <f t="shared" si="71"/>
        <v>2.2108629968849107</v>
      </c>
      <c r="V233" s="169">
        <f>P233*IFERROR(VLOOKUP(A233,[1]Tørstofindhold!A$2:B$24,2,FALSE),0)</f>
        <v>0</v>
      </c>
      <c r="W233">
        <f>IF(E233=År1,Q233,SUM(P233,Q233))*IFERROR(VLOOKUP(A233,[1]Tørstofindhold!A$2:B$24,2,FALSE),0)</f>
        <v>0</v>
      </c>
      <c r="X233">
        <f>K233*IFERROR(VLOOKUP(A233,[1]Tørstofindhold!A$2:B$24,2,FALSE),0)</f>
        <v>0</v>
      </c>
      <c r="Y233" s="170">
        <f t="shared" si="72"/>
        <v>0</v>
      </c>
      <c r="Z233">
        <f t="shared" si="66"/>
        <v>0</v>
      </c>
      <c r="AA233">
        <f t="shared" si="67"/>
        <v>0</v>
      </c>
      <c r="AB233" s="94">
        <f t="shared" si="68"/>
        <v>63167.514196711745</v>
      </c>
      <c r="AC233">
        <f>AB233*D233*10000*VLOOKUP(A233,[1]kcal!$A$2:$C$49,3,FALSE)/1000000000000</f>
        <v>0.56850762777040564</v>
      </c>
    </row>
    <row r="234" spans="1:29" x14ac:dyDescent="0.25">
      <c r="A234" s="171" t="str">
        <f t="shared" si="79"/>
        <v>Roer</v>
      </c>
      <c r="B234" s="171" t="str">
        <f t="shared" si="80"/>
        <v>Græs og urter</v>
      </c>
      <c r="C234" s="171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1</v>
      </c>
      <c r="D234" s="171">
        <f t="shared" si="61"/>
        <v>1</v>
      </c>
      <c r="E234" s="171">
        <f t="shared" si="64"/>
        <v>2030</v>
      </c>
      <c r="F234" t="s">
        <v>24</v>
      </c>
      <c r="G234" s="94">
        <f>IF(F234="Vestdanmark",SUMIFS(IF(E234=År1,'Resultater - Vestdanmark'!H$3:H$504,IF(E234=År2,'Resultater - Vestdanmark'!I$3:I$504,'Resultater - Vestdanmark'!J$3:J$504)),'Resultater - Vestdanmark'!$F$3:$F$504,$A234,IF(E234=År1,'Resultater - Vestdanmark'!H$3:H$504,IF(E234=År2,'Resultater - Vestdanmark'!I$3:I$504,'Resultater - Vestdanmark'!J$3:J$504)),"&gt;0"),SUMIFS(IF(E234=År1,'Resultater - Østdanmark'!H$3:H$504,IF(E234=År2,'Resultater - Østdanmark'!I$3:I$504,'Resultater - Østdanmark'!J$3:J$504)),'Resultater - Østdanmark'!$F$3:$F$504,$A234,IF(E234=År1,'Resultater - Østdanmark'!H$3:H$504,IF(E234=År2,'Resultater - Østdanmark'!I$3:I$504,'Resultater - Østdanmark'!J$3:J$504)),"&gt;0"))</f>
        <v>2293231.7704404793</v>
      </c>
      <c r="H234" s="94">
        <f ca="1">SUMIFS('Forbrug af biomasse'!$E$2:$E$425,'Forbrug af biomasse'!$C$2:$C$425,'Resultat-Produktion &amp; forbrug'!$A234,'Forbrug af biomasse'!$D$2:$D$425,'Resultat-Produktion &amp; forbrug'!$E234,'Forbrug af biomasse'!$A$2:$A$425,'Resultat-Produktion &amp; forbrug'!H$3,'Forbrug af biomasse'!$B$2:$B$425,$F234)</f>
        <v>100241.37903515603</v>
      </c>
      <c r="I234">
        <f>IF(F234="Vestdanmark",-IF(A234="Halm",SUMIFS(IF(E234=År1,'Resultater - Vestdanmark'!H$3:H$504,IF(E234=År2,'Resultater - Vestdanmark'!I$3:I$504,'Resultater - Vestdanmark'!J$3:J$504)),'Resultater - Vestdanmark'!$F$3:$F$504,$A234,'Resultater - Vestdanmark'!H$3:H$504,"&lt;0"),0),-IF(A234="Halm",SUMIFS(IF(E234=År1,'Resultater - Østdanmark'!H$3:H$504,IF(E234=År2,'Resultater - Østdanmark'!I$3:I$504,'Resultater - Østdanmark'!J$3:J$504)),'Resultater - Østdanmark'!$F$3:$F$504,$A234,'Resultater - Østdanmark'!H$3:H$504,"&lt;0"),0))</f>
        <v>0</v>
      </c>
      <c r="J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forbrug'!J$3,'Forbrug af biomasse'!$B$2:$B$425,$F234)</f>
        <v>0</v>
      </c>
      <c r="K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forbrug'!K$3,'Forbrug af biomasse'!$B$2:$B$425,$F234)</f>
        <v>0</v>
      </c>
      <c r="L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forbrug'!L$3,'Forbrug af biomasse'!$B$2:$B$425,$F234)</f>
        <v>0</v>
      </c>
      <c r="M234" s="94">
        <f>IF(A234&lt;&gt;"Biogas",SUMIFS('Forbrug af biomasse'!$E$2:$E$425,'Forbrug af biomasse'!$C$2:$C$425,'Resultat-Produktion &amp; forbrug'!$A234,'Forbrug af biomasse'!$D$2:$D$425,'Resultat-Produktion &amp; forbrug'!$E234,'Forbrug af biomasse'!$A$2:$A$425,'Resultat-Produktion &amp; forbrug'!M$3,'Forbrug af biomasse'!$B$2:$B$425,$F234),G234)</f>
        <v>0</v>
      </c>
      <c r="N234" s="94">
        <f>SUMIFS('Forbrug af biomasse'!E:E,'Forbrug af biomasse'!C:C,'Resultat-Produktion &amp; forbrug'!$A234,'Forbrug af biomasse'!D:D,'Resultat-Produktion &amp; forbrug'!$E234,'Forbrug af biomasse'!G:G,1,'Forbrug af biomasse'!B:B,$F234)</f>
        <v>0</v>
      </c>
      <c r="O234" s="179">
        <f t="shared" ca="1" si="69"/>
        <v>2192990.3914053231</v>
      </c>
      <c r="P234" s="94">
        <f t="shared" ca="1" si="65"/>
        <v>1748807.7160654499</v>
      </c>
      <c r="Q234" s="180">
        <f t="shared" si="70"/>
        <v>0</v>
      </c>
      <c r="R234">
        <f ca="1">IFERROR(VLOOKUP(A234,[1]Energiindhold!$A$2:$C$11,3,FALSE),IFERROR(VLOOKUP(A234,[1]Biogasudbytte!$A$2:$B$18,2,FALSE)*[1]Energiindhold!$C$10,0))*P234</f>
        <v>4.7463340937102734</v>
      </c>
      <c r="S234">
        <f ca="1">IF(A234&lt;&gt;"Biogas",IFERROR(VLOOKUP(A234,[1]Biogasudbytte!$A$2:$B$18,2,FALSE)*[1]Energiindhold!$C$10,0)*K234*IFERROR(VLOOKUP(A234,Biogasanlæg!$F$3:$G$8,2,FALSE),1)+IFERROR(VLOOKUP(A234,[1]Energiindhold!$A$2:$C$11,3,FALSE),0)*M234+IF(E234&lt;&gt;År1,R234,0),0)</f>
        <v>4.7463340937102734</v>
      </c>
      <c r="T234">
        <f>IFERROR(VLOOKUP(A234,[1]Biogasudbytte!$A$2:$B$18,2,FALSE)*[1]Energiindhold!$C$10,0)*K234*IFERROR(VLOOKUP(A234,Biogasanlæg!$F$3:$G$8,2,FALSE),1)</f>
        <v>0</v>
      </c>
      <c r="U234" s="170">
        <f t="shared" ca="1" si="71"/>
        <v>4.7463340937102734</v>
      </c>
      <c r="V234" s="169">
        <f ca="1">P234*IFERROR(VLOOKUP(A234,[1]Tørstofindhold!A$2:B$24,2,FALSE),0)</f>
        <v>349761.54321308999</v>
      </c>
      <c r="W234">
        <f ca="1">IF(E234=År1,Q234,SUM(P234,Q234))*IFERROR(VLOOKUP(A234,[1]Tørstofindhold!A$2:B$24,2,FALSE),0)</f>
        <v>349761.54321308999</v>
      </c>
      <c r="X234">
        <f>K234*IFERROR(VLOOKUP(A234,[1]Tørstofindhold!A$2:B$24,2,FALSE),0)</f>
        <v>0</v>
      </c>
      <c r="Y234" s="170">
        <f t="shared" ca="1" si="72"/>
        <v>349761.54321308999</v>
      </c>
      <c r="Z234">
        <f t="shared" ca="1" si="66"/>
        <v>0</v>
      </c>
      <c r="AA234">
        <f t="shared" ca="1" si="67"/>
        <v>1</v>
      </c>
      <c r="AB234" s="94">
        <f t="shared" ca="1" si="68"/>
        <v>2192990.3914053231</v>
      </c>
      <c r="AC234">
        <f ca="1">AB234*D234*10000*VLOOKUP(A234,[1]kcal!$A$2:$C$49,3,FALSE)/1000000000000</f>
        <v>0.65789711742159696</v>
      </c>
    </row>
    <row r="235" spans="1:29" x14ac:dyDescent="0.25">
      <c r="A235" s="171" t="str">
        <f t="shared" si="79"/>
        <v>Slagteriaffald til andet</v>
      </c>
      <c r="B235" s="171" t="str">
        <f t="shared" si="80"/>
        <v/>
      </c>
      <c r="C235" s="171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71">
        <f t="shared" si="61"/>
        <v>0</v>
      </c>
      <c r="E235" s="171">
        <f t="shared" si="64"/>
        <v>2030</v>
      </c>
      <c r="F235" t="s">
        <v>24</v>
      </c>
      <c r="G235" s="94">
        <f ca="1">IF(F235="Vestdanmark",SUMIFS(IF(E235=År1,'Resultater - Vestdanmark'!H$3:H$504,IF(E235=År2,'Resultater - Vestdanmark'!I$3:I$504,'Resultater - Vestdanmark'!J$3:J$504)),'Resultater - Vestdanmark'!$F$3:$F$504,$A235,IF(E235=År1,'Resultater - Vestdanmark'!H$3:H$504,IF(E235=År2,'Resultater - Vestdanmark'!I$3:I$504,'Resultater - Vestdanmark'!J$3:J$504)),"&gt;0"),SUMIFS(IF(E235=År1,'Resultater - Østdanmark'!H$3:H$504,IF(E235=År2,'Resultater - Østdanmark'!I$3:I$504,'Resultater - Østdanmark'!J$3:J$504)),'Resultater - Østdanmark'!$F$3:$F$504,$A235,IF(E235=År1,'Resultater - Østdanmark'!H$3:H$504,IF(E235=År2,'Resultater - Østdanmark'!I$3:I$504,'Resultater - Østdanmark'!J$3:J$504)),"&gt;0"))</f>
        <v>21912.353272016309</v>
      </c>
      <c r="H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forbrug'!H$3,'Forbrug af biomasse'!$B$2:$B$425,$F235)</f>
        <v>0</v>
      </c>
      <c r="I235">
        <f>IF(F235="Vestdanmark",-IF(A235="Halm",SUMIFS(IF(E235=År1,'Resultater - Vestdanmark'!H$3:H$504,IF(E235=År2,'Resultater - Vestdanmark'!I$3:I$504,'Resultater - Vestdanmark'!J$3:J$504)),'Resultater - Vestdanmark'!$F$3:$F$504,$A235,'Resultater - Vestdanmark'!H$3:H$504,"&lt;0"),0),-IF(A235="Halm",SUMIFS(IF(E235=År1,'Resultater - Østdanmark'!H$3:H$504,IF(E235=År2,'Resultater - Østdanmark'!I$3:I$504,'Resultater - Østdanmark'!J$3:J$504)),'Resultater - Østdanmark'!$F$3:$F$504,$A235,'Resultater - Østdanmark'!H$3:H$504,"&lt;0"),0))</f>
        <v>0</v>
      </c>
      <c r="J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forbrug'!J$3,'Forbrug af biomasse'!$B$2:$B$425,$F235)</f>
        <v>0</v>
      </c>
      <c r="K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forbrug'!K$3,'Forbrug af biomasse'!$B$2:$B$425,$F235)</f>
        <v>0</v>
      </c>
      <c r="L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forbrug'!L$3,'Forbrug af biomasse'!$B$2:$B$425,$F235)</f>
        <v>0</v>
      </c>
      <c r="M235" s="94">
        <f>IF(A235&lt;&gt;"Biogas",SUMIFS('Forbrug af biomasse'!$E$2:$E$425,'Forbrug af biomasse'!$C$2:$C$425,'Resultat-Produktion &amp; forbrug'!$A235,'Forbrug af biomasse'!$D$2:$D$425,'Resultat-Produktion &amp; forbrug'!$E235,'Forbrug af biomasse'!$A$2:$A$425,'Resultat-Produktion &amp; forbrug'!M$3,'Forbrug af biomasse'!$B$2:$B$425,$F235),G235)</f>
        <v>0</v>
      </c>
      <c r="N235" s="94">
        <f>SUMIFS('Forbrug af biomasse'!E:E,'Forbrug af biomasse'!C:C,'Resultat-Produktion &amp; forbrug'!$A235,'Forbrug af biomasse'!D:D,'Resultat-Produktion &amp; forbrug'!$E235,'Forbrug af biomasse'!G:G,1,'Forbrug af biomasse'!B:B,$F235)</f>
        <v>0</v>
      </c>
      <c r="O235" s="179">
        <f t="shared" ca="1" si="69"/>
        <v>21912.353272016309</v>
      </c>
      <c r="P235" s="94">
        <f t="shared" si="65"/>
        <v>0</v>
      </c>
      <c r="Q235" s="180">
        <f t="shared" si="70"/>
        <v>0</v>
      </c>
      <c r="R235">
        <f>IFERROR(VLOOKUP(A235,[1]Energiindhold!$A$2:$C$11,3,FALSE),IFERROR(VLOOKUP(A235,[1]Biogasudbytte!$A$2:$B$18,2,FALSE)*[1]Energiindhold!$C$10,0))*P235</f>
        <v>0</v>
      </c>
      <c r="S235">
        <f>IF(A235&lt;&gt;"Biogas",IFERROR(VLOOKUP(A235,[1]Biogasudbytte!$A$2:$B$18,2,FALSE)*[1]Energiindhold!$C$10,0)*K235*IFERROR(VLOOKUP(A235,Biogasanlæg!$F$3:$G$8,2,FALSE),1)+IFERROR(VLOOKUP(A235,[1]Energiindhold!$A$2:$C$11,3,FALSE),0)*M235+IF(E235&lt;&gt;År1,R235,0),0)</f>
        <v>0</v>
      </c>
      <c r="T235">
        <f>IFERROR(VLOOKUP(A235,[1]Biogasudbytte!$A$2:$B$18,2,FALSE)*[1]Energiindhold!$C$10,0)*K235*IFERROR(VLOOKUP(A235,Biogasanlæg!$F$3:$G$8,2,FALSE),1)</f>
        <v>0</v>
      </c>
      <c r="U235" s="170">
        <f t="shared" si="71"/>
        <v>0</v>
      </c>
      <c r="V235" s="169">
        <f>P235*IFERROR(VLOOKUP(A235,[1]Tørstofindhold!A$2:B$24,2,FALSE),0)</f>
        <v>0</v>
      </c>
      <c r="W235">
        <f>IF(E235=År1,Q235,SUM(P235,Q235))*IFERROR(VLOOKUP(A235,[1]Tørstofindhold!A$2:B$24,2,FALSE),0)</f>
        <v>0</v>
      </c>
      <c r="X235">
        <f>K235*IFERROR(VLOOKUP(A235,[1]Tørstofindhold!A$2:B$24,2,FALSE),0)</f>
        <v>0</v>
      </c>
      <c r="Y235" s="170">
        <f t="shared" si="72"/>
        <v>0</v>
      </c>
      <c r="Z235">
        <f t="shared" ca="1" si="66"/>
        <v>0</v>
      </c>
      <c r="AA235">
        <f t="shared" ca="1" si="67"/>
        <v>1</v>
      </c>
      <c r="AB235" s="94">
        <f t="shared" ca="1" si="68"/>
        <v>21912.353272016309</v>
      </c>
      <c r="AC235">
        <f ca="1">AB235*D235*10000*VLOOKUP(A235,[1]kcal!$A$2:$C$49,3,FALSE)/1000000000000</f>
        <v>0</v>
      </c>
    </row>
    <row r="236" spans="1:29" x14ac:dyDescent="0.25">
      <c r="A236" s="171" t="str">
        <f t="shared" si="79"/>
        <v>Slagteriaffald til foder</v>
      </c>
      <c r="B236" s="171" t="str">
        <f t="shared" si="80"/>
        <v/>
      </c>
      <c r="C236" s="171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0</v>
      </c>
      <c r="D236" s="171">
        <f t="shared" si="61"/>
        <v>0</v>
      </c>
      <c r="E236" s="171">
        <f t="shared" si="64"/>
        <v>2030</v>
      </c>
      <c r="F236" t="s">
        <v>24</v>
      </c>
      <c r="G236" s="94">
        <f ca="1">IF(F236="Vestdanmark",SUMIFS(IF(E236=År1,'Resultater - Vestdanmark'!H$3:H$504,IF(E236=År2,'Resultater - Vestdanmark'!I$3:I$504,'Resultater - Vestdanmark'!J$3:J$504)),'Resultater - Vestdanmark'!$F$3:$F$504,$A236,IF(E236=År1,'Resultater - Vestdanmark'!H$3:H$504,IF(E236=År2,'Resultater - Vestdanmark'!I$3:I$504,'Resultater - Vestdanmark'!J$3:J$504)),"&gt;0"),SUMIFS(IF(E236=År1,'Resultater - Østdanmark'!H$3:H$504,IF(E236=År2,'Resultater - Østdanmark'!I$3:I$504,'Resultater - Østdanmark'!J$3:J$504)),'Resultater - Østdanmark'!$F$3:$F$504,$A236,IF(E236=År1,'Resultater - Østdanmark'!H$3:H$504,IF(E236=År2,'Resultater - Østdanmark'!I$3:I$504,'Resultater - Østdanmark'!J$3:J$504)),"&gt;0"))</f>
        <v>17658.552594451528</v>
      </c>
      <c r="H236" s="94">
        <f ca="1">SUMIFS('Forbrug af biomasse'!$E$2:$E$425,'Forbrug af biomasse'!$C$2:$C$425,'Resultat-Produktion &amp; forbrug'!$A236,'Forbrug af biomasse'!$D$2:$D$425,'Resultat-Produktion &amp; forbrug'!$E236,'Forbrug af biomasse'!$A$2:$A$425,'Resultat-Produktion &amp; forbrug'!H$3,'Forbrug af biomasse'!$B$2:$B$425,$F236)</f>
        <v>4697.1466214556613</v>
      </c>
      <c r="I236">
        <f>IF(F236="Vestdanmark",-IF(A236="Halm",SUMIFS(IF(E236=År1,'Resultater - Vestdanmark'!H$3:H$504,IF(E236=År2,'Resultater - Vestdanmark'!I$3:I$504,'Resultater - Vestdanmark'!J$3:J$504)),'Resultater - Vestdanmark'!$F$3:$F$504,$A236,'Resultater - Vestdanmark'!H$3:H$504,"&lt;0"),0),-IF(A236="Halm",SUMIFS(IF(E236=År1,'Resultater - Østdanmark'!H$3:H$504,IF(E236=År2,'Resultater - Østdanmark'!I$3:I$504,'Resultater - Østdanmark'!J$3:J$504)),'Resultater - Østdanmark'!$F$3:$F$504,$A236,'Resultater - Østdanmark'!H$3:H$504,"&lt;0"),0))</f>
        <v>0</v>
      </c>
      <c r="J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forbrug'!J$3,'Forbrug af biomasse'!$B$2:$B$425,$F236)</f>
        <v>0</v>
      </c>
      <c r="K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forbrug'!K$3,'Forbrug af biomasse'!$B$2:$B$425,$F236)</f>
        <v>0</v>
      </c>
      <c r="L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forbrug'!L$3,'Forbrug af biomasse'!$B$2:$B$425,$F236)</f>
        <v>0</v>
      </c>
      <c r="M236" s="94">
        <f>IF(A236&lt;&gt;"Biogas",SUMIFS('Forbrug af biomasse'!$E$2:$E$425,'Forbrug af biomasse'!$C$2:$C$425,'Resultat-Produktion &amp; forbrug'!$A236,'Forbrug af biomasse'!$D$2:$D$425,'Resultat-Produktion &amp; forbrug'!$E236,'Forbrug af biomasse'!$A$2:$A$425,'Resultat-Produktion &amp; forbrug'!M$3,'Forbrug af biomasse'!$B$2:$B$425,$F236),G236)</f>
        <v>0</v>
      </c>
      <c r="N236" s="94">
        <f>SUMIFS('Forbrug af biomasse'!E:E,'Forbrug af biomasse'!C:C,'Resultat-Produktion &amp; forbrug'!$A236,'Forbrug af biomasse'!D:D,'Resultat-Produktion &amp; forbrug'!$E236,'Forbrug af biomasse'!G:G,1,'Forbrug af biomasse'!B:B,$F236)</f>
        <v>0</v>
      </c>
      <c r="O236" s="179">
        <f t="shared" ca="1" si="69"/>
        <v>12961.405972995868</v>
      </c>
      <c r="P236" s="94">
        <f t="shared" si="65"/>
        <v>0</v>
      </c>
      <c r="Q236" s="180">
        <f t="shared" si="70"/>
        <v>0</v>
      </c>
      <c r="R236">
        <f>IFERROR(VLOOKUP(A236,[1]Energiindhold!$A$2:$C$11,3,FALSE),IFERROR(VLOOKUP(A236,[1]Biogasudbytte!$A$2:$B$18,2,FALSE)*[1]Energiindhold!$C$10,0))*P236</f>
        <v>0</v>
      </c>
      <c r="S236">
        <f>IF(A236&lt;&gt;"Biogas",IFERROR(VLOOKUP(A236,[1]Biogasudbytte!$A$2:$B$18,2,FALSE)*[1]Energiindhold!$C$10,0)*K236*IFERROR(VLOOKUP(A236,Biogasanlæg!$F$3:$G$8,2,FALSE),1)+IFERROR(VLOOKUP(A236,[1]Energiindhold!$A$2:$C$11,3,FALSE),0)*M236+IF(E236&lt;&gt;År1,R236,0),0)</f>
        <v>0</v>
      </c>
      <c r="T236">
        <f>IFERROR(VLOOKUP(A236,[1]Biogasudbytte!$A$2:$B$18,2,FALSE)*[1]Energiindhold!$C$10,0)*K236*IFERROR(VLOOKUP(A236,Biogasanlæg!$F$3:$G$8,2,FALSE),1)</f>
        <v>0</v>
      </c>
      <c r="U236" s="170">
        <f t="shared" si="71"/>
        <v>0</v>
      </c>
      <c r="V236" s="169">
        <f>P236*IFERROR(VLOOKUP(A236,[1]Tørstofindhold!A$2:B$24,2,FALSE),0)</f>
        <v>0</v>
      </c>
      <c r="W236">
        <f>IF(E236=År1,Q236,SUM(P236,Q236))*IFERROR(VLOOKUP(A236,[1]Tørstofindhold!A$2:B$24,2,FALSE),0)</f>
        <v>0</v>
      </c>
      <c r="X236">
        <f>K236*IFERROR(VLOOKUP(A236,[1]Tørstofindhold!A$2:B$24,2,FALSE),0)</f>
        <v>0</v>
      </c>
      <c r="Y236" s="170">
        <f t="shared" si="72"/>
        <v>0</v>
      </c>
      <c r="Z236">
        <f t="shared" ca="1" si="66"/>
        <v>0</v>
      </c>
      <c r="AA236">
        <f t="shared" ca="1" si="67"/>
        <v>1</v>
      </c>
      <c r="AB236" s="94">
        <f t="shared" ca="1" si="68"/>
        <v>12961.405972995868</v>
      </c>
      <c r="AC236">
        <f ca="1">AB236*D236*10000*VLOOKUP(A236,[1]kcal!$A$2:$C$49,3,FALSE)/1000000000000</f>
        <v>0</v>
      </c>
    </row>
    <row r="237" spans="1:29" x14ac:dyDescent="0.25">
      <c r="A237" s="171" t="str">
        <f t="shared" si="79"/>
        <v>Spildevandsslam</v>
      </c>
      <c r="B237" s="171" t="str">
        <f t="shared" si="80"/>
        <v>Bionedbrydeligt affald</v>
      </c>
      <c r="C237" s="171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71">
        <f t="shared" si="61"/>
        <v>0</v>
      </c>
      <c r="E237" s="171">
        <f t="shared" si="64"/>
        <v>2030</v>
      </c>
      <c r="F237" t="s">
        <v>24</v>
      </c>
      <c r="G237" s="94">
        <f ca="1">IF(F237="Vestdanmark",SUMIFS(IF(E237=År1,'Resultater - Vestdanmark'!H$3:H$504,IF(E237=År2,'Resultater - Vestdanmark'!I$3:I$504,'Resultater - Vestdanmark'!J$3:J$504)),'Resultater - Vestdanmark'!$F$3:$F$504,$A237,IF(E237=År1,'Resultater - Vestdanmark'!H$3:H$504,IF(E237=År2,'Resultater - Vestdanmark'!I$3:I$504,'Resultater - Vestdanmark'!J$3:J$504)),"&gt;0"),SUMIFS(IF(E237=År1,'Resultater - Østdanmark'!H$3:H$504,IF(E237=År2,'Resultater - Østdanmark'!I$3:I$504,'Resultater - Østdanmark'!J$3:J$504)),'Resultater - Østdanmark'!$F$3:$F$504,$A237,IF(E237=År1,'Resultater - Østdanmark'!H$3:H$504,IF(E237=År2,'Resultater - Østdanmark'!I$3:I$504,'Resultater - Østdanmark'!J$3:J$504)),"&gt;0"))</f>
        <v>3344054.0907642334</v>
      </c>
      <c r="H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forbrug'!H$3,'Forbrug af biomasse'!$B$2:$B$425,$F237)</f>
        <v>0</v>
      </c>
      <c r="I237">
        <f>IF(F237="Vestdanmark",-IF(A237="Halm",SUMIFS(IF(E237=År1,'Resultater - Vestdanmark'!H$3:H$504,IF(E237=År2,'Resultater - Vestdanmark'!I$3:I$504,'Resultater - Vestdanmark'!J$3:J$504)),'Resultater - Vestdanmark'!$F$3:$F$504,$A237,'Resultater - Vestdanmark'!H$3:H$504,"&lt;0"),0),-IF(A237="Halm",SUMIFS(IF(E237=År1,'Resultater - Østdanmark'!H$3:H$504,IF(E237=År2,'Resultater - Østdanmark'!I$3:I$504,'Resultater - Østdanmark'!J$3:J$504)),'Resultater - Østdanmark'!$F$3:$F$504,$A237,'Resultater - Østdanmark'!H$3:H$504,"&lt;0"),0))</f>
        <v>0</v>
      </c>
      <c r="J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forbrug'!J$3,'Forbrug af biomasse'!$B$2:$B$425,$F237)</f>
        <v>0</v>
      </c>
      <c r="K237" s="94">
        <f ca="1">SUMIFS('Forbrug af biomasse'!$E$2:$E$425,'Forbrug af biomasse'!$C$2:$C$425,'Resultat-Produktion &amp; forbrug'!$A237,'Forbrug af biomasse'!$D$2:$D$425,'Resultat-Produktion &amp; forbrug'!$E237,'Forbrug af biomasse'!$A$2:$A$425,'Resultat-Produktion &amp; forbrug'!K$3,'Forbrug af biomasse'!$B$2:$B$425,$F237)</f>
        <v>2508040.5680731749</v>
      </c>
      <c r="L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forbrug'!L$3,'Forbrug af biomasse'!$B$2:$B$425,$F237)</f>
        <v>0</v>
      </c>
      <c r="M237" s="94">
        <f>IF(A237&lt;&gt;"Biogas",SUMIFS('Forbrug af biomasse'!$E$2:$E$425,'Forbrug af biomasse'!$C$2:$C$425,'Resultat-Produktion &amp; forbrug'!$A237,'Forbrug af biomasse'!$D$2:$D$425,'Resultat-Produktion &amp; forbrug'!$E237,'Forbrug af biomasse'!$A$2:$A$425,'Resultat-Produktion &amp; forbrug'!M$3,'Forbrug af biomasse'!$B$2:$B$425,$F237),G237)</f>
        <v>0</v>
      </c>
      <c r="N237" s="94">
        <f>SUMIFS('Forbrug af biomasse'!E:E,'Forbrug af biomasse'!C:C,'Resultat-Produktion &amp; forbrug'!$A237,'Forbrug af biomasse'!D:D,'Resultat-Produktion &amp; forbrug'!$E237,'Forbrug af biomasse'!G:G,1,'Forbrug af biomasse'!B:B,$F237)</f>
        <v>0</v>
      </c>
      <c r="O237" s="179">
        <f t="shared" ca="1" si="69"/>
        <v>836013.52269105846</v>
      </c>
      <c r="P237" s="94">
        <f t="shared" ca="1" si="65"/>
        <v>836013.52269105846</v>
      </c>
      <c r="Q237" s="180">
        <f t="shared" ca="1" si="70"/>
        <v>2508040.5680731749</v>
      </c>
      <c r="R237">
        <f ca="1">IFERROR(VLOOKUP(A237,[1]Energiindhold!$A$2:$C$11,3,FALSE),IFERROR(VLOOKUP(A237,[1]Biogasudbytte!$A$2:$B$18,2,FALSE)*[1]Energiindhold!$C$10,0))*P237</f>
        <v>0.41717910795806512</v>
      </c>
      <c r="S237">
        <f ca="1">IF(A237&lt;&gt;"Biogas",IFERROR(VLOOKUP(A237,[1]Biogasudbytte!$A$2:$B$18,2,FALSE)*[1]Energiindhold!$C$10,0)*K237*IFERROR(VLOOKUP(A237,Biogasanlæg!$F$3:$G$8,2,FALSE),1)+IFERROR(VLOOKUP(A237,[1]Energiindhold!$A$2:$C$11,3,FALSE),0)*M237+IF(E237&lt;&gt;År1,R237,0),0)</f>
        <v>1.6687164318322603</v>
      </c>
      <c r="T237">
        <f ca="1">IFERROR(VLOOKUP(A237,[1]Biogasudbytte!$A$2:$B$18,2,FALSE)*[1]Energiindhold!$C$10,0)*K237*IFERROR(VLOOKUP(A237,Biogasanlæg!$F$3:$G$8,2,FALSE),1)</f>
        <v>1.2515373238741951</v>
      </c>
      <c r="U237" s="170">
        <f t="shared" ca="1" si="71"/>
        <v>0.41717910795806512</v>
      </c>
      <c r="V237" s="169">
        <f ca="1">P237*IFERROR(VLOOKUP(A237,[1]Tørstofindhold!A$2:B$24,2,FALSE),0)</f>
        <v>50160.811361463508</v>
      </c>
      <c r="W237">
        <f ca="1">IF(E237=År1,Q237,SUM(P237,Q237))*IFERROR(VLOOKUP(A237,[1]Tørstofindhold!A$2:B$24,2,FALSE),0)</f>
        <v>200643.245445854</v>
      </c>
      <c r="X237">
        <f ca="1">K237*IFERROR(VLOOKUP(A237,[1]Tørstofindhold!A$2:B$24,2,FALSE),0)</f>
        <v>150482.43408439049</v>
      </c>
      <c r="Y237" s="170">
        <f t="shared" ca="1" si="72"/>
        <v>50160.811361463508</v>
      </c>
      <c r="Z237">
        <f t="shared" ca="1" si="66"/>
        <v>0</v>
      </c>
      <c r="AA237">
        <f t="shared" ca="1" si="67"/>
        <v>1</v>
      </c>
      <c r="AB237" s="94">
        <f t="shared" ca="1" si="68"/>
        <v>836013.52269105846</v>
      </c>
      <c r="AC237">
        <f ca="1">AB237*D237*10000*VLOOKUP(A237,[1]kcal!$A$2:$C$49,3,FALSE)/1000000000000</f>
        <v>0</v>
      </c>
    </row>
    <row r="238" spans="1:29" x14ac:dyDescent="0.25">
      <c r="A238" s="171" t="str">
        <f t="shared" si="79"/>
        <v>Svinegylle</v>
      </c>
      <c r="B238" s="171" t="str">
        <f t="shared" si="80"/>
        <v>Husdyrgødning</v>
      </c>
      <c r="C238" s="171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1</v>
      </c>
      <c r="D238" s="171">
        <f t="shared" si="61"/>
        <v>0</v>
      </c>
      <c r="E238" s="171">
        <f t="shared" si="64"/>
        <v>2030</v>
      </c>
      <c r="F238" t="s">
        <v>24</v>
      </c>
      <c r="G238" s="94">
        <f>IF(F238="Vestdanmark",SUMIFS(IF(E238=År1,'Resultater - Vestdanmark'!H$3:H$504,IF(E238=År2,'Resultater - Vestdanmark'!I$3:I$504,'Resultater - Vestdanmark'!J$3:J$504)),'Resultater - Vestdanmark'!$F$3:$F$504,$A238,IF(E238=År1,'Resultater - Vestdanmark'!H$3:H$504,IF(E238=År2,'Resultater - Vestdanmark'!I$3:I$504,'Resultater - Vestdanmark'!J$3:J$504)),"&gt;0"),SUMIFS(IF(E238=År1,'Resultater - Østdanmark'!H$3:H$504,IF(E238=År2,'Resultater - Østdanmark'!I$3:I$504,'Resultater - Østdanmark'!J$3:J$504)),'Resultater - Østdanmark'!$F$3:$F$504,$A238,IF(E238=År1,'Resultater - Østdanmark'!H$3:H$504,IF(E238=År2,'Resultater - Østdanmark'!I$3:I$504,'Resultater - Østdanmark'!J$3:J$504)),"&gt;0"))</f>
        <v>2106792.4244348742</v>
      </c>
      <c r="H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forbrug'!H$3,'Forbrug af biomasse'!$B$2:$B$425,$F238)</f>
        <v>0</v>
      </c>
      <c r="I238">
        <f>IF(F238="Vestdanmark",-IF(A238="Halm",SUMIFS(IF(E238=År1,'Resultater - Vestdanmark'!H$3:H$504,IF(E238=År2,'Resultater - Vestdanmark'!I$3:I$504,'Resultater - Vestdanmark'!J$3:J$504)),'Resultater - Vestdanmark'!$F$3:$F$504,$A238,'Resultater - Vestdanmark'!H$3:H$504,"&lt;0"),0),-IF(A238="Halm",SUMIFS(IF(E238=År1,'Resultater - Østdanmark'!H$3:H$504,IF(E238=År2,'Resultater - Østdanmark'!I$3:I$504,'Resultater - Østdanmark'!J$3:J$504)),'Resultater - Østdanmark'!$F$3:$F$504,$A238,'Resultater - Østdanmark'!H$3:H$504,"&lt;0"),0))</f>
        <v>0</v>
      </c>
      <c r="J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forbrug'!J$3,'Forbrug af biomasse'!$B$2:$B$425,$F238)</f>
        <v>0</v>
      </c>
      <c r="K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forbrug'!K$3,'Forbrug af biomasse'!$B$2:$B$425,$F238)</f>
        <v>1580094.3183261557</v>
      </c>
      <c r="L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forbrug'!L$3,'Forbrug af biomasse'!$B$2:$B$425,$F238)</f>
        <v>526698.10610871855</v>
      </c>
      <c r="M238" s="94">
        <f>IF(A238&lt;&gt;"Biogas",SUMIFS('Forbrug af biomasse'!$E$2:$E$425,'Forbrug af biomasse'!$C$2:$C$425,'Resultat-Produktion &amp; forbrug'!$A238,'Forbrug af biomasse'!$D$2:$D$425,'Resultat-Produktion &amp; forbrug'!$E238,'Forbrug af biomasse'!$A$2:$A$425,'Resultat-Produktion &amp; forbrug'!M$3,'Forbrug af biomasse'!$B$2:$B$425,$F238),G238)</f>
        <v>0</v>
      </c>
      <c r="N238" s="94">
        <f>SUMIFS('Forbrug af biomasse'!E:E,'Forbrug af biomasse'!C:C,'Resultat-Produktion &amp; forbrug'!$A238,'Forbrug af biomasse'!D:D,'Resultat-Produktion &amp; forbrug'!$E238,'Forbrug af biomasse'!G:G,1,'Forbrug af biomasse'!B:B,$F238)</f>
        <v>0</v>
      </c>
      <c r="O238" s="179">
        <f t="shared" si="69"/>
        <v>0</v>
      </c>
      <c r="P238" s="94">
        <f t="shared" si="65"/>
        <v>0</v>
      </c>
      <c r="Q238" s="180">
        <f t="shared" si="70"/>
        <v>1580094.3183261557</v>
      </c>
      <c r="R238">
        <f>IFERROR(VLOOKUP(A238,[1]Energiindhold!$A$2:$C$11,3,FALSE),IFERROR(VLOOKUP(A238,[1]Biogasudbytte!$A$2:$B$18,2,FALSE)*[1]Energiindhold!$C$10,0))*P238</f>
        <v>0</v>
      </c>
      <c r="S238">
        <f>IF(A238&lt;&gt;"Biogas",IFERROR(VLOOKUP(A238,[1]Biogasudbytte!$A$2:$B$18,2,FALSE)*[1]Energiindhold!$C$10,0)*K238*IFERROR(VLOOKUP(A238,Biogasanlæg!$F$3:$G$8,2,FALSE),1)+IFERROR(VLOOKUP(A238,[1]Energiindhold!$A$2:$C$11,3,FALSE),0)*M238+IF(E238&lt;&gt;År1,R238,0),0)</f>
        <v>0.68070463233490797</v>
      </c>
      <c r="T238">
        <f>IFERROR(VLOOKUP(A238,[1]Biogasudbytte!$A$2:$B$18,2,FALSE)*[1]Energiindhold!$C$10,0)*K238*IFERROR(VLOOKUP(A238,Biogasanlæg!$F$3:$G$8,2,FALSE),1)</f>
        <v>0.68070463233490797</v>
      </c>
      <c r="U238" s="170">
        <f t="shared" si="71"/>
        <v>0</v>
      </c>
      <c r="V238" s="169">
        <f>P238*IFERROR(VLOOKUP(A238,[1]Tørstofindhold!A$2:B$24,2,FALSE),0)</f>
        <v>0</v>
      </c>
      <c r="W238">
        <f>IF(E238=År1,Q238,SUM(P238,Q238))*IFERROR(VLOOKUP(A238,[1]Tørstofindhold!A$2:B$24,2,FALSE),0)</f>
        <v>79004.715916307789</v>
      </c>
      <c r="X238">
        <f>K238*IFERROR(VLOOKUP(A238,[1]Tørstofindhold!A$2:B$24,2,FALSE),0)</f>
        <v>79004.715916307789</v>
      </c>
      <c r="Y238" s="170">
        <f t="shared" si="72"/>
        <v>0</v>
      </c>
      <c r="Z238">
        <f t="shared" si="66"/>
        <v>0</v>
      </c>
      <c r="AA238">
        <f t="shared" si="67"/>
        <v>0</v>
      </c>
      <c r="AB238" s="94">
        <f t="shared" si="68"/>
        <v>0</v>
      </c>
      <c r="AC238">
        <f>AB238*D238*10000*VLOOKUP(A238,[1]kcal!$A$2:$C$49,3,FALSE)/1000000000000</f>
        <v>0</v>
      </c>
    </row>
    <row r="239" spans="1:29" x14ac:dyDescent="0.25">
      <c r="A239" s="171" t="str">
        <f t="shared" si="79"/>
        <v>Svinekød</v>
      </c>
      <c r="B239" s="171" t="str">
        <f t="shared" si="80"/>
        <v/>
      </c>
      <c r="C239" s="171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0</v>
      </c>
      <c r="D239" s="171">
        <f t="shared" si="61"/>
        <v>1</v>
      </c>
      <c r="E239" s="171">
        <f t="shared" si="64"/>
        <v>2030</v>
      </c>
      <c r="F239" t="s">
        <v>24</v>
      </c>
      <c r="G239" s="94">
        <f>IF(F239="Vestdanmark",SUMIFS(IF(E239=År1,'Resultater - Vestdanmark'!H$3:H$504,IF(E239=År2,'Resultater - Vestdanmark'!I$3:I$504,'Resultater - Vestdanmark'!J$3:J$504)),'Resultater - Vestdanmark'!$F$3:$F$504,$A239,IF(E239=År1,'Resultater - Vestdanmark'!H$3:H$504,IF(E239=År2,'Resultater - Vestdanmark'!I$3:I$504,'Resultater - Vestdanmark'!J$3:J$504)),"&gt;0"),SUMIFS(IF(E239=År1,'Resultater - Østdanmark'!H$3:H$504,IF(E239=År2,'Resultater - Østdanmark'!I$3:I$504,'Resultater - Østdanmark'!J$3:J$504)),'Resultater - Østdanmark'!$F$3:$F$504,$A239,IF(E239=År1,'Resultater - Østdanmark'!H$3:H$504,IF(E239=År2,'Resultater - Østdanmark'!I$3:I$504,'Resultater - Østdanmark'!J$3:J$504)),"&gt;0"))</f>
        <v>192585.04353697354</v>
      </c>
      <c r="H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forbrug'!H$3,'Forbrug af biomasse'!$B$2:$B$425,$F239)</f>
        <v>0</v>
      </c>
      <c r="I239">
        <f>IF(F239="Vestdanmark",-IF(A239="Halm",SUMIFS(IF(E239=År1,'Resultater - Vestdanmark'!H$3:H$504,IF(E239=År2,'Resultater - Vestdanmark'!I$3:I$504,'Resultater - Vestdanmark'!J$3:J$504)),'Resultater - Vestdanmark'!$F$3:$F$504,$A239,'Resultater - Vestdanmark'!H$3:H$504,"&lt;0"),0),-IF(A239="Halm",SUMIFS(IF(E239=År1,'Resultater - Østdanmark'!H$3:H$504,IF(E239=År2,'Resultater - Østdanmark'!I$3:I$504,'Resultater - Østdanmark'!J$3:J$504)),'Resultater - Østdanmark'!$F$3:$F$504,$A239,'Resultater - Østdanmark'!H$3:H$504,"&lt;0"),0))</f>
        <v>0</v>
      </c>
      <c r="J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forbrug'!J$3,'Forbrug af biomasse'!$B$2:$B$425,$F239)</f>
        <v>105526.43984954793</v>
      </c>
      <c r="K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forbrug'!K$3,'Forbrug af biomasse'!$B$2:$B$425,$F239)</f>
        <v>0</v>
      </c>
      <c r="L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forbrug'!L$3,'Forbrug af biomasse'!$B$2:$B$425,$F239)</f>
        <v>0</v>
      </c>
      <c r="M239" s="94">
        <f>IF(A239&lt;&gt;"Biogas",SUMIFS('Forbrug af biomasse'!$E$2:$E$425,'Forbrug af biomasse'!$C$2:$C$425,'Resultat-Produktion &amp; forbrug'!$A239,'Forbrug af biomasse'!$D$2:$D$425,'Resultat-Produktion &amp; forbrug'!$E239,'Forbrug af biomasse'!$A$2:$A$425,'Resultat-Produktion &amp; forbrug'!M$3,'Forbrug af biomasse'!$B$2:$B$425,$F239),G239)</f>
        <v>0</v>
      </c>
      <c r="N239" s="94">
        <f>SUMIFS('Forbrug af biomasse'!E:E,'Forbrug af biomasse'!C:C,'Resultat-Produktion &amp; forbrug'!$A239,'Forbrug af biomasse'!D:D,'Resultat-Produktion &amp; forbrug'!$E239,'Forbrug af biomasse'!G:G,1,'Forbrug af biomasse'!B:B,$F239)</f>
        <v>0</v>
      </c>
      <c r="O239" s="179">
        <f t="shared" si="69"/>
        <v>87058.60368742561</v>
      </c>
      <c r="P239" s="94">
        <f t="shared" si="65"/>
        <v>0</v>
      </c>
      <c r="Q239" s="180">
        <f t="shared" si="70"/>
        <v>0</v>
      </c>
      <c r="R239">
        <f>IFERROR(VLOOKUP(A239,[1]Energiindhold!$A$2:$C$11,3,FALSE),IFERROR(VLOOKUP(A239,[1]Biogasudbytte!$A$2:$B$18,2,FALSE)*[1]Energiindhold!$C$10,0))*P239</f>
        <v>0</v>
      </c>
      <c r="S239">
        <f>IF(A239&lt;&gt;"Biogas",IFERROR(VLOOKUP(A239,[1]Biogasudbytte!$A$2:$B$18,2,FALSE)*[1]Energiindhold!$C$10,0)*K239*IFERROR(VLOOKUP(A239,Biogasanlæg!$F$3:$G$8,2,FALSE),1)+IFERROR(VLOOKUP(A239,[1]Energiindhold!$A$2:$C$11,3,FALSE),0)*M239+IF(E239&lt;&gt;År1,R239,0),0)</f>
        <v>0</v>
      </c>
      <c r="T239">
        <f>IFERROR(VLOOKUP(A239,[1]Biogasudbytte!$A$2:$B$18,2,FALSE)*[1]Energiindhold!$C$10,0)*K239*IFERROR(VLOOKUP(A239,Biogasanlæg!$F$3:$G$8,2,FALSE),1)</f>
        <v>0</v>
      </c>
      <c r="U239" s="170">
        <f t="shared" si="71"/>
        <v>0</v>
      </c>
      <c r="V239" s="169">
        <f>P239*IFERROR(VLOOKUP(A239,[1]Tørstofindhold!A$2:B$24,2,FALSE),0)</f>
        <v>0</v>
      </c>
      <c r="W239">
        <f>IF(E239=År1,Q239,SUM(P239,Q239))*IFERROR(VLOOKUP(A239,[1]Tørstofindhold!A$2:B$24,2,FALSE),0)</f>
        <v>0</v>
      </c>
      <c r="X239">
        <f>K239*IFERROR(VLOOKUP(A239,[1]Tørstofindhold!A$2:B$24,2,FALSE),0)</f>
        <v>0</v>
      </c>
      <c r="Y239" s="170">
        <f t="shared" si="72"/>
        <v>0</v>
      </c>
      <c r="Z239">
        <f t="shared" si="66"/>
        <v>0</v>
      </c>
      <c r="AA239">
        <f t="shared" si="67"/>
        <v>1</v>
      </c>
      <c r="AB239" s="94">
        <f t="shared" si="68"/>
        <v>192585.04353697354</v>
      </c>
      <c r="AC239">
        <f>AB239*D239*10000*VLOOKUP(A239,[1]kcal!$A$2:$C$49,3,FALSE)/1000000000000</f>
        <v>0.37554083489709839</v>
      </c>
    </row>
    <row r="240" spans="1:29" x14ac:dyDescent="0.25">
      <c r="A240" s="171" t="str">
        <f t="shared" si="79"/>
        <v>Tang</v>
      </c>
      <c r="B240" s="171" t="str">
        <f t="shared" si="80"/>
        <v>Havbiomasse</v>
      </c>
      <c r="C240" s="171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71">
        <f t="shared" si="61"/>
        <v>1</v>
      </c>
      <c r="E240" s="171">
        <f t="shared" si="64"/>
        <v>2030</v>
      </c>
      <c r="F240" t="s">
        <v>24</v>
      </c>
      <c r="G240" s="94">
        <f>IF(F240="Vestdanmark",SUMIFS(IF(E240=År1,'Resultater - Vestdanmark'!H$3:H$504,IF(E240=År2,'Resultater - Vestdanmark'!I$3:I$504,'Resultater - Vestdanmark'!J$3:J$504)),'Resultater - Vestdanmark'!$F$3:$F$504,$A240,IF(E240=År1,'Resultater - Vestdanmark'!H$3:H$504,IF(E240=År2,'Resultater - Vestdanmark'!I$3:I$504,'Resultater - Vestdanmark'!J$3:J$504)),"&gt;0"),SUMIFS(IF(E240=År1,'Resultater - Østdanmark'!H$3:H$504,IF(E240=År2,'Resultater - Østdanmark'!I$3:I$504,'Resultater - Østdanmark'!J$3:J$504)),'Resultater - Østdanmark'!$F$3:$F$504,$A240,IF(E240=År1,'Resultater - Østdanmark'!H$3:H$504,IF(E240=År2,'Resultater - Østdanmark'!I$3:I$504,'Resultater - Østdanmark'!J$3:J$504)),"&gt;0"))</f>
        <v>0</v>
      </c>
      <c r="H240" s="94">
        <f ca="1">SUMIFS('Forbrug af biomasse'!$E$2:$E$425,'Forbrug af biomasse'!$C$2:$C$425,'Resultat-Produktion &amp; forbrug'!$A240,'Forbrug af biomasse'!$D$2:$D$425,'Resultat-Produktion &amp; forbrug'!$E240,'Forbrug af biomasse'!$A$2:$A$425,'Resultat-Produktion &amp; forbrug'!H$3,'Forbrug af biomasse'!$B$2:$B$425,$F240)</f>
        <v>0</v>
      </c>
      <c r="I240">
        <f>IF(F240="Vestdanmark",-IF(A240="Halm",SUMIFS(IF(E240=År1,'Resultater - Vestdanmark'!H$3:H$504,IF(E240=År2,'Resultater - Vestdanmark'!I$3:I$504,'Resultater - Vestdanmark'!J$3:J$504)),'Resultater - Vestdanmark'!$F$3:$F$504,$A240,'Resultater - Vestdanmark'!H$3:H$504,"&lt;0"),0),-IF(A240="Halm",SUMIFS(IF(E240=År1,'Resultater - Østdanmark'!H$3:H$504,IF(E240=År2,'Resultater - Østdanmark'!I$3:I$504,'Resultater - Østdanmark'!J$3:J$504)),'Resultater - Østdanmark'!$F$3:$F$504,$A240,'Resultater - Østdanmark'!H$3:H$504,"&lt;0"),0))</f>
        <v>0</v>
      </c>
      <c r="J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forbrug'!J$3,'Forbrug af biomasse'!$B$2:$B$425,$F240)</f>
        <v>0</v>
      </c>
      <c r="K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forbrug'!K$3,'Forbrug af biomasse'!$B$2:$B$425,$F240)</f>
        <v>0</v>
      </c>
      <c r="L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forbrug'!L$3,'Forbrug af biomasse'!$B$2:$B$425,$F240)</f>
        <v>0</v>
      </c>
      <c r="M240" s="94">
        <f>IF(A240&lt;&gt;"Biogas",SUMIFS('Forbrug af biomasse'!$E$2:$E$425,'Forbrug af biomasse'!$C$2:$C$425,'Resultat-Produktion &amp; forbrug'!$A240,'Forbrug af biomasse'!$D$2:$D$425,'Resultat-Produktion &amp; forbrug'!$E240,'Forbrug af biomasse'!$A$2:$A$425,'Resultat-Produktion &amp; forbrug'!M$3,'Forbrug af biomasse'!$B$2:$B$425,$F240),G240)</f>
        <v>0</v>
      </c>
      <c r="N240" s="94">
        <f>SUMIFS('Forbrug af biomasse'!E:E,'Forbrug af biomasse'!C:C,'Resultat-Produktion &amp; forbrug'!$A240,'Forbrug af biomasse'!D:D,'Resultat-Produktion &amp; forbrug'!$E240,'Forbrug af biomasse'!G:G,1,'Forbrug af biomasse'!B:B,$F240)</f>
        <v>0</v>
      </c>
      <c r="O240" s="179">
        <f t="shared" ca="1" si="69"/>
        <v>0</v>
      </c>
      <c r="P240" s="94">
        <f t="shared" ca="1" si="65"/>
        <v>0</v>
      </c>
      <c r="Q240" s="180">
        <f t="shared" si="70"/>
        <v>0</v>
      </c>
      <c r="R240">
        <f ca="1">IFERROR(VLOOKUP(A240,[1]Energiindhold!$A$2:$C$11,3,FALSE),IFERROR(VLOOKUP(A240,[1]Biogasudbytte!$A$2:$B$18,2,FALSE)*[1]Energiindhold!$C$10,0))*P240</f>
        <v>0</v>
      </c>
      <c r="S240">
        <f ca="1">IF(A240&lt;&gt;"Biogas",IFERROR(VLOOKUP(A240,[1]Biogasudbytte!$A$2:$B$18,2,FALSE)*[1]Energiindhold!$C$10,0)*K240*IFERROR(VLOOKUP(A240,Biogasanlæg!$F$3:$G$8,2,FALSE),1)+IFERROR(VLOOKUP(A240,[1]Energiindhold!$A$2:$C$11,3,FALSE),0)*M240+IF(E240&lt;&gt;År1,R240,0),0)</f>
        <v>0</v>
      </c>
      <c r="T240">
        <f>IFERROR(VLOOKUP(A240,[1]Biogasudbytte!$A$2:$B$18,2,FALSE)*[1]Energiindhold!$C$10,0)*K240*IFERROR(VLOOKUP(A240,Biogasanlæg!$F$3:$G$8,2,FALSE),1)</f>
        <v>0</v>
      </c>
      <c r="U240" s="170">
        <f t="shared" ca="1" si="71"/>
        <v>0</v>
      </c>
      <c r="V240" s="169">
        <f ca="1">P240*IFERROR(VLOOKUP(A240,[1]Tørstofindhold!A$2:B$24,2,FALSE),0)</f>
        <v>0</v>
      </c>
      <c r="W240">
        <f ca="1">IF(E240=År1,Q240,SUM(P240,Q240))*IFERROR(VLOOKUP(A240,[1]Tørstofindhold!A$2:B$24,2,FALSE),0)</f>
        <v>0</v>
      </c>
      <c r="X240">
        <f>K240*IFERROR(VLOOKUP(A240,[1]Tørstofindhold!A$2:B$24,2,FALSE),0)</f>
        <v>0</v>
      </c>
      <c r="Y240" s="170">
        <f t="shared" ca="1" si="72"/>
        <v>0</v>
      </c>
      <c r="Z240">
        <f t="shared" ca="1" si="66"/>
        <v>0</v>
      </c>
      <c r="AA240">
        <f t="shared" ca="1" si="67"/>
        <v>1</v>
      </c>
      <c r="AB240" s="94">
        <f t="shared" ca="1" si="68"/>
        <v>0</v>
      </c>
      <c r="AC240">
        <f ca="1">AB240*D240*10000*VLOOKUP(A240,[1]kcal!$A$2:$C$49,3,FALSE)/1000000000000</f>
        <v>0</v>
      </c>
    </row>
    <row r="241" spans="1:29" x14ac:dyDescent="0.25">
      <c r="A241" s="171" t="str">
        <f t="shared" si="79"/>
        <v>Total til biogas</v>
      </c>
      <c r="B241" s="171" t="str">
        <f t="shared" si="80"/>
        <v/>
      </c>
      <c r="C241" s="171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71">
        <f t="shared" si="61"/>
        <v>0</v>
      </c>
      <c r="E241" s="171">
        <f t="shared" si="64"/>
        <v>2030</v>
      </c>
      <c r="F241" t="s">
        <v>24</v>
      </c>
      <c r="G241" s="94">
        <f>IF(F241="Vestdanmark",SUMIFS(IF(E241=År1,'Resultater - Vestdanmark'!H$3:H$504,IF(E241=År2,'Resultater - Vestdanmark'!I$3:I$504,'Resultater - Vestdanmark'!J$3:J$504)),'Resultater - Vestdanmark'!$F$3:$F$504,$A241,IF(E241=År1,'Resultater - Vestdanmark'!H$3:H$504,IF(E241=År2,'Resultater - Vestdanmark'!I$3:I$504,'Resultater - Vestdanmark'!J$3:J$504)),"&gt;0"),SUMIFS(IF(E241=År1,'Resultater - Østdanmark'!H$3:H$504,IF(E241=År2,'Resultater - Østdanmark'!I$3:I$504,'Resultater - Østdanmark'!J$3:J$504)),'Resultater - Østdanmark'!$F$3:$F$504,$A241,IF(E241=År1,'Resultater - Østdanmark'!H$3:H$504,IF(E241=År2,'Resultater - Østdanmark'!I$3:I$504,'Resultater - Østdanmark'!J$3:J$504)),"&gt;0"))</f>
        <v>0</v>
      </c>
      <c r="H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forbrug'!H$3,'Forbrug af biomasse'!$B$2:$B$425,$F241)</f>
        <v>0</v>
      </c>
      <c r="I241">
        <f>IF(F241="Vestdanmark",-IF(A241="Halm",SUMIFS(IF(E241=År1,'Resultater - Vestdanmark'!H$3:H$504,IF(E241=År2,'Resultater - Vestdanmark'!I$3:I$504,'Resultater - Vestdanmark'!J$3:J$504)),'Resultater - Vestdanmark'!$F$3:$F$504,$A241,'Resultater - Vestdanmark'!H$3:H$504,"&lt;0"),0),-IF(A241="Halm",SUMIFS(IF(E241=År1,'Resultater - Østdanmark'!H$3:H$504,IF(E241=År2,'Resultater - Østdanmark'!I$3:I$504,'Resultater - Østdanmark'!J$3:J$504)),'Resultater - Østdanmark'!$F$3:$F$504,$A241,'Resultater - Østdanmark'!H$3:H$504,"&lt;0"),0))</f>
        <v>0</v>
      </c>
      <c r="J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forbrug'!J$3,'Forbrug af biomasse'!$B$2:$B$425,$F241)</f>
        <v>0</v>
      </c>
      <c r="K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forbrug'!K$3,'Forbrug af biomasse'!$B$2:$B$425,$F241)</f>
        <v>0</v>
      </c>
      <c r="L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forbrug'!L$3,'Forbrug af biomasse'!$B$2:$B$425,$F241)</f>
        <v>0</v>
      </c>
      <c r="M241" s="94">
        <f>IF(A241&lt;&gt;"Biogas",SUMIFS('Forbrug af biomasse'!$E$2:$E$425,'Forbrug af biomasse'!$C$2:$C$425,'Resultat-Produktion &amp; forbrug'!$A241,'Forbrug af biomasse'!$D$2:$D$425,'Resultat-Produktion &amp; forbrug'!$E241,'Forbrug af biomasse'!$A$2:$A$425,'Resultat-Produktion &amp; forbrug'!M$3,'Forbrug af biomasse'!$B$2:$B$425,$F241),G241)</f>
        <v>0</v>
      </c>
      <c r="N241" s="94">
        <f>SUMIFS('Forbrug af biomasse'!E:E,'Forbrug af biomasse'!C:C,'Resultat-Produktion &amp; forbrug'!$A241,'Forbrug af biomasse'!D:D,'Resultat-Produktion &amp; forbrug'!$E241,'Forbrug af biomasse'!G:G,1,'Forbrug af biomasse'!B:B,$F241)</f>
        <v>0</v>
      </c>
      <c r="O241" s="179">
        <f t="shared" si="69"/>
        <v>0</v>
      </c>
      <c r="P241" s="94">
        <f t="shared" si="65"/>
        <v>0</v>
      </c>
      <c r="Q241" s="180">
        <f t="shared" si="70"/>
        <v>0</v>
      </c>
      <c r="R241">
        <f>IFERROR(VLOOKUP(A241,[1]Energiindhold!$A$2:$C$11,3,FALSE),IFERROR(VLOOKUP(A241,[1]Biogasudbytte!$A$2:$B$18,2,FALSE)*[1]Energiindhold!$C$10,0))*P241</f>
        <v>0</v>
      </c>
      <c r="S241">
        <f>IF(A241&lt;&gt;"Biogas",IFERROR(VLOOKUP(A241,[1]Biogasudbytte!$A$2:$B$18,2,FALSE)*[1]Energiindhold!$C$10,0)*K241*IFERROR(VLOOKUP(A241,Biogasanlæg!$F$3:$G$8,2,FALSE),1)+IFERROR(VLOOKUP(A241,[1]Energiindhold!$A$2:$C$11,3,FALSE),0)*M241+IF(E241&lt;&gt;År1,R241,0),0)</f>
        <v>0</v>
      </c>
      <c r="T241">
        <f>IFERROR(VLOOKUP(A241,[1]Biogasudbytte!$A$2:$B$18,2,FALSE)*[1]Energiindhold!$C$10,0)*K241*IFERROR(VLOOKUP(A241,Biogasanlæg!$F$3:$G$8,2,FALSE),1)</f>
        <v>0</v>
      </c>
      <c r="U241" s="170">
        <f t="shared" si="71"/>
        <v>0</v>
      </c>
      <c r="V241" s="169">
        <f>P241*IFERROR(VLOOKUP(A241,[1]Tørstofindhold!A$2:B$24,2,FALSE),0)</f>
        <v>0</v>
      </c>
      <c r="W241">
        <f>IF(E241=År1,Q241,SUM(P241,Q241))*IFERROR(VLOOKUP(A241,[1]Tørstofindhold!A$2:B$24,2,FALSE),0)</f>
        <v>0</v>
      </c>
      <c r="X241">
        <f>K241*IFERROR(VLOOKUP(A241,[1]Tørstofindhold!A$2:B$24,2,FALSE),0)</f>
        <v>0</v>
      </c>
      <c r="Y241" s="170">
        <f t="shared" si="72"/>
        <v>0</v>
      </c>
      <c r="Z241">
        <f t="shared" si="66"/>
        <v>0</v>
      </c>
      <c r="AA241">
        <f t="shared" si="67"/>
        <v>0</v>
      </c>
      <c r="AB241" s="94">
        <f t="shared" si="68"/>
        <v>0</v>
      </c>
      <c r="AC241">
        <f>AB241*D241*10000*VLOOKUP(A241,[1]kcal!$A$2:$C$49,3,FALSE)/1000000000000</f>
        <v>0</v>
      </c>
    </row>
    <row r="242" spans="1:29" x14ac:dyDescent="0.25">
      <c r="A242" s="171" t="str">
        <f t="shared" si="79"/>
        <v>Træ til energi</v>
      </c>
      <c r="B242" s="171" t="str">
        <f t="shared" si="80"/>
        <v>Vedmasse</v>
      </c>
      <c r="C242" s="171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1</v>
      </c>
      <c r="D242" s="171">
        <f t="shared" si="61"/>
        <v>0</v>
      </c>
      <c r="E242" s="171">
        <f t="shared" si="64"/>
        <v>2030</v>
      </c>
      <c r="F242" t="s">
        <v>24</v>
      </c>
      <c r="G242" s="94">
        <f ca="1">IF(F242="Vestdanmark",SUMIFS(IF(E242=År1,'Resultater - Vestdanmark'!H$3:H$504,IF(E242=År2,'Resultater - Vestdanmark'!I$3:I$504,'Resultater - Vestdanmark'!J$3:J$504)),'Resultater - Vestdanmark'!$F$3:$F$504,$A242,IF(E242=År1,'Resultater - Vestdanmark'!H$3:H$504,IF(E242=År2,'Resultater - Vestdanmark'!I$3:I$504,'Resultater - Vestdanmark'!J$3:J$504)),"&gt;0"),SUMIFS(IF(E242=År1,'Resultater - Østdanmark'!H$3:H$504,IF(E242=År2,'Resultater - Østdanmark'!I$3:I$504,'Resultater - Østdanmark'!J$3:J$504)),'Resultater - Østdanmark'!$F$3:$F$504,$A242,IF(E242=År1,'Resultater - Østdanmark'!H$3:H$504,IF(E242=År2,'Resultater - Østdanmark'!I$3:I$504,'Resultater - Østdanmark'!J$3:J$504)),"&gt;0"))</f>
        <v>648970.86702196393</v>
      </c>
      <c r="H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forbrug'!H$3,'Forbrug af biomasse'!$B$2:$B$425,$F242)</f>
        <v>0</v>
      </c>
      <c r="I242">
        <f>IF(F242="Vestdanmark",-IF(A242="Halm",SUMIFS(IF(E242=År1,'Resultater - Vestdanmark'!H$3:H$504,IF(E242=År2,'Resultater - Vestdanmark'!I$3:I$504,'Resultater - Vestdanmark'!J$3:J$504)),'Resultater - Vestdanmark'!$F$3:$F$504,$A242,'Resultater - Vestdanmark'!H$3:H$504,"&lt;0"),0),-IF(A242="Halm",SUMIFS(IF(E242=År1,'Resultater - Østdanmark'!H$3:H$504,IF(E242=År2,'Resultater - Østdanmark'!I$3:I$504,'Resultater - Østdanmark'!J$3:J$504)),'Resultater - Østdanmark'!$F$3:$F$504,$A242,'Resultater - Østdanmark'!H$3:H$504,"&lt;0"),0))</f>
        <v>0</v>
      </c>
      <c r="J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forbrug'!J$3,'Forbrug af biomasse'!$B$2:$B$425,$F242)</f>
        <v>0</v>
      </c>
      <c r="K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forbrug'!K$3,'Forbrug af biomasse'!$B$2:$B$425,$F242)</f>
        <v>0</v>
      </c>
      <c r="L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forbrug'!L$3,'Forbrug af biomasse'!$B$2:$B$425,$F242)</f>
        <v>0</v>
      </c>
      <c r="M242" s="94">
        <f ca="1">IF(A242&lt;&gt;"Biogas",SUMIFS('Forbrug af biomasse'!$E$2:$E$425,'Forbrug af biomasse'!$C$2:$C$425,'Resultat-Produktion &amp; forbrug'!$A242,'Forbrug af biomasse'!$D$2:$D$425,'Resultat-Produktion &amp; forbrug'!$E242,'Forbrug af biomasse'!$A$2:$A$425,'Resultat-Produktion &amp; forbrug'!M$3,'Forbrug af biomasse'!$B$2:$B$425,$F242),G242)</f>
        <v>648970.86702196393</v>
      </c>
      <c r="N242" s="94">
        <f>SUMIFS('Forbrug af biomasse'!E:E,'Forbrug af biomasse'!C:C,'Resultat-Produktion &amp; forbrug'!$A242,'Forbrug af biomasse'!D:D,'Resultat-Produktion &amp; forbrug'!$E242,'Forbrug af biomasse'!G:G,1,'Forbrug af biomasse'!B:B,$F242)</f>
        <v>0</v>
      </c>
      <c r="O242" s="179">
        <f t="shared" ca="1" si="69"/>
        <v>0</v>
      </c>
      <c r="P242" s="94">
        <f t="shared" ca="1" si="65"/>
        <v>0</v>
      </c>
      <c r="Q242" s="180">
        <f t="shared" ca="1" si="70"/>
        <v>648970.86702196393</v>
      </c>
      <c r="R242">
        <f ca="1">IFERROR(VLOOKUP(A242,[1]Energiindhold!$A$2:$C$11,3,FALSE),IFERROR(VLOOKUP(A242,[1]Biogasudbytte!$A$2:$B$18,2,FALSE)*[1]Energiindhold!$C$10,0))*P242</f>
        <v>0</v>
      </c>
      <c r="S242">
        <f ca="1">IF(A242&lt;&gt;"Biogas",IFERROR(VLOOKUP(A242,[1]Biogasudbytte!$A$2:$B$18,2,FALSE)*[1]Energiindhold!$C$10,0)*K242*IFERROR(VLOOKUP(A242,Biogasanlæg!$F$3:$G$8,2,FALSE),1)+IFERROR(VLOOKUP(A242,[1]Energiindhold!$A$2:$C$11,3,FALSE),0)*M242+IF(E242&lt;&gt;År1,R242,0),0)</f>
        <v>9.4059039757787311</v>
      </c>
      <c r="T242">
        <f>IFERROR(VLOOKUP(A242,[1]Biogasudbytte!$A$2:$B$18,2,FALSE)*[1]Energiindhold!$C$10,0)*K242*IFERROR(VLOOKUP(A242,Biogasanlæg!$F$3:$G$8,2,FALSE),1)</f>
        <v>0</v>
      </c>
      <c r="U242" s="170">
        <f t="shared" ca="1" si="71"/>
        <v>9.4059039757787311</v>
      </c>
      <c r="V242" s="169">
        <f ca="1">P242*IFERROR(VLOOKUP(A242,[1]Tørstofindhold!A$2:B$24,2,FALSE),0)</f>
        <v>0</v>
      </c>
      <c r="W242">
        <f ca="1">IF(E242=År1,Q242,SUM(P242,Q242))*IFERROR(VLOOKUP(A242,[1]Tørstofindhold!A$2:B$24,2,FALSE),0)</f>
        <v>320970.17464794632</v>
      </c>
      <c r="X242">
        <f>K242*IFERROR(VLOOKUP(A242,[1]Tørstofindhold!A$2:B$24,2,FALSE),0)</f>
        <v>0</v>
      </c>
      <c r="Y242" s="170">
        <f t="shared" ca="1" si="72"/>
        <v>320970.17464794632</v>
      </c>
      <c r="Z242">
        <f t="shared" ca="1" si="66"/>
        <v>0</v>
      </c>
      <c r="AA242">
        <f t="shared" ca="1" si="67"/>
        <v>0</v>
      </c>
      <c r="AB242" s="94">
        <f t="shared" ca="1" si="68"/>
        <v>648970.86702196393</v>
      </c>
      <c r="AC242">
        <f ca="1">AB242*D242*10000*VLOOKUP(A242,[1]kcal!$A$2:$C$49,3,FALSE)/1000000000000</f>
        <v>0</v>
      </c>
    </row>
    <row r="243" spans="1:29" x14ac:dyDescent="0.25">
      <c r="A243" s="171" t="str">
        <f t="shared" si="79"/>
        <v>Træmaterialer</v>
      </c>
      <c r="B243" s="171" t="str">
        <f t="shared" si="80"/>
        <v/>
      </c>
      <c r="C243" s="171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71">
        <f t="shared" si="61"/>
        <v>0</v>
      </c>
      <c r="E243" s="171">
        <f t="shared" si="64"/>
        <v>2030</v>
      </c>
      <c r="F243" t="s">
        <v>24</v>
      </c>
      <c r="G243" s="94">
        <f ca="1">IF(F243="Vestdanmark",SUMIFS(IF(E243=År1,'Resultater - Vestdanmark'!H$3:H$504,IF(E243=År2,'Resultater - Vestdanmark'!I$3:I$504,'Resultater - Vestdanmark'!J$3:J$504)),'Resultater - Vestdanmark'!$F$3:$F$504,$A243,IF(E243=År1,'Resultater - Vestdanmark'!H$3:H$504,IF(E243=År2,'Resultater - Vestdanmark'!I$3:I$504,'Resultater - Vestdanmark'!J$3:J$504)),"&gt;0"),SUMIFS(IF(E243=År1,'Resultater - Østdanmark'!H$3:H$504,IF(E243=År2,'Resultater - Østdanmark'!I$3:I$504,'Resultater - Østdanmark'!J$3:J$504)),'Resultater - Østdanmark'!$F$3:$F$504,$A243,IF(E243=År1,'Resultater - Østdanmark'!H$3:H$504,IF(E243=År2,'Resultater - Østdanmark'!I$3:I$504,'Resultater - Østdanmark'!J$3:J$504)),"&gt;0"))</f>
        <v>178680.65524972283</v>
      </c>
      <c r="H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forbrug'!H$3,'Forbrug af biomasse'!$B$2:$B$425,$F243)</f>
        <v>0</v>
      </c>
      <c r="I243">
        <f>IF(F243="Vestdanmark",-IF(A243="Halm",SUMIFS(IF(E243=År1,'Resultater - Vestdanmark'!H$3:H$504,IF(E243=År2,'Resultater - Vestdanmark'!I$3:I$504,'Resultater - Vestdanmark'!J$3:J$504)),'Resultater - Vestdanmark'!$F$3:$F$504,$A243,'Resultater - Vestdanmark'!H$3:H$504,"&lt;0"),0),-IF(A243="Halm",SUMIFS(IF(E243=År1,'Resultater - Østdanmark'!H$3:H$504,IF(E243=År2,'Resultater - Østdanmark'!I$3:I$504,'Resultater - Østdanmark'!J$3:J$504)),'Resultater - Østdanmark'!$F$3:$F$504,$A243,'Resultater - Østdanmark'!H$3:H$504,"&lt;0"),0))</f>
        <v>0</v>
      </c>
      <c r="J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forbrug'!J$3,'Forbrug af biomasse'!$B$2:$B$425,$F243)</f>
        <v>0</v>
      </c>
      <c r="K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forbrug'!K$3,'Forbrug af biomasse'!$B$2:$B$425,$F243)</f>
        <v>0</v>
      </c>
      <c r="L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forbrug'!L$3,'Forbrug af biomasse'!$B$2:$B$425,$F243)</f>
        <v>0</v>
      </c>
      <c r="M243" s="94">
        <f>IF(A243&lt;&gt;"Biogas",SUMIFS('Forbrug af biomasse'!$E$2:$E$425,'Forbrug af biomasse'!$C$2:$C$425,'Resultat-Produktion &amp; forbrug'!$A243,'Forbrug af biomasse'!$D$2:$D$425,'Resultat-Produktion &amp; forbrug'!$E243,'Forbrug af biomasse'!$A$2:$A$425,'Resultat-Produktion &amp; forbrug'!M$3,'Forbrug af biomasse'!$B$2:$B$425,$F243),G243)</f>
        <v>0</v>
      </c>
      <c r="N243" s="94">
        <f ca="1">SUMIFS('Forbrug af biomasse'!E:E,'Forbrug af biomasse'!C:C,'Resultat-Produktion &amp; forbrug'!$A243,'Forbrug af biomasse'!D:D,'Resultat-Produktion &amp; forbrug'!$E243,'Forbrug af biomasse'!G:G,1,'Forbrug af biomasse'!B:B,$F243)</f>
        <v>178680.65524972283</v>
      </c>
      <c r="O243" s="179">
        <f t="shared" ca="1" si="69"/>
        <v>0</v>
      </c>
      <c r="P243" s="94">
        <f t="shared" si="65"/>
        <v>0</v>
      </c>
      <c r="Q243" s="180">
        <f t="shared" si="70"/>
        <v>0</v>
      </c>
      <c r="R243">
        <f>IFERROR(VLOOKUP(A243,[1]Energiindhold!$A$2:$C$11,3,FALSE),IFERROR(VLOOKUP(A243,[1]Biogasudbytte!$A$2:$B$18,2,FALSE)*[1]Energiindhold!$C$10,0))*P243</f>
        <v>0</v>
      </c>
      <c r="S243">
        <f>IF(A243&lt;&gt;"Biogas",IFERROR(VLOOKUP(A243,[1]Biogasudbytte!$A$2:$B$18,2,FALSE)*[1]Energiindhold!$C$10,0)*K243*IFERROR(VLOOKUP(A243,Biogasanlæg!$F$3:$G$8,2,FALSE),1)+IFERROR(VLOOKUP(A243,[1]Energiindhold!$A$2:$C$11,3,FALSE),0)*M243+IF(E243&lt;&gt;År1,R243,0),0)</f>
        <v>0</v>
      </c>
      <c r="T243">
        <f>IFERROR(VLOOKUP(A243,[1]Biogasudbytte!$A$2:$B$18,2,FALSE)*[1]Energiindhold!$C$10,0)*K243*IFERROR(VLOOKUP(A243,Biogasanlæg!$F$3:$G$8,2,FALSE),1)</f>
        <v>0</v>
      </c>
      <c r="U243" s="170">
        <f t="shared" si="71"/>
        <v>0</v>
      </c>
      <c r="V243" s="169">
        <f>P243*IFERROR(VLOOKUP(A243,[1]Tørstofindhold!A$2:B$24,2,FALSE),0)</f>
        <v>0</v>
      </c>
      <c r="W243">
        <f>IF(E243=År1,Q243,SUM(P243,Q243))*IFERROR(VLOOKUP(A243,[1]Tørstofindhold!A$2:B$24,2,FALSE),0)</f>
        <v>0</v>
      </c>
      <c r="X243">
        <f>K243*IFERROR(VLOOKUP(A243,[1]Tørstofindhold!A$2:B$24,2,FALSE),0)</f>
        <v>0</v>
      </c>
      <c r="Y243" s="170">
        <f t="shared" si="72"/>
        <v>0</v>
      </c>
      <c r="Z243">
        <f t="shared" ca="1" si="66"/>
        <v>0</v>
      </c>
      <c r="AA243">
        <f t="shared" ca="1" si="67"/>
        <v>0</v>
      </c>
      <c r="AB243" s="94">
        <f t="shared" ca="1" si="68"/>
        <v>178680.65524972283</v>
      </c>
      <c r="AC243">
        <f ca="1">AB243*D243*10000*VLOOKUP(A243,[1]kcal!$A$2:$C$49,3,FALSE)/1000000000000</f>
        <v>0</v>
      </c>
    </row>
    <row r="244" spans="1:29" x14ac:dyDescent="0.25">
      <c r="A244" s="171" t="str">
        <f t="shared" si="79"/>
        <v>Æg</v>
      </c>
      <c r="B244" s="171" t="str">
        <f t="shared" si="80"/>
        <v/>
      </c>
      <c r="C244" s="171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71">
        <f t="shared" si="61"/>
        <v>1</v>
      </c>
      <c r="E244" s="171">
        <f t="shared" ref="E244:E282" si="81">År3</f>
        <v>2050</v>
      </c>
      <c r="F244" t="s">
        <v>24</v>
      </c>
      <c r="G244" s="94">
        <f ca="1">IF(F244="Vestdanmark",SUMIFS(IF(E244=År1,'Resultater - Vestdanmark'!H$3:H$504,IF(E244=År2,'Resultater - Vestdanmark'!I$3:I$504,'Resultater - Vestdanmark'!J$3:J$504)),'Resultater - Vestdanmark'!$F$3:$F$504,$A244,IF(E244=År1,'Resultater - Vestdanmark'!H$3:H$504,IF(E244=År2,'Resultater - Vestdanmark'!I$3:I$504,'Resultater - Vestdanmark'!J$3:J$504)),"&gt;0"),SUMIFS(IF(E244=År1,'Resultater - Østdanmark'!H$3:H$504,IF(E244=År2,'Resultater - Østdanmark'!I$3:I$504,'Resultater - Østdanmark'!J$3:J$504)),'Resultater - Østdanmark'!$F$3:$F$504,$A244,IF(E244=År1,'Resultater - Østdanmark'!H$3:H$504,IF(E244=År2,'Resultater - Østdanmark'!I$3:I$504,'Resultater - Østdanmark'!J$3:J$504)),"&gt;0"))</f>
        <v>17476.099590900943</v>
      </c>
      <c r="H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forbrug'!H$3,'Forbrug af biomasse'!$B$2:$B$425,$F244)</f>
        <v>0</v>
      </c>
      <c r="I244">
        <f>IF(F244="Vestdanmark",-IF(A244="Halm",SUMIFS(IF(E244=År1,'Resultater - Vestdanmark'!H$3:H$504,IF(E244=År2,'Resultater - Vestdanmark'!I$3:I$504,'Resultater - Vestdanmark'!J$3:J$504)),'Resultater - Vestdanmark'!$F$3:$F$504,$A244,'Resultater - Vestdanmark'!H$3:H$504,"&lt;0"),0),-IF(A244="Halm",SUMIFS(IF(E244=År1,'Resultater - Østdanmark'!H$3:H$504,IF(E244=År2,'Resultater - Østdanmark'!I$3:I$504,'Resultater - Østdanmark'!J$3:J$504)),'Resultater - Østdanmark'!$F$3:$F$504,$A244,'Resultater - Østdanmark'!H$3:H$504,"&lt;0"),0))</f>
        <v>0</v>
      </c>
      <c r="J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forbrug'!J$3,'Forbrug af biomasse'!$B$2:$B$425,$F244)</f>
        <v>29532.002020101954</v>
      </c>
      <c r="K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forbrug'!K$3,'Forbrug af biomasse'!$B$2:$B$425,$F244)</f>
        <v>0</v>
      </c>
      <c r="L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forbrug'!L$3,'Forbrug af biomasse'!$B$2:$B$425,$F244)</f>
        <v>0</v>
      </c>
      <c r="M244" s="94">
        <f>IF(A244&lt;&gt;"Biogas",SUMIFS('Forbrug af biomasse'!$E$2:$E$425,'Forbrug af biomasse'!$C$2:$C$425,'Resultat-Produktion &amp; forbrug'!$A244,'Forbrug af biomasse'!$D$2:$D$425,'Resultat-Produktion &amp; forbrug'!$E244,'Forbrug af biomasse'!$A$2:$A$425,'Resultat-Produktion &amp; forbrug'!M$3,'Forbrug af biomasse'!$B$2:$B$425,$F244),G244)</f>
        <v>0</v>
      </c>
      <c r="N244" s="94">
        <f>SUMIFS('Forbrug af biomasse'!E:E,'Forbrug af biomasse'!C:C,'Resultat-Produktion &amp; forbrug'!$A244,'Forbrug af biomasse'!D:D,'Resultat-Produktion &amp; forbrug'!$E244,'Forbrug af biomasse'!G:G,1,'Forbrug af biomasse'!B:B,$F244)</f>
        <v>0</v>
      </c>
      <c r="O244" s="179">
        <f t="shared" ca="1" si="69"/>
        <v>-12055.902429201011</v>
      </c>
      <c r="P244" s="94">
        <f t="shared" si="65"/>
        <v>0</v>
      </c>
      <c r="Q244" s="180">
        <f t="shared" si="70"/>
        <v>0</v>
      </c>
      <c r="R244">
        <f>IFERROR(VLOOKUP(A244,[1]Energiindhold!$A$2:$C$11,3,FALSE),IFERROR(VLOOKUP(A244,[1]Biogasudbytte!$A$2:$B$18,2,FALSE)*[1]Energiindhold!$C$10,0))*P244</f>
        <v>0</v>
      </c>
      <c r="S244">
        <f>IF(A244&lt;&gt;"Biogas",IFERROR(VLOOKUP(A244,[1]Biogasudbytte!$A$2:$B$18,2,FALSE)*[1]Energiindhold!$C$10,0)*K244*IFERROR(VLOOKUP(A244,Biogasanlæg!$F$3:$G$8,2,FALSE),1)+IFERROR(VLOOKUP(A244,[1]Energiindhold!$A$2:$C$11,3,FALSE),0)*M244+IF(E244&lt;&gt;År1,R244,0),0)</f>
        <v>0</v>
      </c>
      <c r="T244">
        <f>IFERROR(VLOOKUP(A244,[1]Biogasudbytte!$A$2:$B$18,2,FALSE)*[1]Energiindhold!$C$10,0)*K244*IFERROR(VLOOKUP(A244,Biogasanlæg!$F$3:$G$8,2,FALSE),1)</f>
        <v>0</v>
      </c>
      <c r="U244" s="170">
        <f t="shared" si="71"/>
        <v>0</v>
      </c>
      <c r="V244" s="169">
        <f>P244*IFERROR(VLOOKUP(A244,[1]Tørstofindhold!A$2:B$24,2,FALSE),0)</f>
        <v>0</v>
      </c>
      <c r="W244">
        <f>IF(E244=År1,Q244,SUM(P244,Q244))*IFERROR(VLOOKUP(A244,[1]Tørstofindhold!A$2:B$24,2,FALSE),0)</f>
        <v>0</v>
      </c>
      <c r="X244">
        <f>K244*IFERROR(VLOOKUP(A244,[1]Tørstofindhold!A$2:B$24,2,FALSE),0)</f>
        <v>0</v>
      </c>
      <c r="Y244" s="170">
        <f t="shared" si="72"/>
        <v>0</v>
      </c>
      <c r="Z244">
        <f t="shared" ca="1" si="66"/>
        <v>0</v>
      </c>
      <c r="AA244">
        <f t="shared" ca="1" si="67"/>
        <v>1</v>
      </c>
      <c r="AB244" s="94">
        <f t="shared" ca="1" si="68"/>
        <v>17476.099590900943</v>
      </c>
      <c r="AC244">
        <f ca="1">AB244*D244*10000*VLOOKUP(A244,[1]kcal!$A$2:$C$49,3,FALSE)/1000000000000</f>
        <v>2.41170174354433E-2</v>
      </c>
    </row>
    <row r="245" spans="1:29" x14ac:dyDescent="0.25">
      <c r="A245" s="171" t="str">
        <f t="shared" si="79"/>
        <v>Bælgsæd</v>
      </c>
      <c r="B245" s="171" t="str">
        <f t="shared" si="80"/>
        <v/>
      </c>
      <c r="C245" s="171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0</v>
      </c>
      <c r="D245" s="171">
        <f t="shared" ref="D245:D291" si="82">D197</f>
        <v>1</v>
      </c>
      <c r="E245" s="171">
        <f t="shared" si="81"/>
        <v>2050</v>
      </c>
      <c r="F245" t="s">
        <v>24</v>
      </c>
      <c r="G245" s="94">
        <f>IF(F245="Vestdanmark",SUMIFS(IF(E245=År1,'Resultater - Vestdanmark'!H$3:H$504,IF(E245=År2,'Resultater - Vestdanmark'!I$3:I$504,'Resultater - Vestdanmark'!J$3:J$504)),'Resultater - Vestdanmark'!$F$3:$F$504,$A245,IF(E245=År1,'Resultater - Vestdanmark'!H$3:H$504,IF(E245=År2,'Resultater - Vestdanmark'!I$3:I$504,'Resultater - Vestdanmark'!J$3:J$504)),"&gt;0"),SUMIFS(IF(E245=År1,'Resultater - Østdanmark'!H$3:H$504,IF(E245=År2,'Resultater - Østdanmark'!I$3:I$504,'Resultater - Østdanmark'!J$3:J$504)),'Resultater - Østdanmark'!$F$3:$F$504,$A245,IF(E245=År1,'Resultater - Østdanmark'!H$3:H$504,IF(E245=År2,'Resultater - Østdanmark'!I$3:I$504,'Resultater - Østdanmark'!J$3:J$504)),"&gt;0"))</f>
        <v>27963.188224431749</v>
      </c>
      <c r="H245" s="94">
        <f ca="1">SUMIFS('Forbrug af biomasse'!$E$2:$E$425,'Forbrug af biomasse'!$C$2:$C$425,'Resultat-Produktion &amp; forbrug'!$A245,'Forbrug af biomasse'!$D$2:$D$425,'Resultat-Produktion &amp; forbrug'!$E245,'Forbrug af biomasse'!$A$2:$A$425,'Resultat-Produktion &amp; forbrug'!H$3,'Forbrug af biomasse'!$B$2:$B$425,$F245)</f>
        <v>7267.3729665242781</v>
      </c>
      <c r="I245">
        <f>IF(F245="Vestdanmark",-IF(A245="Halm",SUMIFS(IF(E245=År1,'Resultater - Vestdanmark'!H$3:H$504,IF(E245=År2,'Resultater - Vestdanmark'!I$3:I$504,'Resultater - Vestdanmark'!J$3:J$504)),'Resultater - Vestdanmark'!$F$3:$F$504,$A245,'Resultater - Vestdanmark'!H$3:H$504,"&lt;0"),0),-IF(A245="Halm",SUMIFS(IF(E245=År1,'Resultater - Østdanmark'!H$3:H$504,IF(E245=År2,'Resultater - Østdanmark'!I$3:I$504,'Resultater - Østdanmark'!J$3:J$504)),'Resultater - Østdanmark'!$F$3:$F$504,$A245,'Resultater - Østdanmark'!H$3:H$504,"&lt;0"),0))</f>
        <v>0</v>
      </c>
      <c r="J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forbrug'!J$3,'Forbrug af biomasse'!$B$2:$B$425,$F245)</f>
        <v>0</v>
      </c>
      <c r="K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forbrug'!K$3,'Forbrug af biomasse'!$B$2:$B$425,$F245)</f>
        <v>0</v>
      </c>
      <c r="L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forbrug'!L$3,'Forbrug af biomasse'!$B$2:$B$425,$F245)</f>
        <v>0</v>
      </c>
      <c r="M245" s="94">
        <f>IF(A245&lt;&gt;"Biogas",SUMIFS('Forbrug af biomasse'!$E$2:$E$425,'Forbrug af biomasse'!$C$2:$C$425,'Resultat-Produktion &amp; forbrug'!$A245,'Forbrug af biomasse'!$D$2:$D$425,'Resultat-Produktion &amp; forbrug'!$E245,'Forbrug af biomasse'!$A$2:$A$425,'Resultat-Produktion &amp; forbrug'!M$3,'Forbrug af biomasse'!$B$2:$B$425,$F245),G245)</f>
        <v>0</v>
      </c>
      <c r="N245" s="94">
        <f>SUMIFS('Forbrug af biomasse'!E:E,'Forbrug af biomasse'!C:C,'Resultat-Produktion &amp; forbrug'!$A245,'Forbrug af biomasse'!D:D,'Resultat-Produktion &amp; forbrug'!$E245,'Forbrug af biomasse'!G:G,1,'Forbrug af biomasse'!B:B,$F245)</f>
        <v>0</v>
      </c>
      <c r="O245" s="179">
        <f t="shared" ca="1" si="69"/>
        <v>20695.81525790747</v>
      </c>
      <c r="P245" s="94">
        <f t="shared" si="65"/>
        <v>0</v>
      </c>
      <c r="Q245" s="180">
        <f t="shared" si="70"/>
        <v>0</v>
      </c>
      <c r="R245">
        <f>IFERROR(VLOOKUP(A245,[1]Energiindhold!$A$2:$C$11,3,FALSE),IFERROR(VLOOKUP(A245,[1]Biogasudbytte!$A$2:$B$18,2,FALSE)*[1]Energiindhold!$C$10,0))*P245</f>
        <v>0</v>
      </c>
      <c r="S245">
        <f>IF(A245&lt;&gt;"Biogas",IFERROR(VLOOKUP(A245,[1]Biogasudbytte!$A$2:$B$18,2,FALSE)*[1]Energiindhold!$C$10,0)*K245*IFERROR(VLOOKUP(A245,Biogasanlæg!$F$3:$G$8,2,FALSE),1)+IFERROR(VLOOKUP(A245,[1]Energiindhold!$A$2:$C$11,3,FALSE),0)*M245+IF(E245&lt;&gt;År1,R245,0),0)</f>
        <v>0</v>
      </c>
      <c r="T245">
        <f>IFERROR(VLOOKUP(A245,[1]Biogasudbytte!$A$2:$B$18,2,FALSE)*[1]Energiindhold!$C$10,0)*K245*IFERROR(VLOOKUP(A245,Biogasanlæg!$F$3:$G$8,2,FALSE),1)</f>
        <v>0</v>
      </c>
      <c r="U245" s="170">
        <f t="shared" si="71"/>
        <v>0</v>
      </c>
      <c r="V245" s="169">
        <f>P245*IFERROR(VLOOKUP(A245,[1]Tørstofindhold!A$2:B$24,2,FALSE),0)</f>
        <v>0</v>
      </c>
      <c r="W245">
        <f>IF(E245=År1,Q245,SUM(P245,Q245))*IFERROR(VLOOKUP(A245,[1]Tørstofindhold!A$2:B$24,2,FALSE),0)</f>
        <v>0</v>
      </c>
      <c r="X245">
        <f>K245*IFERROR(VLOOKUP(A245,[1]Tørstofindhold!A$2:B$24,2,FALSE),0)</f>
        <v>0</v>
      </c>
      <c r="Y245" s="170">
        <f t="shared" si="72"/>
        <v>0</v>
      </c>
      <c r="Z245">
        <f t="shared" ca="1" si="66"/>
        <v>0</v>
      </c>
      <c r="AA245">
        <f t="shared" ca="1" si="67"/>
        <v>1</v>
      </c>
      <c r="AB245" s="94">
        <f t="shared" ca="1" si="68"/>
        <v>20695.81525790747</v>
      </c>
      <c r="AC245">
        <f ca="1">AB245*D245*10000*VLOOKUP(A245,[1]kcal!$A$2:$C$49,3,FALSE)/1000000000000</f>
        <v>0.14373243696616739</v>
      </c>
    </row>
    <row r="246" spans="1:29" x14ac:dyDescent="0.25">
      <c r="A246" s="171" t="str">
        <f t="shared" si="79"/>
        <v>Bioaffald</v>
      </c>
      <c r="B246" s="171" t="str">
        <f t="shared" si="80"/>
        <v>Bionedbrydeligt affald</v>
      </c>
      <c r="C246" s="171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71">
        <f t="shared" si="82"/>
        <v>0</v>
      </c>
      <c r="E246" s="171">
        <f t="shared" si="81"/>
        <v>2050</v>
      </c>
      <c r="F246" t="s">
        <v>24</v>
      </c>
      <c r="G246" s="94">
        <f ca="1">IF(F246="Vestdanmark",SUMIFS(IF(E246=År1,'Resultater - Vestdanmark'!H$3:H$504,IF(E246=År2,'Resultater - Vestdanmark'!I$3:I$504,'Resultater - Vestdanmark'!J$3:J$504)),'Resultater - Vestdanmark'!$F$3:$F$504,$A246,IF(E246=År1,'Resultater - Vestdanmark'!H$3:H$504,IF(E246=År2,'Resultater - Vestdanmark'!I$3:I$504,'Resultater - Vestdanmark'!J$3:J$504)),"&gt;0"),SUMIFS(IF(E246=År1,'Resultater - Østdanmark'!H$3:H$504,IF(E246=År2,'Resultater - Østdanmark'!I$3:I$504,'Resultater - Østdanmark'!J$3:J$504)),'Resultater - Østdanmark'!$F$3:$F$504,$A246,IF(E246=År1,'Resultater - Østdanmark'!H$3:H$504,IF(E246=År2,'Resultater - Østdanmark'!I$3:I$504,'Resultater - Østdanmark'!J$3:J$504)),"&gt;0"))</f>
        <v>172292.68030975034</v>
      </c>
      <c r="H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forbrug'!H$3,'Forbrug af biomasse'!$B$2:$B$425,$F246)</f>
        <v>0</v>
      </c>
      <c r="I246">
        <f>IF(F246="Vestdanmark",-IF(A246="Halm",SUMIFS(IF(E246=År1,'Resultater - Vestdanmark'!H$3:H$504,IF(E246=År2,'Resultater - Vestdanmark'!I$3:I$504,'Resultater - Vestdanmark'!J$3:J$504)),'Resultater - Vestdanmark'!$F$3:$F$504,$A246,'Resultater - Vestdanmark'!H$3:H$504,"&lt;0"),0),-IF(A246="Halm",SUMIFS(IF(E246=År1,'Resultater - Østdanmark'!H$3:H$504,IF(E246=År2,'Resultater - Østdanmark'!I$3:I$504,'Resultater - Østdanmark'!J$3:J$504)),'Resultater - Østdanmark'!$F$3:$F$504,$A246,'Resultater - Østdanmark'!H$3:H$504,"&lt;0"),0))</f>
        <v>0</v>
      </c>
      <c r="J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forbrug'!J$3,'Forbrug af biomasse'!$B$2:$B$425,$F246)</f>
        <v>0</v>
      </c>
      <c r="K246" s="94">
        <f ca="1">SUMIFS('Forbrug af biomasse'!$E$2:$E$425,'Forbrug af biomasse'!$C$2:$C$425,'Resultat-Produktion &amp; forbrug'!$A246,'Forbrug af biomasse'!$D$2:$D$425,'Resultat-Produktion &amp; forbrug'!$E246,'Forbrug af biomasse'!$A$2:$A$425,'Resultat-Produktion &amp; forbrug'!K$3,'Forbrug af biomasse'!$B$2:$B$425,$F246)</f>
        <v>0</v>
      </c>
      <c r="L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forbrug'!L$3,'Forbrug af biomasse'!$B$2:$B$425,$F246)</f>
        <v>0</v>
      </c>
      <c r="M246" s="94">
        <f ca="1">IF(A246&lt;&gt;"Biogas",SUMIFS('Forbrug af biomasse'!$E$2:$E$425,'Forbrug af biomasse'!$C$2:$C$425,'Resultat-Produktion &amp; forbrug'!$A246,'Forbrug af biomasse'!$D$2:$D$425,'Resultat-Produktion &amp; forbrug'!$E246,'Forbrug af biomasse'!$A$2:$A$425,'Resultat-Produktion &amp; forbrug'!M$3,'Forbrug af biomasse'!$B$2:$B$425,$F246),G246)</f>
        <v>172292.68030975034</v>
      </c>
      <c r="N246" s="94">
        <f ca="1">SUMIFS('Forbrug af biomasse'!E:E,'Forbrug af biomasse'!C:C,'Resultat-Produktion &amp; forbrug'!$A246,'Forbrug af biomasse'!D:D,'Resultat-Produktion &amp; forbrug'!$E246,'Forbrug af biomasse'!G:G,1,'Forbrug af biomasse'!B:B,$F246)</f>
        <v>0</v>
      </c>
      <c r="O246" s="179">
        <f t="shared" ca="1" si="69"/>
        <v>0</v>
      </c>
      <c r="P246" s="94">
        <f t="shared" ca="1" si="65"/>
        <v>0</v>
      </c>
      <c r="Q246" s="180">
        <f t="shared" ca="1" si="70"/>
        <v>172292.68030975034</v>
      </c>
      <c r="R246">
        <f ca="1">IFERROR(VLOOKUP(A246,[1]Energiindhold!$A$2:$C$11,3,FALSE),IFERROR(VLOOKUP(A246,[1]Biogasudbytte!$A$2:$B$18,2,FALSE)*[1]Energiindhold!$C$10,0))*P246</f>
        <v>0</v>
      </c>
      <c r="S246">
        <f ca="1">IF(A246&lt;&gt;"Biogas",IFERROR(VLOOKUP(A246,[1]Biogasudbytte!$A$2:$B$18,2,FALSE)*[1]Energiindhold!$C$10,0)*K246*IFERROR(VLOOKUP(A246,Biogasanlæg!$F$3:$G$8,2,FALSE),1)+IFERROR(VLOOKUP(A246,[1]Energiindhold!$A$2:$C$11,3,FALSE),0)*M246+IF(E246&lt;&gt;År1,R246,0),0)</f>
        <v>3.0758069229876184</v>
      </c>
      <c r="T246">
        <f ca="1">IFERROR(VLOOKUP(A246,[1]Biogasudbytte!$A$2:$B$18,2,FALSE)*[1]Energiindhold!$C$10,0)*K246*IFERROR(VLOOKUP(A246,Biogasanlæg!$F$3:$G$8,2,FALSE),1)</f>
        <v>0</v>
      </c>
      <c r="U246" s="170">
        <f t="shared" ca="1" si="71"/>
        <v>3.0758069229876184</v>
      </c>
      <c r="V246" s="169">
        <f ca="1">P246*IFERROR(VLOOKUP(A246,[1]Tørstofindhold!A$2:B$24,2,FALSE),0)</f>
        <v>0</v>
      </c>
      <c r="W246">
        <f ca="1">IF(E246=År1,Q246,SUM(P246,Q246))*IFERROR(VLOOKUP(A246,[1]Tørstofindhold!A$2:B$24,2,FALSE),0)</f>
        <v>48241.9504867301</v>
      </c>
      <c r="X246">
        <f ca="1">K246*IFERROR(VLOOKUP(A246,[1]Tørstofindhold!A$2:B$24,2,FALSE),0)</f>
        <v>0</v>
      </c>
      <c r="Y246" s="170">
        <f t="shared" ca="1" si="72"/>
        <v>48241.9504867301</v>
      </c>
      <c r="Z246">
        <f t="shared" ca="1" si="66"/>
        <v>0</v>
      </c>
      <c r="AA246">
        <f t="shared" ca="1" si="67"/>
        <v>0</v>
      </c>
      <c r="AB246" s="94">
        <f t="shared" ca="1" si="68"/>
        <v>172292.68030975034</v>
      </c>
      <c r="AC246">
        <f ca="1">AB246*D246*10000*VLOOKUP(A246,[1]kcal!$A$2:$C$49,3,FALSE)/1000000000000</f>
        <v>0</v>
      </c>
    </row>
    <row r="247" spans="1:29" x14ac:dyDescent="0.25">
      <c r="A247" s="171" t="str">
        <f t="shared" si="79"/>
        <v>Biogas</v>
      </c>
      <c r="B247" s="171" t="str">
        <f t="shared" si="80"/>
        <v/>
      </c>
      <c r="C247" s="171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1</v>
      </c>
      <c r="D247" s="171">
        <f t="shared" si="82"/>
        <v>0</v>
      </c>
      <c r="E247" s="171">
        <f t="shared" si="81"/>
        <v>2050</v>
      </c>
      <c r="F247" t="s">
        <v>24</v>
      </c>
      <c r="G247" s="94">
        <f ca="1">IF(F247="Vestdanmark",SUMIFS(IF(E247=År1,'Resultater - Vestdanmark'!H$3:H$504,IF(E247=År2,'Resultater - Vestdanmark'!I$3:I$504,'Resultater - Vestdanmark'!J$3:J$504)),'Resultater - Vestdanmark'!$F$3:$F$504,$A247,IF(E247=År1,'Resultater - Vestdanmark'!H$3:H$504,IF(E247=År2,'Resultater - Vestdanmark'!I$3:I$504,'Resultater - Vestdanmark'!J$3:J$504)),"&gt;0"),SUMIFS(IF(E247=År1,'Resultater - Østdanmark'!H$3:H$504,IF(E247=År2,'Resultater - Østdanmark'!I$3:I$504,'Resultater - Østdanmark'!J$3:J$504)),'Resultater - Østdanmark'!$F$3:$F$504,$A247,IF(E247=År1,'Resultater - Østdanmark'!H$3:H$504,IF(E247=År2,'Resultater - Østdanmark'!I$3:I$504,'Resultater - Østdanmark'!J$3:J$504)),"&gt;0"))</f>
        <v>127770459.38070777</v>
      </c>
      <c r="H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forbrug'!H$3,'Forbrug af biomasse'!$B$2:$B$425,$F247)</f>
        <v>0</v>
      </c>
      <c r="I247">
        <f>IF(F247="Vestdanmark",-IF(A247="Halm",SUMIFS(IF(E247=År1,'Resultater - Vestdanmark'!H$3:H$504,IF(E247=År2,'Resultater - Vestdanmark'!I$3:I$504,'Resultater - Vestdanmark'!J$3:J$504)),'Resultater - Vestdanmark'!$F$3:$F$504,$A247,'Resultater - Vestdanmark'!H$3:H$504,"&lt;0"),0),-IF(A247="Halm",SUMIFS(IF(E247=År1,'Resultater - Østdanmark'!H$3:H$504,IF(E247=År2,'Resultater - Østdanmark'!I$3:I$504,'Resultater - Østdanmark'!J$3:J$504)),'Resultater - Østdanmark'!$F$3:$F$504,$A247,'Resultater - Østdanmark'!H$3:H$504,"&lt;0"),0))</f>
        <v>0</v>
      </c>
      <c r="J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forbrug'!J$3,'Forbrug af biomasse'!$B$2:$B$425,$F247)</f>
        <v>0</v>
      </c>
      <c r="K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forbrug'!K$3,'Forbrug af biomasse'!$B$2:$B$425,$F247)</f>
        <v>0</v>
      </c>
      <c r="L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forbrug'!L$3,'Forbrug af biomasse'!$B$2:$B$425,$F247)</f>
        <v>0</v>
      </c>
      <c r="M247" s="94">
        <f ca="1">IF(A247&lt;&gt;"Biogas",SUMIFS('Forbrug af biomasse'!$E$2:$E$425,'Forbrug af biomasse'!$C$2:$C$425,'Resultat-Produktion &amp; forbrug'!$A247,'Forbrug af biomasse'!$D$2:$D$425,'Resultat-Produktion &amp; forbrug'!$E247,'Forbrug af biomasse'!$A$2:$A$425,'Resultat-Produktion &amp; forbrug'!M$3,'Forbrug af biomasse'!$B$2:$B$425,$F247),G247)</f>
        <v>127770459.38070777</v>
      </c>
      <c r="N247" s="94">
        <f>SUMIFS('Forbrug af biomasse'!E:E,'Forbrug af biomasse'!C:C,'Resultat-Produktion &amp; forbrug'!$A247,'Forbrug af biomasse'!D:D,'Resultat-Produktion &amp; forbrug'!$E247,'Forbrug af biomasse'!G:G,1,'Forbrug af biomasse'!B:B,$F247)</f>
        <v>0</v>
      </c>
      <c r="O247" s="179">
        <f t="shared" ca="1" si="69"/>
        <v>0</v>
      </c>
      <c r="P247" s="94">
        <f t="shared" ca="1" si="65"/>
        <v>0</v>
      </c>
      <c r="Q247" s="180">
        <f t="shared" ca="1" si="70"/>
        <v>127770459.38070777</v>
      </c>
      <c r="R247">
        <f ca="1">IFERROR(VLOOKUP(A247,[1]Energiindhold!$A$2:$C$11,3,FALSE),IFERROR(VLOOKUP(A247,[1]Biogasudbytte!$A$2:$B$18,2,FALSE)*[1]Energiindhold!$C$10,0))*P247</f>
        <v>0</v>
      </c>
      <c r="S247">
        <f>IF(A247&lt;&gt;"Biogas",IFERROR(VLOOKUP(A247,[1]Biogasudbytte!$A$2:$B$18,2,FALSE)*[1]Energiindhold!$C$10,0)*K247*IFERROR(VLOOKUP(A247,Biogasanlæg!$F$3:$G$8,2,FALSE),1)+IFERROR(VLOOKUP(A247,[1]Energiindhold!$A$2:$C$11,3,FALSE),0)*M247+IF(E247&lt;&gt;År1,R247,0),0)</f>
        <v>0</v>
      </c>
      <c r="T247">
        <f>IFERROR(VLOOKUP(A247,[1]Biogasudbytte!$A$2:$B$18,2,FALSE)*[1]Energiindhold!$C$10,0)*K247*IFERROR(VLOOKUP(A247,Biogasanlæg!$F$3:$G$8,2,FALSE),1)</f>
        <v>0</v>
      </c>
      <c r="U247" s="170">
        <f t="shared" si="71"/>
        <v>0</v>
      </c>
      <c r="V247" s="169">
        <f ca="1">P247*IFERROR(VLOOKUP(A247,[1]Tørstofindhold!A$2:B$24,2,FALSE),0)</f>
        <v>0</v>
      </c>
      <c r="W247">
        <f ca="1">IF(E247=År1,Q247,SUM(P247,Q247))*IFERROR(VLOOKUP(A247,[1]Tørstofindhold!A$2:B$24,2,FALSE),0)</f>
        <v>0</v>
      </c>
      <c r="X247">
        <f>K247*IFERROR(VLOOKUP(A247,[1]Tørstofindhold!A$2:B$24,2,FALSE),0)</f>
        <v>0</v>
      </c>
      <c r="Y247" s="170">
        <f t="shared" ca="1" si="72"/>
        <v>0</v>
      </c>
      <c r="Z247">
        <f t="shared" ca="1" si="66"/>
        <v>0</v>
      </c>
      <c r="AA247">
        <f t="shared" ca="1" si="67"/>
        <v>0</v>
      </c>
      <c r="AB247" s="94">
        <f t="shared" ca="1" si="68"/>
        <v>127770459.38070777</v>
      </c>
      <c r="AC247">
        <f ca="1">AB247*D247*10000*VLOOKUP(A247,[1]kcal!$A$2:$C$49,3,FALSE)/1000000000000</f>
        <v>0</v>
      </c>
    </row>
    <row r="248" spans="1:29" x14ac:dyDescent="0.25">
      <c r="A248" s="171" t="str">
        <f t="shared" si="79"/>
        <v>Biogasgylle</v>
      </c>
      <c r="B248" s="171" t="str">
        <f t="shared" si="80"/>
        <v/>
      </c>
      <c r="C248" s="171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0</v>
      </c>
      <c r="D248" s="171">
        <f t="shared" si="82"/>
        <v>0</v>
      </c>
      <c r="E248" s="171">
        <f t="shared" si="81"/>
        <v>2050</v>
      </c>
      <c r="F248" t="s">
        <v>24</v>
      </c>
      <c r="G248" s="94">
        <f ca="1">IF(F248="Vestdanmark",SUMIFS(IF(E248=År1,'Resultater - Vestdanmark'!H$3:H$504,IF(E248=År2,'Resultater - Vestdanmark'!I$3:I$504,'Resultater - Vestdanmark'!J$3:J$504)),'Resultater - Vestdanmark'!$F$3:$F$504,$A248,IF(E248=År1,'Resultater - Vestdanmark'!H$3:H$504,IF(E248=År2,'Resultater - Vestdanmark'!I$3:I$504,'Resultater - Vestdanmark'!J$3:J$504)),"&gt;0"),SUMIFS(IF(E248=År1,'Resultater - Østdanmark'!H$3:H$504,IF(E248=År2,'Resultater - Østdanmark'!I$3:I$504,'Resultater - Østdanmark'!J$3:J$504)),'Resultater - Østdanmark'!$F$3:$F$504,$A248,IF(E248=År1,'Resultater - Østdanmark'!H$3:H$504,IF(E248=År2,'Resultater - Østdanmark'!I$3:I$504,'Resultater - Østdanmark'!J$3:J$504)),"&gt;0"))</f>
        <v>5931800.6059544124</v>
      </c>
      <c r="H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forbrug'!H$3,'Forbrug af biomasse'!$B$2:$B$425,$F248)</f>
        <v>0</v>
      </c>
      <c r="I248">
        <f>IF(F248="Vestdanmark",-IF(A248="Halm",SUMIFS(IF(E248=År1,'Resultater - Vestdanmark'!H$3:H$504,IF(E248=År2,'Resultater - Vestdanmark'!I$3:I$504,'Resultater - Vestdanmark'!J$3:J$504)),'Resultater - Vestdanmark'!$F$3:$F$504,$A248,'Resultater - Vestdanmark'!H$3:H$504,"&lt;0"),0),-IF(A248="Halm",SUMIFS(IF(E248=År1,'Resultater - Østdanmark'!H$3:H$504,IF(E248=År2,'Resultater - Østdanmark'!I$3:I$504,'Resultater - Østdanmark'!J$3:J$504)),'Resultater - Østdanmark'!$F$3:$F$504,$A248,'Resultater - Østdanmark'!H$3:H$504,"&lt;0"),0))</f>
        <v>0</v>
      </c>
      <c r="J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forbrug'!J$3,'Forbrug af biomasse'!$B$2:$B$425,$F248)</f>
        <v>0</v>
      </c>
      <c r="K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forbrug'!K$3,'Forbrug af biomasse'!$B$2:$B$425,$F248)</f>
        <v>0</v>
      </c>
      <c r="L248" s="94">
        <f ca="1">SUMIFS('Forbrug af biomasse'!$E$2:$E$425,'Forbrug af biomasse'!$C$2:$C$425,'Resultat-Produktion &amp; forbrug'!$A248,'Forbrug af biomasse'!$D$2:$D$425,'Resultat-Produktion &amp; forbrug'!$E248,'Forbrug af biomasse'!$A$2:$A$425,'Resultat-Produktion &amp; forbrug'!L$3,'Forbrug af biomasse'!$B$2:$B$425,$F248)</f>
        <v>4680862.224178886</v>
      </c>
      <c r="M248" s="94">
        <f>IF(A248&lt;&gt;"Biogas",SUMIFS('Forbrug af biomasse'!$E$2:$E$425,'Forbrug af biomasse'!$C$2:$C$425,'Resultat-Produktion &amp; forbrug'!$A248,'Forbrug af biomasse'!$D$2:$D$425,'Resultat-Produktion &amp; forbrug'!$E248,'Forbrug af biomasse'!$A$2:$A$425,'Resultat-Produktion &amp; forbrug'!M$3,'Forbrug af biomasse'!$B$2:$B$425,$F248),G248)</f>
        <v>0</v>
      </c>
      <c r="N248" s="94">
        <f>SUMIFS('Forbrug af biomasse'!E:E,'Forbrug af biomasse'!C:C,'Resultat-Produktion &amp; forbrug'!$A248,'Forbrug af biomasse'!D:D,'Resultat-Produktion &amp; forbrug'!$E248,'Forbrug af biomasse'!G:G,1,'Forbrug af biomasse'!B:B,$F248)</f>
        <v>0</v>
      </c>
      <c r="O248" s="179">
        <f t="shared" ca="1" si="69"/>
        <v>1250938.3817755263</v>
      </c>
      <c r="P248" s="94">
        <f t="shared" si="65"/>
        <v>0</v>
      </c>
      <c r="Q248" s="180">
        <f t="shared" si="70"/>
        <v>0</v>
      </c>
      <c r="R248">
        <f>IFERROR(VLOOKUP(A248,[1]Energiindhold!$A$2:$C$11,3,FALSE),IFERROR(VLOOKUP(A248,[1]Biogasudbytte!$A$2:$B$18,2,FALSE)*[1]Energiindhold!$C$10,0))*P248</f>
        <v>0</v>
      </c>
      <c r="S248">
        <f>IF(A248&lt;&gt;"Biogas",IFERROR(VLOOKUP(A248,[1]Biogasudbytte!$A$2:$B$18,2,FALSE)*[1]Energiindhold!$C$10,0)*K248*IFERROR(VLOOKUP(A248,Biogasanlæg!$F$3:$G$8,2,FALSE),1)+IFERROR(VLOOKUP(A248,[1]Energiindhold!$A$2:$C$11,3,FALSE),0)*M248+IF(E248&lt;&gt;År1,R248,0),0)</f>
        <v>0</v>
      </c>
      <c r="T248">
        <f>IFERROR(VLOOKUP(A248,[1]Biogasudbytte!$A$2:$B$18,2,FALSE)*[1]Energiindhold!$C$10,0)*K248*IFERROR(VLOOKUP(A248,Biogasanlæg!$F$3:$G$8,2,FALSE),1)</f>
        <v>0</v>
      </c>
      <c r="U248" s="170">
        <f t="shared" si="71"/>
        <v>0</v>
      </c>
      <c r="V248" s="169">
        <f>P248*IFERROR(VLOOKUP(A248,[1]Tørstofindhold!A$2:B$24,2,FALSE),0)</f>
        <v>0</v>
      </c>
      <c r="W248">
        <f>IF(E248=År1,Q248,SUM(P248,Q248))*IFERROR(VLOOKUP(A248,[1]Tørstofindhold!A$2:B$24,2,FALSE),0)</f>
        <v>0</v>
      </c>
      <c r="X248">
        <f>K248*IFERROR(VLOOKUP(A248,[1]Tørstofindhold!A$2:B$24,2,FALSE),0)</f>
        <v>0</v>
      </c>
      <c r="Y248" s="170">
        <f t="shared" si="72"/>
        <v>0</v>
      </c>
      <c r="Z248">
        <f t="shared" ca="1" si="66"/>
        <v>0</v>
      </c>
      <c r="AA248">
        <f t="shared" ca="1" si="67"/>
        <v>1</v>
      </c>
      <c r="AB248" s="94">
        <f t="shared" ca="1" si="68"/>
        <v>1250938.3817755263</v>
      </c>
      <c r="AC248">
        <f ca="1">AB248*D248*10000*VLOOKUP(A248,[1]kcal!$A$2:$C$49,3,FALSE)/1000000000000</f>
        <v>0</v>
      </c>
    </row>
    <row r="249" spans="1:29" x14ac:dyDescent="0.25">
      <c r="A249" s="171" t="str">
        <f t="shared" si="79"/>
        <v>Brun saft</v>
      </c>
      <c r="B249" s="171" t="str">
        <f t="shared" si="80"/>
        <v>Bionedbrydeligt affald</v>
      </c>
      <c r="C249" s="171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71">
        <f t="shared" si="82"/>
        <v>0</v>
      </c>
      <c r="E249" s="171">
        <f t="shared" si="81"/>
        <v>2050</v>
      </c>
      <c r="F249" t="s">
        <v>24</v>
      </c>
      <c r="G249" s="94">
        <f ca="1">IF(F249="Vestdanmark",SUMIFS(IF(E249=År1,'Resultater - Vestdanmark'!H$3:H$504,IF(E249=År2,'Resultater - Vestdanmark'!I$3:I$504,'Resultater - Vestdanmark'!J$3:J$504)),'Resultater - Vestdanmark'!$F$3:$F$504,$A249,IF(E249=År1,'Resultater - Vestdanmark'!H$3:H$504,IF(E249=År2,'Resultater - Vestdanmark'!I$3:I$504,'Resultater - Vestdanmark'!J$3:J$504)),"&gt;0"),SUMIFS(IF(E249=År1,'Resultater - Østdanmark'!H$3:H$504,IF(E249=År2,'Resultater - Østdanmark'!I$3:I$504,'Resultater - Østdanmark'!J$3:J$504)),'Resultater - Østdanmark'!$F$3:$F$504,$A249,IF(E249=År1,'Resultater - Østdanmark'!H$3:H$504,IF(E249=År2,'Resultater - Østdanmark'!I$3:I$504,'Resultater - Østdanmark'!J$3:J$504)),"&gt;0"))</f>
        <v>0</v>
      </c>
      <c r="H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forbrug'!H$3,'Forbrug af biomasse'!$B$2:$B$425,$F249)</f>
        <v>0</v>
      </c>
      <c r="I249">
        <f>IF(F249="Vestdanmark",-IF(A249="Halm",SUMIFS(IF(E249=År1,'Resultater - Vestdanmark'!H$3:H$504,IF(E249=År2,'Resultater - Vestdanmark'!I$3:I$504,'Resultater - Vestdanmark'!J$3:J$504)),'Resultater - Vestdanmark'!$F$3:$F$504,$A249,'Resultater - Vestdanmark'!H$3:H$504,"&lt;0"),0),-IF(A249="Halm",SUMIFS(IF(E249=År1,'Resultater - Østdanmark'!H$3:H$504,IF(E249=År2,'Resultater - Østdanmark'!I$3:I$504,'Resultater - Østdanmark'!J$3:J$504)),'Resultater - Østdanmark'!$F$3:$F$504,$A249,'Resultater - Østdanmark'!H$3:H$504,"&lt;0"),0))</f>
        <v>0</v>
      </c>
      <c r="J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forbrug'!J$3,'Forbrug af biomasse'!$B$2:$B$425,$F249)</f>
        <v>0</v>
      </c>
      <c r="K249" s="94">
        <f ca="1">SUMIFS('Forbrug af biomasse'!$E$2:$E$425,'Forbrug af biomasse'!$C$2:$C$425,'Resultat-Produktion &amp; forbrug'!$A249,'Forbrug af biomasse'!$D$2:$D$425,'Resultat-Produktion &amp; forbrug'!$E249,'Forbrug af biomasse'!$A$2:$A$425,'Resultat-Produktion &amp; forbrug'!K$3,'Forbrug af biomasse'!$B$2:$B$425,$F249)</f>
        <v>0</v>
      </c>
      <c r="L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forbrug'!L$3,'Forbrug af biomasse'!$B$2:$B$425,$F249)</f>
        <v>0</v>
      </c>
      <c r="M249" s="94">
        <f>IF(A249&lt;&gt;"Biogas",SUMIFS('Forbrug af biomasse'!$E$2:$E$425,'Forbrug af biomasse'!$C$2:$C$425,'Resultat-Produktion &amp; forbrug'!$A249,'Forbrug af biomasse'!$D$2:$D$425,'Resultat-Produktion &amp; forbrug'!$E249,'Forbrug af biomasse'!$A$2:$A$425,'Resultat-Produktion &amp; forbrug'!M$3,'Forbrug af biomasse'!$B$2:$B$425,$F249),G249)</f>
        <v>0</v>
      </c>
      <c r="N249" s="94">
        <f>SUMIFS('Forbrug af biomasse'!E:E,'Forbrug af biomasse'!C:C,'Resultat-Produktion &amp; forbrug'!$A249,'Forbrug af biomasse'!D:D,'Resultat-Produktion &amp; forbrug'!$E249,'Forbrug af biomasse'!G:G,1,'Forbrug af biomasse'!B:B,$F249)</f>
        <v>0</v>
      </c>
      <c r="O249" s="179">
        <f t="shared" ca="1" si="69"/>
        <v>0</v>
      </c>
      <c r="P249" s="94">
        <f t="shared" ca="1" si="65"/>
        <v>0</v>
      </c>
      <c r="Q249" s="180">
        <f t="shared" ca="1" si="70"/>
        <v>0</v>
      </c>
      <c r="R249">
        <f ca="1">IFERROR(VLOOKUP(A249,[1]Energiindhold!$A$2:$C$11,3,FALSE),IFERROR(VLOOKUP(A249,[1]Biogasudbytte!$A$2:$B$18,2,FALSE)*[1]Energiindhold!$C$10,0))*P249</f>
        <v>0</v>
      </c>
      <c r="S249">
        <f ca="1">IF(A249&lt;&gt;"Biogas",IFERROR(VLOOKUP(A249,[1]Biogasudbytte!$A$2:$B$18,2,FALSE)*[1]Energiindhold!$C$10,0)*K249*IFERROR(VLOOKUP(A249,Biogasanlæg!$F$3:$G$8,2,FALSE),1)+IFERROR(VLOOKUP(A249,[1]Energiindhold!$A$2:$C$11,3,FALSE),0)*M249+IF(E249&lt;&gt;År1,R249,0),0)</f>
        <v>0</v>
      </c>
      <c r="T249">
        <f ca="1">IFERROR(VLOOKUP(A249,[1]Biogasudbytte!$A$2:$B$18,2,FALSE)*[1]Energiindhold!$C$10,0)*K249*IFERROR(VLOOKUP(A249,Biogasanlæg!$F$3:$G$8,2,FALSE),1)</f>
        <v>0</v>
      </c>
      <c r="U249" s="170">
        <f t="shared" ca="1" si="71"/>
        <v>0</v>
      </c>
      <c r="V249" s="169">
        <f ca="1">P249*IFERROR(VLOOKUP(A249,[1]Tørstofindhold!A$2:B$24,2,FALSE),0)</f>
        <v>0</v>
      </c>
      <c r="W249">
        <f ca="1">IF(E249=År1,Q249,SUM(P249,Q249))*IFERROR(VLOOKUP(A249,[1]Tørstofindhold!A$2:B$24,2,FALSE),0)</f>
        <v>0</v>
      </c>
      <c r="X249">
        <f ca="1">K249*IFERROR(VLOOKUP(A249,[1]Tørstofindhold!A$2:B$24,2,FALSE),0)</f>
        <v>0</v>
      </c>
      <c r="Y249" s="170">
        <f t="shared" ca="1" si="72"/>
        <v>0</v>
      </c>
      <c r="Z249">
        <f t="shared" ca="1" si="66"/>
        <v>0</v>
      </c>
      <c r="AA249">
        <f t="shared" ca="1" si="67"/>
        <v>0</v>
      </c>
      <c r="AB249" s="94">
        <f t="shared" ca="1" si="68"/>
        <v>0</v>
      </c>
      <c r="AC249">
        <f ca="1">AB249*D249*10000*VLOOKUP(A249,[1]kcal!$A$2:$C$49,3,FALSE)/1000000000000</f>
        <v>0</v>
      </c>
    </row>
    <row r="250" spans="1:29" x14ac:dyDescent="0.25">
      <c r="A250" s="171" t="str">
        <f t="shared" si="79"/>
        <v>Dybstrøelse</v>
      </c>
      <c r="B250" s="171" t="str">
        <f t="shared" si="80"/>
        <v>Husdyrgødning</v>
      </c>
      <c r="C250" s="171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1</v>
      </c>
      <c r="D250" s="171">
        <f t="shared" si="82"/>
        <v>0</v>
      </c>
      <c r="E250" s="171">
        <f t="shared" si="81"/>
        <v>2050</v>
      </c>
      <c r="F250" t="s">
        <v>24</v>
      </c>
      <c r="G250" s="94">
        <f ca="1">IF(F250="Vestdanmark",SUMIFS(IF(E250=År1,'Resultater - Vestdanmark'!H$3:H$504,IF(E250=År2,'Resultater - Vestdanmark'!I$3:I$504,'Resultater - Vestdanmark'!J$3:J$504)),'Resultater - Vestdanmark'!$F$3:$F$504,$A250,IF(E250=År1,'Resultater - Vestdanmark'!H$3:H$504,IF(E250=År2,'Resultater - Vestdanmark'!I$3:I$504,'Resultater - Vestdanmark'!J$3:J$504)),"&gt;0"),SUMIFS(IF(E250=År1,'Resultater - Østdanmark'!H$3:H$504,IF(E250=År2,'Resultater - Østdanmark'!I$3:I$504,'Resultater - Østdanmark'!J$3:J$504)),'Resultater - Østdanmark'!$F$3:$F$504,$A250,IF(E250=År1,'Resultater - Østdanmark'!H$3:H$504,IF(E250=År2,'Resultater - Østdanmark'!I$3:I$504,'Resultater - Østdanmark'!J$3:J$504)),"&gt;0"))</f>
        <v>342152.71828788641</v>
      </c>
      <c r="H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forbrug'!H$3,'Forbrug af biomasse'!$B$2:$B$425,$F250)</f>
        <v>0</v>
      </c>
      <c r="I250">
        <f>IF(F250="Vestdanmark",-IF(A250="Halm",SUMIFS(IF(E250=År1,'Resultater - Vestdanmark'!H$3:H$504,IF(E250=År2,'Resultater - Vestdanmark'!I$3:I$504,'Resultater - Vestdanmark'!J$3:J$504)),'Resultater - Vestdanmark'!$F$3:$F$504,$A250,'Resultater - Vestdanmark'!H$3:H$504,"&lt;0"),0),-IF(A250="Halm",SUMIFS(IF(E250=År1,'Resultater - Østdanmark'!H$3:H$504,IF(E250=År2,'Resultater - Østdanmark'!I$3:I$504,'Resultater - Østdanmark'!J$3:J$504)),'Resultater - Østdanmark'!$F$3:$F$504,$A250,'Resultater - Østdanmark'!H$3:H$504,"&lt;0"),0))</f>
        <v>0</v>
      </c>
      <c r="J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forbrug'!J$3,'Forbrug af biomasse'!$B$2:$B$425,$F250)</f>
        <v>0</v>
      </c>
      <c r="K250" s="94">
        <f ca="1">SUMIFS('Forbrug af biomasse'!$E$2:$E$425,'Forbrug af biomasse'!$C$2:$C$425,'Resultat-Produktion &amp; forbrug'!$A250,'Forbrug af biomasse'!$D$2:$D$425,'Resultat-Produktion &amp; forbrug'!$E250,'Forbrug af biomasse'!$A$2:$A$425,'Resultat-Produktion &amp; forbrug'!K$3,'Forbrug af biomasse'!$B$2:$B$425,$F250)</f>
        <v>307937.44645909779</v>
      </c>
      <c r="L250" s="94">
        <f ca="1">SUMIFS('Forbrug af biomasse'!$E$2:$E$425,'Forbrug af biomasse'!$C$2:$C$425,'Resultat-Produktion &amp; forbrug'!$A250,'Forbrug af biomasse'!$D$2:$D$425,'Resultat-Produktion &amp; forbrug'!$E250,'Forbrug af biomasse'!$A$2:$A$425,'Resultat-Produktion &amp; forbrug'!L$3,'Forbrug af biomasse'!$B$2:$B$425,$F250)</f>
        <v>12952.924335184269</v>
      </c>
      <c r="M250" s="94">
        <f>IF(A250&lt;&gt;"Biogas",SUMIFS('Forbrug af biomasse'!$E$2:$E$425,'Forbrug af biomasse'!$C$2:$C$425,'Resultat-Produktion &amp; forbrug'!$A250,'Forbrug af biomasse'!$D$2:$D$425,'Resultat-Produktion &amp; forbrug'!$E250,'Forbrug af biomasse'!$A$2:$A$425,'Resultat-Produktion &amp; forbrug'!M$3,'Forbrug af biomasse'!$B$2:$B$425,$F250),G250)</f>
        <v>0</v>
      </c>
      <c r="N250" s="94">
        <f>SUMIFS('Forbrug af biomasse'!E:E,'Forbrug af biomasse'!C:C,'Resultat-Produktion &amp; forbrug'!$A250,'Forbrug af biomasse'!D:D,'Resultat-Produktion &amp; forbrug'!$E250,'Forbrug af biomasse'!G:G,1,'Forbrug af biomasse'!B:B,$F250)</f>
        <v>0</v>
      </c>
      <c r="O250" s="179">
        <f t="shared" ca="1" si="69"/>
        <v>21262.347493604349</v>
      </c>
      <c r="P250" s="94">
        <f t="shared" ca="1" si="65"/>
        <v>21262.347493604349</v>
      </c>
      <c r="Q250" s="180">
        <f t="shared" ca="1" si="70"/>
        <v>307937.44645909779</v>
      </c>
      <c r="R250">
        <f ca="1">IFERROR(VLOOKUP(A250,[1]Energiindhold!$A$2:$C$11,3,FALSE),IFERROR(VLOOKUP(A250,[1]Biogasudbytte!$A$2:$B$18,2,FALSE)*[1]Energiindhold!$C$10,0))*P250</f>
        <v>4.5799096501223768E-2</v>
      </c>
      <c r="S250">
        <f ca="1">IF(A250&lt;&gt;"Biogas",IFERROR(VLOOKUP(A250,[1]Biogasudbytte!$A$2:$B$18,2,FALSE)*[1]Energiindhold!$C$10,0)*K250*IFERROR(VLOOKUP(A250,Biogasanlæg!$F$3:$G$8,2,FALSE),1)+IFERROR(VLOOKUP(A250,[1]Energiindhold!$A$2:$C$11,3,FALSE),0)*M250+IF(E250&lt;&gt;År1,R250,0),0)</f>
        <v>0.70909635617412037</v>
      </c>
      <c r="T250">
        <f ca="1">IFERROR(VLOOKUP(A250,[1]Biogasudbytte!$A$2:$B$18,2,FALSE)*[1]Energiindhold!$C$10,0)*K250*IFERROR(VLOOKUP(A250,Biogasanlæg!$F$3:$G$8,2,FALSE),1)</f>
        <v>0.66329725967289666</v>
      </c>
      <c r="U250" s="170">
        <f t="shared" ca="1" si="71"/>
        <v>4.5799096501223713E-2</v>
      </c>
      <c r="V250" s="169">
        <f ca="1">P250*IFERROR(VLOOKUP(A250,[1]Tørstofindhold!A$2:B$24,2,FALSE),0)</f>
        <v>6378.7042480813043</v>
      </c>
      <c r="W250">
        <f ca="1">IF(E250=År1,Q250,SUM(P250,Q250))*IFERROR(VLOOKUP(A250,[1]Tørstofindhold!A$2:B$24,2,FALSE),0)</f>
        <v>98759.938185810635</v>
      </c>
      <c r="X250">
        <f ca="1">K250*IFERROR(VLOOKUP(A250,[1]Tørstofindhold!A$2:B$24,2,FALSE),0)</f>
        <v>92381.233937729339</v>
      </c>
      <c r="Y250" s="170">
        <f t="shared" ca="1" si="72"/>
        <v>6378.7042480812961</v>
      </c>
      <c r="Z250">
        <f t="shared" ca="1" si="66"/>
        <v>0</v>
      </c>
      <c r="AA250">
        <f t="shared" ca="1" si="67"/>
        <v>1</v>
      </c>
      <c r="AB250" s="94">
        <f t="shared" ca="1" si="68"/>
        <v>21262.347493604349</v>
      </c>
      <c r="AC250">
        <f ca="1">AB250*D250*10000*VLOOKUP(A250,[1]kcal!$A$2:$C$49,3,FALSE)/1000000000000</f>
        <v>0</v>
      </c>
    </row>
    <row r="251" spans="1:29" x14ac:dyDescent="0.25">
      <c r="A251" s="171" t="str">
        <f t="shared" si="79"/>
        <v>Fiberfraktion</v>
      </c>
      <c r="B251" s="171" t="str">
        <f t="shared" si="80"/>
        <v/>
      </c>
      <c r="C251" s="171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0</v>
      </c>
      <c r="D251" s="171">
        <f t="shared" si="82"/>
        <v>0</v>
      </c>
      <c r="E251" s="171">
        <f t="shared" si="81"/>
        <v>2050</v>
      </c>
      <c r="F251" t="s">
        <v>24</v>
      </c>
      <c r="G251" s="94">
        <f ca="1">IF(F251="Vestdanmark",SUMIFS(IF(E251=År1,'Resultater - Vestdanmark'!H$3:H$504,IF(E251=År2,'Resultater - Vestdanmark'!I$3:I$504,'Resultater - Vestdanmark'!J$3:J$504)),'Resultater - Vestdanmark'!$F$3:$F$504,$A251,IF(E251=År1,'Resultater - Vestdanmark'!H$3:H$504,IF(E251=År2,'Resultater - Vestdanmark'!I$3:I$504,'Resultater - Vestdanmark'!J$3:J$504)),"&gt;0"),SUMIFS(IF(E251=År1,'Resultater - Østdanmark'!H$3:H$504,IF(E251=År2,'Resultater - Østdanmark'!I$3:I$504,'Resultater - Østdanmark'!J$3:J$504)),'Resultater - Østdanmark'!$F$3:$F$504,$A251,IF(E251=År1,'Resultater - Østdanmark'!H$3:H$504,IF(E251=År2,'Resultater - Østdanmark'!I$3:I$504,'Resultater - Østdanmark'!J$3:J$504)),"&gt;0"))</f>
        <v>0</v>
      </c>
      <c r="H251" s="94">
        <f ca="1">SUMIFS('Forbrug af biomasse'!$E$2:$E$425,'Forbrug af biomasse'!$C$2:$C$425,'Resultat-Produktion &amp; forbrug'!$A251,'Forbrug af biomasse'!$D$2:$D$425,'Resultat-Produktion &amp; forbrug'!$E251,'Forbrug af biomasse'!$A$2:$A$425,'Resultat-Produktion &amp; forbrug'!H$3,'Forbrug af biomasse'!$B$2:$B$425,$F251)</f>
        <v>0</v>
      </c>
      <c r="I251">
        <f>IF(F251="Vestdanmark",-IF(A251="Halm",SUMIFS(IF(E251=År1,'Resultater - Vestdanmark'!H$3:H$504,IF(E251=År2,'Resultater - Vestdanmark'!I$3:I$504,'Resultater - Vestdanmark'!J$3:J$504)),'Resultater - Vestdanmark'!$F$3:$F$504,$A251,'Resultater - Vestdanmark'!H$3:H$504,"&lt;0"),0),-IF(A251="Halm",SUMIFS(IF(E251=År1,'Resultater - Østdanmark'!H$3:H$504,IF(E251=År2,'Resultater - Østdanmark'!I$3:I$504,'Resultater - Østdanmark'!J$3:J$504)),'Resultater - Østdanmark'!$F$3:$F$504,$A251,'Resultater - Østdanmark'!H$3:H$504,"&lt;0"),0))</f>
        <v>0</v>
      </c>
      <c r="J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forbrug'!J$3,'Forbrug af biomasse'!$B$2:$B$425,$F251)</f>
        <v>0</v>
      </c>
      <c r="K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forbrug'!K$3,'Forbrug af biomasse'!$B$2:$B$425,$F251)</f>
        <v>0</v>
      </c>
      <c r="L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forbrug'!L$3,'Forbrug af biomasse'!$B$2:$B$425,$F251)</f>
        <v>0</v>
      </c>
      <c r="M251" s="94">
        <f>IF(A251&lt;&gt;"Biogas",SUMIFS('Forbrug af biomasse'!$E$2:$E$425,'Forbrug af biomasse'!$C$2:$C$425,'Resultat-Produktion &amp; forbrug'!$A251,'Forbrug af biomasse'!$D$2:$D$425,'Resultat-Produktion &amp; forbrug'!$E251,'Forbrug af biomasse'!$A$2:$A$425,'Resultat-Produktion &amp; forbrug'!M$3,'Forbrug af biomasse'!$B$2:$B$425,$F251),G251)</f>
        <v>0</v>
      </c>
      <c r="N251" s="94">
        <f>SUMIFS('Forbrug af biomasse'!E:E,'Forbrug af biomasse'!C:C,'Resultat-Produktion &amp; forbrug'!$A251,'Forbrug af biomasse'!D:D,'Resultat-Produktion &amp; forbrug'!$E251,'Forbrug af biomasse'!G:G,1,'Forbrug af biomasse'!B:B,$F251)</f>
        <v>0</v>
      </c>
      <c r="O251" s="179">
        <f t="shared" ca="1" si="69"/>
        <v>0</v>
      </c>
      <c r="P251" s="94">
        <f t="shared" si="65"/>
        <v>0</v>
      </c>
      <c r="Q251" s="180">
        <f t="shared" si="70"/>
        <v>0</v>
      </c>
      <c r="R251">
        <f>IFERROR(VLOOKUP(A251,[1]Energiindhold!$A$2:$C$11,3,FALSE),IFERROR(VLOOKUP(A251,[1]Biogasudbytte!$A$2:$B$18,2,FALSE)*[1]Energiindhold!$C$10,0))*P251</f>
        <v>0</v>
      </c>
      <c r="S251">
        <f>IF(A251&lt;&gt;"Biogas",IFERROR(VLOOKUP(A251,[1]Biogasudbytte!$A$2:$B$18,2,FALSE)*[1]Energiindhold!$C$10,0)*K251*IFERROR(VLOOKUP(A251,Biogasanlæg!$F$3:$G$8,2,FALSE),1)+IFERROR(VLOOKUP(A251,[1]Energiindhold!$A$2:$C$11,3,FALSE),0)*M251+IF(E251&lt;&gt;År1,R251,0),0)</f>
        <v>0</v>
      </c>
      <c r="T251">
        <f>IFERROR(VLOOKUP(A251,[1]Biogasudbytte!$A$2:$B$18,2,FALSE)*[1]Energiindhold!$C$10,0)*K251*IFERROR(VLOOKUP(A251,Biogasanlæg!$F$3:$G$8,2,FALSE),1)</f>
        <v>0</v>
      </c>
      <c r="U251" s="170">
        <f t="shared" si="71"/>
        <v>0</v>
      </c>
      <c r="V251" s="169">
        <f>P251*IFERROR(VLOOKUP(A251,[1]Tørstofindhold!A$2:B$24,2,FALSE),0)</f>
        <v>0</v>
      </c>
      <c r="W251">
        <f>IF(E251=År1,Q251,SUM(P251,Q251))*IFERROR(VLOOKUP(A251,[1]Tørstofindhold!A$2:B$24,2,FALSE),0)</f>
        <v>0</v>
      </c>
      <c r="X251">
        <f>K251*IFERROR(VLOOKUP(A251,[1]Tørstofindhold!A$2:B$24,2,FALSE),0)</f>
        <v>0</v>
      </c>
      <c r="Y251" s="170">
        <f t="shared" si="72"/>
        <v>0</v>
      </c>
      <c r="Z251">
        <f t="shared" ca="1" si="66"/>
        <v>0</v>
      </c>
      <c r="AA251">
        <f t="shared" ca="1" si="67"/>
        <v>0</v>
      </c>
      <c r="AB251" s="94">
        <f t="shared" ca="1" si="68"/>
        <v>0</v>
      </c>
      <c r="AC251">
        <f ca="1">AB251*D251*10000*VLOOKUP(A251,[1]kcal!$A$2:$C$49,3,FALSE)/1000000000000</f>
        <v>0</v>
      </c>
    </row>
    <row r="252" spans="1:29" x14ac:dyDescent="0.25">
      <c r="A252" s="171" t="str">
        <f t="shared" si="79"/>
        <v>Fjerkrægylle</v>
      </c>
      <c r="B252" s="171" t="str">
        <f t="shared" si="80"/>
        <v>Husdyrgødning</v>
      </c>
      <c r="C252" s="171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1</v>
      </c>
      <c r="D252" s="171">
        <f t="shared" si="82"/>
        <v>0</v>
      </c>
      <c r="E252" s="171">
        <f t="shared" si="81"/>
        <v>2050</v>
      </c>
      <c r="F252" t="s">
        <v>24</v>
      </c>
      <c r="G252" s="94">
        <f ca="1">IF(F252="Vestdanmark",SUMIFS(IF(E252=År1,'Resultater - Vestdanmark'!H$3:H$504,IF(E252=År2,'Resultater - Vestdanmark'!I$3:I$504,'Resultater - Vestdanmark'!J$3:J$504)),'Resultater - Vestdanmark'!$F$3:$F$504,$A252,IF(E252=År1,'Resultater - Vestdanmark'!H$3:H$504,IF(E252=År2,'Resultater - Vestdanmark'!I$3:I$504,'Resultater - Vestdanmark'!J$3:J$504)),"&gt;0"),SUMIFS(IF(E252=År1,'Resultater - Østdanmark'!H$3:H$504,IF(E252=År2,'Resultater - Østdanmark'!I$3:I$504,'Resultater - Østdanmark'!J$3:J$504)),'Resultater - Østdanmark'!$F$3:$F$504,$A252,IF(E252=År1,'Resultater - Østdanmark'!H$3:H$504,IF(E252=År2,'Resultater - Østdanmark'!I$3:I$504,'Resultater - Østdanmark'!J$3:J$504)),"&gt;0"))</f>
        <v>723.09839736855315</v>
      </c>
      <c r="H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forbrug'!H$3,'Forbrug af biomasse'!$B$2:$B$425,$F252)</f>
        <v>0</v>
      </c>
      <c r="I252">
        <f>IF(F252="Vestdanmark",-IF(A252="Halm",SUMIFS(IF(E252=År1,'Resultater - Vestdanmark'!H$3:H$504,IF(E252=År2,'Resultater - Vestdanmark'!I$3:I$504,'Resultater - Vestdanmark'!J$3:J$504)),'Resultater - Vestdanmark'!$F$3:$F$504,$A252,'Resultater - Vestdanmark'!H$3:H$504,"&lt;0"),0),-IF(A252="Halm",SUMIFS(IF(E252=År1,'Resultater - Østdanmark'!H$3:H$504,IF(E252=År2,'Resultater - Østdanmark'!I$3:I$504,'Resultater - Østdanmark'!J$3:J$504)),'Resultater - Østdanmark'!$F$3:$F$504,$A252,'Resultater - Østdanmark'!H$3:H$504,"&lt;0"),0))</f>
        <v>0</v>
      </c>
      <c r="J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forbrug'!J$3,'Forbrug af biomasse'!$B$2:$B$425,$F252)</f>
        <v>0</v>
      </c>
      <c r="K252" s="94">
        <f ca="1">SUMIFS('Forbrug af biomasse'!$E$2:$E$425,'Forbrug af biomasse'!$C$2:$C$425,'Resultat-Produktion &amp; forbrug'!$A252,'Forbrug af biomasse'!$D$2:$D$425,'Resultat-Produktion &amp; forbrug'!$E252,'Forbrug af biomasse'!$A$2:$A$425,'Resultat-Produktion &amp; forbrug'!K$3,'Forbrug af biomasse'!$B$2:$B$425,$F252)</f>
        <v>650.78855763169781</v>
      </c>
      <c r="L252" s="94">
        <f ca="1">SUMIFS('Forbrug af biomasse'!$E$2:$E$425,'Forbrug af biomasse'!$C$2:$C$425,'Resultat-Produktion &amp; forbrug'!$A252,'Forbrug af biomasse'!$D$2:$D$425,'Resultat-Produktion &amp; forbrug'!$E252,'Forbrug af biomasse'!$A$2:$A$425,'Resultat-Produktion &amp; forbrug'!L$3,'Forbrug af biomasse'!$B$2:$B$425,$F252)</f>
        <v>72.309839736855295</v>
      </c>
      <c r="M252" s="94">
        <f>IF(A252&lt;&gt;"Biogas",SUMIFS('Forbrug af biomasse'!$E$2:$E$425,'Forbrug af biomasse'!$C$2:$C$425,'Resultat-Produktion &amp; forbrug'!$A252,'Forbrug af biomasse'!$D$2:$D$425,'Resultat-Produktion &amp; forbrug'!$E252,'Forbrug af biomasse'!$A$2:$A$425,'Resultat-Produktion &amp; forbrug'!M$3,'Forbrug af biomasse'!$B$2:$B$425,$F252),G252)</f>
        <v>0</v>
      </c>
      <c r="N252" s="94">
        <f>SUMIFS('Forbrug af biomasse'!E:E,'Forbrug af biomasse'!C:C,'Resultat-Produktion &amp; forbrug'!$A252,'Forbrug af biomasse'!D:D,'Resultat-Produktion &amp; forbrug'!$E252,'Forbrug af biomasse'!G:G,1,'Forbrug af biomasse'!B:B,$F252)</f>
        <v>0</v>
      </c>
      <c r="O252" s="179">
        <f t="shared" ca="1" si="69"/>
        <v>0</v>
      </c>
      <c r="P252" s="94">
        <f t="shared" ca="1" si="65"/>
        <v>0</v>
      </c>
      <c r="Q252" s="180">
        <f t="shared" ca="1" si="70"/>
        <v>650.78855763169781</v>
      </c>
      <c r="R252">
        <f ca="1">IFERROR(VLOOKUP(A252,[1]Energiindhold!$A$2:$C$11,3,FALSE),IFERROR(VLOOKUP(A252,[1]Biogasudbytte!$A$2:$B$18,2,FALSE)*[1]Energiindhold!$C$10,0))*P252</f>
        <v>0</v>
      </c>
      <c r="S252">
        <f ca="1">IF(A252&lt;&gt;"Biogas",IFERROR(VLOOKUP(A252,[1]Biogasudbytte!$A$2:$B$18,2,FALSE)*[1]Energiindhold!$C$10,0)*K252*IFERROR(VLOOKUP(A252,Biogasanlæg!$F$3:$G$8,2,FALSE),1)+IFERROR(VLOOKUP(A252,[1]Energiindhold!$A$2:$C$11,3,FALSE),0)*M252+IF(E252&lt;&gt;År1,R252,0),0)</f>
        <v>3.0605935076861117E-4</v>
      </c>
      <c r="T252">
        <f ca="1">IFERROR(VLOOKUP(A252,[1]Biogasudbytte!$A$2:$B$18,2,FALSE)*[1]Energiindhold!$C$10,0)*K252*IFERROR(VLOOKUP(A252,Biogasanlæg!$F$3:$G$8,2,FALSE),1)</f>
        <v>3.0605935076861117E-4</v>
      </c>
      <c r="U252" s="170">
        <f t="shared" ca="1" si="71"/>
        <v>0</v>
      </c>
      <c r="V252" s="169">
        <f ca="1">P252*IFERROR(VLOOKUP(A252,[1]Tørstofindhold!A$2:B$24,2,FALSE),0)</f>
        <v>0</v>
      </c>
      <c r="W252">
        <f ca="1">IF(E252=År1,Q252,SUM(P252,Q252))*IFERROR(VLOOKUP(A252,[1]Tørstofindhold!A$2:B$24,2,FALSE),0)</f>
        <v>40.999679130796963</v>
      </c>
      <c r="X252">
        <f ca="1">K252*IFERROR(VLOOKUP(A252,[1]Tørstofindhold!A$2:B$24,2,FALSE),0)</f>
        <v>40.999679130796963</v>
      </c>
      <c r="Y252" s="170">
        <f t="shared" ca="1" si="72"/>
        <v>0</v>
      </c>
      <c r="Z252">
        <f t="shared" ca="1" si="66"/>
        <v>0</v>
      </c>
      <c r="AA252">
        <f t="shared" ca="1" si="67"/>
        <v>0</v>
      </c>
      <c r="AB252" s="94">
        <f t="shared" ca="1" si="68"/>
        <v>0</v>
      </c>
      <c r="AC252">
        <f ca="1">AB252*D252*10000*VLOOKUP(A252,[1]kcal!$A$2:$C$49,3,FALSE)/1000000000000</f>
        <v>0</v>
      </c>
    </row>
    <row r="253" spans="1:29" x14ac:dyDescent="0.25">
      <c r="A253" s="171" t="str">
        <f t="shared" si="79"/>
        <v>Fjerkrækød</v>
      </c>
      <c r="B253" s="171" t="str">
        <f t="shared" si="80"/>
        <v/>
      </c>
      <c r="C253" s="171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71">
        <f t="shared" si="82"/>
        <v>1</v>
      </c>
      <c r="E253" s="171">
        <f t="shared" si="81"/>
        <v>2050</v>
      </c>
      <c r="F253" t="s">
        <v>24</v>
      </c>
      <c r="G253" s="94">
        <f ca="1">IF(F253="Vestdanmark",SUMIFS(IF(E253=År1,'Resultater - Vestdanmark'!H$3:H$504,IF(E253=År2,'Resultater - Vestdanmark'!I$3:I$504,'Resultater - Vestdanmark'!J$3:J$504)),'Resultater - Vestdanmark'!$F$3:$F$504,$A253,IF(E253=År1,'Resultater - Vestdanmark'!H$3:H$504,IF(E253=År2,'Resultater - Vestdanmark'!I$3:I$504,'Resultater - Vestdanmark'!J$3:J$504)),"&gt;0"),SUMIFS(IF(E253=År1,'Resultater - Østdanmark'!H$3:H$504,IF(E253=År2,'Resultater - Østdanmark'!I$3:I$504,'Resultater - Østdanmark'!J$3:J$504)),'Resultater - Østdanmark'!$F$3:$F$504,$A253,IF(E253=År1,'Resultater - Østdanmark'!H$3:H$504,IF(E253=År2,'Resultater - Østdanmark'!I$3:I$504,'Resultater - Østdanmark'!J$3:J$504)),"&gt;0"))</f>
        <v>14575.114892812006</v>
      </c>
      <c r="H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forbrug'!H$3,'Forbrug af biomasse'!$B$2:$B$425,$F253)</f>
        <v>0</v>
      </c>
      <c r="I253">
        <f>IF(F253="Vestdanmark",-IF(A253="Halm",SUMIFS(IF(E253=År1,'Resultater - Vestdanmark'!H$3:H$504,IF(E253=År2,'Resultater - Vestdanmark'!I$3:I$504,'Resultater - Vestdanmark'!J$3:J$504)),'Resultater - Vestdanmark'!$F$3:$F$504,$A253,'Resultater - Vestdanmark'!H$3:H$504,"&lt;0"),0),-IF(A253="Halm",SUMIFS(IF(E253=År1,'Resultater - Østdanmark'!H$3:H$504,IF(E253=År2,'Resultater - Østdanmark'!I$3:I$504,'Resultater - Østdanmark'!J$3:J$504)),'Resultater - Østdanmark'!$F$3:$F$504,$A253,'Resultater - Østdanmark'!H$3:H$504,"&lt;0"),0))</f>
        <v>0</v>
      </c>
      <c r="J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forbrug'!J$3,'Forbrug af biomasse'!$B$2:$B$425,$F253)</f>
        <v>31993.002188443785</v>
      </c>
      <c r="K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forbrug'!K$3,'Forbrug af biomasse'!$B$2:$B$425,$F253)</f>
        <v>0</v>
      </c>
      <c r="L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forbrug'!L$3,'Forbrug af biomasse'!$B$2:$B$425,$F253)</f>
        <v>0</v>
      </c>
      <c r="M253" s="94">
        <f>IF(A253&lt;&gt;"Biogas",SUMIFS('Forbrug af biomasse'!$E$2:$E$425,'Forbrug af biomasse'!$C$2:$C$425,'Resultat-Produktion &amp; forbrug'!$A253,'Forbrug af biomasse'!$D$2:$D$425,'Resultat-Produktion &amp; forbrug'!$E253,'Forbrug af biomasse'!$A$2:$A$425,'Resultat-Produktion &amp; forbrug'!M$3,'Forbrug af biomasse'!$B$2:$B$425,$F253),G253)</f>
        <v>0</v>
      </c>
      <c r="N253" s="94">
        <f>SUMIFS('Forbrug af biomasse'!E:E,'Forbrug af biomasse'!C:C,'Resultat-Produktion &amp; forbrug'!$A253,'Forbrug af biomasse'!D:D,'Resultat-Produktion &amp; forbrug'!$E253,'Forbrug af biomasse'!G:G,1,'Forbrug af biomasse'!B:B,$F253)</f>
        <v>0</v>
      </c>
      <c r="O253" s="179">
        <f t="shared" ca="1" si="69"/>
        <v>-17417.887295631779</v>
      </c>
      <c r="P253" s="94">
        <f t="shared" si="65"/>
        <v>0</v>
      </c>
      <c r="Q253" s="180">
        <f t="shared" si="70"/>
        <v>0</v>
      </c>
      <c r="R253">
        <f>IFERROR(VLOOKUP(A253,[1]Energiindhold!$A$2:$C$11,3,FALSE),IFERROR(VLOOKUP(A253,[1]Biogasudbytte!$A$2:$B$18,2,FALSE)*[1]Energiindhold!$C$10,0))*P253</f>
        <v>0</v>
      </c>
      <c r="S253">
        <f>IF(A253&lt;&gt;"Biogas",IFERROR(VLOOKUP(A253,[1]Biogasudbytte!$A$2:$B$18,2,FALSE)*[1]Energiindhold!$C$10,0)*K253*IFERROR(VLOOKUP(A253,Biogasanlæg!$F$3:$G$8,2,FALSE),1)+IFERROR(VLOOKUP(A253,[1]Energiindhold!$A$2:$C$11,3,FALSE),0)*M253+IF(E253&lt;&gt;År1,R253,0),0)</f>
        <v>0</v>
      </c>
      <c r="T253">
        <f>IFERROR(VLOOKUP(A253,[1]Biogasudbytte!$A$2:$B$18,2,FALSE)*[1]Energiindhold!$C$10,0)*K253*IFERROR(VLOOKUP(A253,Biogasanlæg!$F$3:$G$8,2,FALSE),1)</f>
        <v>0</v>
      </c>
      <c r="U253" s="170">
        <f t="shared" si="71"/>
        <v>0</v>
      </c>
      <c r="V253" s="169">
        <f>P253*IFERROR(VLOOKUP(A253,[1]Tørstofindhold!A$2:B$24,2,FALSE),0)</f>
        <v>0</v>
      </c>
      <c r="W253">
        <f>IF(E253=År1,Q253,SUM(P253,Q253))*IFERROR(VLOOKUP(A253,[1]Tørstofindhold!A$2:B$24,2,FALSE),0)</f>
        <v>0</v>
      </c>
      <c r="X253">
        <f>K253*IFERROR(VLOOKUP(A253,[1]Tørstofindhold!A$2:B$24,2,FALSE),0)</f>
        <v>0</v>
      </c>
      <c r="Y253" s="170">
        <f t="shared" si="72"/>
        <v>0</v>
      </c>
      <c r="Z253">
        <f t="shared" ca="1" si="66"/>
        <v>0</v>
      </c>
      <c r="AA253">
        <f t="shared" ca="1" si="67"/>
        <v>1</v>
      </c>
      <c r="AB253" s="94">
        <f t="shared" ca="1" si="68"/>
        <v>14575.114892812006</v>
      </c>
      <c r="AC253">
        <f ca="1">AB253*D253*10000*VLOOKUP(A253,[1]kcal!$A$2:$C$49,3,FALSE)/1000000000000</f>
        <v>2.2154174637074246E-2</v>
      </c>
    </row>
    <row r="254" spans="1:29" x14ac:dyDescent="0.25">
      <c r="A254" s="171" t="str">
        <f t="shared" si="79"/>
        <v>Frø</v>
      </c>
      <c r="B254" s="171" t="str">
        <f t="shared" si="80"/>
        <v/>
      </c>
      <c r="C254" s="171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71">
        <f t="shared" si="82"/>
        <v>0</v>
      </c>
      <c r="E254" s="171">
        <f t="shared" si="81"/>
        <v>2050</v>
      </c>
      <c r="F254" t="s">
        <v>24</v>
      </c>
      <c r="G254" s="94">
        <f>IF(F254="Vestdanmark",SUMIFS(IF(E254=År1,'Resultater - Vestdanmark'!H$3:H$504,IF(E254=År2,'Resultater - Vestdanmark'!I$3:I$504,'Resultater - Vestdanmark'!J$3:J$504)),'Resultater - Vestdanmark'!$F$3:$F$504,$A254,IF(E254=År1,'Resultater - Vestdanmark'!H$3:H$504,IF(E254=År2,'Resultater - Vestdanmark'!I$3:I$504,'Resultater - Vestdanmark'!J$3:J$504)),"&gt;0"),SUMIFS(IF(E254=År1,'Resultater - Østdanmark'!H$3:H$504,IF(E254=År2,'Resultater - Østdanmark'!I$3:I$504,'Resultater - Østdanmark'!J$3:J$504)),'Resultater - Østdanmark'!$F$3:$F$504,$A254,IF(E254=År1,'Resultater - Østdanmark'!H$3:H$504,IF(E254=År2,'Resultater - Østdanmark'!I$3:I$504,'Resultater - Østdanmark'!J$3:J$504)),"&gt;0"))</f>
        <v>619622.98434941436</v>
      </c>
      <c r="H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forbrug'!H$3,'Forbrug af biomasse'!$B$2:$B$425,$F254)</f>
        <v>0</v>
      </c>
      <c r="I254">
        <f>IF(F254="Vestdanmark",-IF(A254="Halm",SUMIFS(IF(E254=År1,'Resultater - Vestdanmark'!H$3:H$504,IF(E254=År2,'Resultater - Vestdanmark'!I$3:I$504,'Resultater - Vestdanmark'!J$3:J$504)),'Resultater - Vestdanmark'!$F$3:$F$504,$A254,'Resultater - Vestdanmark'!H$3:H$504,"&lt;0"),0),-IF(A254="Halm",SUMIFS(IF(E254=År1,'Resultater - Østdanmark'!H$3:H$504,IF(E254=År2,'Resultater - Østdanmark'!I$3:I$504,'Resultater - Østdanmark'!J$3:J$504)),'Resultater - Østdanmark'!$F$3:$F$504,$A254,'Resultater - Østdanmark'!H$3:H$504,"&lt;0"),0))</f>
        <v>0</v>
      </c>
      <c r="J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forbrug'!J$3,'Forbrug af biomasse'!$B$2:$B$425,$F254)</f>
        <v>0</v>
      </c>
      <c r="K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forbrug'!K$3,'Forbrug af biomasse'!$B$2:$B$425,$F254)</f>
        <v>0</v>
      </c>
      <c r="L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forbrug'!L$3,'Forbrug af biomasse'!$B$2:$B$425,$F254)</f>
        <v>0</v>
      </c>
      <c r="M254" s="94">
        <f>IF(A254&lt;&gt;"Biogas",SUMIFS('Forbrug af biomasse'!$E$2:$E$425,'Forbrug af biomasse'!$C$2:$C$425,'Resultat-Produktion &amp; forbrug'!$A254,'Forbrug af biomasse'!$D$2:$D$425,'Resultat-Produktion &amp; forbrug'!$E254,'Forbrug af biomasse'!$A$2:$A$425,'Resultat-Produktion &amp; forbrug'!M$3,'Forbrug af biomasse'!$B$2:$B$425,$F254),G254)</f>
        <v>0</v>
      </c>
      <c r="N254" s="94">
        <f>SUMIFS('Forbrug af biomasse'!E:E,'Forbrug af biomasse'!C:C,'Resultat-Produktion &amp; forbrug'!$A254,'Forbrug af biomasse'!D:D,'Resultat-Produktion &amp; forbrug'!$E254,'Forbrug af biomasse'!G:G,1,'Forbrug af biomasse'!B:B,$F254)</f>
        <v>0</v>
      </c>
      <c r="O254" s="179">
        <f t="shared" si="69"/>
        <v>619622.98434941436</v>
      </c>
      <c r="P254" s="94">
        <f t="shared" si="65"/>
        <v>0</v>
      </c>
      <c r="Q254" s="180">
        <f t="shared" si="70"/>
        <v>0</v>
      </c>
      <c r="R254">
        <f>IFERROR(VLOOKUP(A254,[1]Energiindhold!$A$2:$C$11,3,FALSE),IFERROR(VLOOKUP(A254,[1]Biogasudbytte!$A$2:$B$18,2,FALSE)*[1]Energiindhold!$C$10,0))*P254</f>
        <v>0</v>
      </c>
      <c r="S254">
        <f>IF(A254&lt;&gt;"Biogas",IFERROR(VLOOKUP(A254,[1]Biogasudbytte!$A$2:$B$18,2,FALSE)*[1]Energiindhold!$C$10,0)*K254*IFERROR(VLOOKUP(A254,Biogasanlæg!$F$3:$G$8,2,FALSE),1)+IFERROR(VLOOKUP(A254,[1]Energiindhold!$A$2:$C$11,3,FALSE),0)*M254+IF(E254&lt;&gt;År1,R254,0),0)</f>
        <v>0</v>
      </c>
      <c r="T254">
        <f>IFERROR(VLOOKUP(A254,[1]Biogasudbytte!$A$2:$B$18,2,FALSE)*[1]Energiindhold!$C$10,0)*K254*IFERROR(VLOOKUP(A254,Biogasanlæg!$F$3:$G$8,2,FALSE),1)</f>
        <v>0</v>
      </c>
      <c r="U254" s="170">
        <f t="shared" si="71"/>
        <v>0</v>
      </c>
      <c r="V254" s="169">
        <f>P254*IFERROR(VLOOKUP(A254,[1]Tørstofindhold!A$2:B$24,2,FALSE),0)</f>
        <v>0</v>
      </c>
      <c r="W254">
        <f>IF(E254=År1,Q254,SUM(P254,Q254))*IFERROR(VLOOKUP(A254,[1]Tørstofindhold!A$2:B$24,2,FALSE),0)</f>
        <v>0</v>
      </c>
      <c r="X254">
        <f>K254*IFERROR(VLOOKUP(A254,[1]Tørstofindhold!A$2:B$24,2,FALSE),0)</f>
        <v>0</v>
      </c>
      <c r="Y254" s="170">
        <f t="shared" si="72"/>
        <v>0</v>
      </c>
      <c r="Z254">
        <f t="shared" si="66"/>
        <v>0</v>
      </c>
      <c r="AA254">
        <f t="shared" si="67"/>
        <v>1</v>
      </c>
      <c r="AB254" s="94">
        <f t="shared" si="68"/>
        <v>619622.98434941436</v>
      </c>
      <c r="AC254">
        <f>AB254*D254*10000*VLOOKUP(A254,[1]kcal!$A$2:$C$49,3,FALSE)/1000000000000</f>
        <v>0</v>
      </c>
    </row>
    <row r="255" spans="1:29" x14ac:dyDescent="0.25">
      <c r="A255" s="171" t="str">
        <f t="shared" si="79"/>
        <v>Frugt</v>
      </c>
      <c r="B255" s="171" t="str">
        <f t="shared" si="80"/>
        <v/>
      </c>
      <c r="C255" s="171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0</v>
      </c>
      <c r="D255" s="171">
        <f t="shared" si="82"/>
        <v>1</v>
      </c>
      <c r="E255" s="171">
        <f t="shared" si="81"/>
        <v>2050</v>
      </c>
      <c r="F255" t="s">
        <v>24</v>
      </c>
      <c r="G255" s="94">
        <f>IF(F255="Vestdanmark",SUMIFS(IF(E255=År1,'Resultater - Vestdanmark'!H$3:H$504,IF(E255=År2,'Resultater - Vestdanmark'!I$3:I$504,'Resultater - Vestdanmark'!J$3:J$504)),'Resultater - Vestdanmark'!$F$3:$F$504,$A255,IF(E255=År1,'Resultater - Vestdanmark'!H$3:H$504,IF(E255=År2,'Resultater - Vestdanmark'!I$3:I$504,'Resultater - Vestdanmark'!J$3:J$504)),"&gt;0"),SUMIFS(IF(E255=År1,'Resultater - Østdanmark'!H$3:H$504,IF(E255=År2,'Resultater - Østdanmark'!I$3:I$504,'Resultater - Østdanmark'!J$3:J$504)),'Resultater - Østdanmark'!$F$3:$F$504,$A255,IF(E255=År1,'Resultater - Østdanmark'!H$3:H$504,IF(E255=År2,'Resultater - Østdanmark'!I$3:I$504,'Resultater - Østdanmark'!J$3:J$504)),"&gt;0"))</f>
        <v>16278.266064377463</v>
      </c>
      <c r="H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forbrug'!H$3,'Forbrug af biomasse'!$B$2:$B$425,$F255)</f>
        <v>0</v>
      </c>
      <c r="I255">
        <f>IF(F255="Vestdanmark",-IF(A255="Halm",SUMIFS(IF(E255=År1,'Resultater - Vestdanmark'!H$3:H$504,IF(E255=År2,'Resultater - Vestdanmark'!I$3:I$504,'Resultater - Vestdanmark'!J$3:J$504)),'Resultater - Vestdanmark'!$F$3:$F$504,$A255,'Resultater - Vestdanmark'!H$3:H$504,"&lt;0"),0),-IF(A255="Halm",SUMIFS(IF(E255=År1,'Resultater - Østdanmark'!H$3:H$504,IF(E255=År2,'Resultater - Østdanmark'!I$3:I$504,'Resultater - Østdanmark'!J$3:J$504)),'Resultater - Østdanmark'!$F$3:$F$504,$A255,'Resultater - Østdanmark'!H$3:H$504,"&lt;0"),0))</f>
        <v>0</v>
      </c>
      <c r="J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forbrug'!J$3,'Forbrug af biomasse'!$B$2:$B$425,$F255)</f>
        <v>233795.01599247381</v>
      </c>
      <c r="K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forbrug'!K$3,'Forbrug af biomasse'!$B$2:$B$425,$F255)</f>
        <v>0</v>
      </c>
      <c r="L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forbrug'!L$3,'Forbrug af biomasse'!$B$2:$B$425,$F255)</f>
        <v>0</v>
      </c>
      <c r="M255" s="94">
        <f>IF(A255&lt;&gt;"Biogas",SUMIFS('Forbrug af biomasse'!$E$2:$E$425,'Forbrug af biomasse'!$C$2:$C$425,'Resultat-Produktion &amp; forbrug'!$A255,'Forbrug af biomasse'!$D$2:$D$425,'Resultat-Produktion &amp; forbrug'!$E255,'Forbrug af biomasse'!$A$2:$A$425,'Resultat-Produktion &amp; forbrug'!M$3,'Forbrug af biomasse'!$B$2:$B$425,$F255),G255)</f>
        <v>0</v>
      </c>
      <c r="N255" s="94">
        <f>SUMIFS('Forbrug af biomasse'!E:E,'Forbrug af biomasse'!C:C,'Resultat-Produktion &amp; forbrug'!$A255,'Forbrug af biomasse'!D:D,'Resultat-Produktion &amp; forbrug'!$E255,'Forbrug af biomasse'!G:G,1,'Forbrug af biomasse'!B:B,$F255)</f>
        <v>0</v>
      </c>
      <c r="O255" s="179">
        <f t="shared" si="69"/>
        <v>-217516.74992809634</v>
      </c>
      <c r="P255" s="94">
        <f t="shared" si="65"/>
        <v>0</v>
      </c>
      <c r="Q255" s="180">
        <f t="shared" si="70"/>
        <v>0</v>
      </c>
      <c r="R255">
        <f>IFERROR(VLOOKUP(A255,[1]Energiindhold!$A$2:$C$11,3,FALSE),IFERROR(VLOOKUP(A255,[1]Biogasudbytte!$A$2:$B$18,2,FALSE)*[1]Energiindhold!$C$10,0))*P255</f>
        <v>0</v>
      </c>
      <c r="S255">
        <f>IF(A255&lt;&gt;"Biogas",IFERROR(VLOOKUP(A255,[1]Biogasudbytte!$A$2:$B$18,2,FALSE)*[1]Energiindhold!$C$10,0)*K255*IFERROR(VLOOKUP(A255,Biogasanlæg!$F$3:$G$8,2,FALSE),1)+IFERROR(VLOOKUP(A255,[1]Energiindhold!$A$2:$C$11,3,FALSE),0)*M255+IF(E255&lt;&gt;År1,R255,0),0)</f>
        <v>0</v>
      </c>
      <c r="T255">
        <f>IFERROR(VLOOKUP(A255,[1]Biogasudbytte!$A$2:$B$18,2,FALSE)*[1]Energiindhold!$C$10,0)*K255*IFERROR(VLOOKUP(A255,Biogasanlæg!$F$3:$G$8,2,FALSE),1)</f>
        <v>0</v>
      </c>
      <c r="U255" s="170">
        <f t="shared" si="71"/>
        <v>0</v>
      </c>
      <c r="V255" s="169">
        <f>P255*IFERROR(VLOOKUP(A255,[1]Tørstofindhold!A$2:B$24,2,FALSE),0)</f>
        <v>0</v>
      </c>
      <c r="W255">
        <f>IF(E255=År1,Q255,SUM(P255,Q255))*IFERROR(VLOOKUP(A255,[1]Tørstofindhold!A$2:B$24,2,FALSE),0)</f>
        <v>0</v>
      </c>
      <c r="X255">
        <f>K255*IFERROR(VLOOKUP(A255,[1]Tørstofindhold!A$2:B$24,2,FALSE),0)</f>
        <v>0</v>
      </c>
      <c r="Y255" s="170">
        <f t="shared" si="72"/>
        <v>0</v>
      </c>
      <c r="Z255">
        <f t="shared" si="66"/>
        <v>1</v>
      </c>
      <c r="AA255">
        <f t="shared" si="67"/>
        <v>0</v>
      </c>
      <c r="AB255" s="94">
        <f t="shared" si="68"/>
        <v>16278.266064377463</v>
      </c>
      <c r="AC255">
        <f>AB255*D255*10000*VLOOKUP(A255,[1]kcal!$A$2:$C$49,3,FALSE)/1000000000000</f>
        <v>8.4646983534762809E-3</v>
      </c>
    </row>
    <row r="256" spans="1:29" x14ac:dyDescent="0.25">
      <c r="A256" s="171" t="str">
        <f t="shared" si="79"/>
        <v>Glycerin</v>
      </c>
      <c r="B256" s="171" t="str">
        <f t="shared" si="80"/>
        <v>Glycerin</v>
      </c>
      <c r="C256" s="171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71">
        <f t="shared" si="82"/>
        <v>0</v>
      </c>
      <c r="E256" s="171">
        <f t="shared" si="81"/>
        <v>2050</v>
      </c>
      <c r="F256" t="s">
        <v>24</v>
      </c>
      <c r="G256" s="94">
        <f>IF(F256="Vestdanmark",SUMIFS(IF(E256=År1,'Resultater - Vestdanmark'!H$3:H$504,IF(E256=År2,'Resultater - Vestdanmark'!I$3:I$504,'Resultater - Vestdanmark'!J$3:J$504)),'Resultater - Vestdanmark'!$F$3:$F$504,$A256,IF(E256=År1,'Resultater - Vestdanmark'!H$3:H$504,IF(E256=År2,'Resultater - Vestdanmark'!I$3:I$504,'Resultater - Vestdanmark'!J$3:J$504)),"&gt;0"),SUMIFS(IF(E256=År1,'Resultater - Østdanmark'!H$3:H$504,IF(E256=År2,'Resultater - Østdanmark'!I$3:I$504,'Resultater - Østdanmark'!J$3:J$504)),'Resultater - Østdanmark'!$F$3:$F$504,$A256,IF(E256=År1,'Resultater - Østdanmark'!H$3:H$504,IF(E256=År2,'Resultater - Østdanmark'!I$3:I$504,'Resultater - Østdanmark'!J$3:J$504)),"&gt;0"))</f>
        <v>0</v>
      </c>
      <c r="H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forbrug'!H$3,'Forbrug af biomasse'!$B$2:$B$425,$F256)</f>
        <v>0</v>
      </c>
      <c r="I256">
        <f>IF(F256="Vestdanmark",-IF(A256="Halm",SUMIFS(IF(E256=År1,'Resultater - Vestdanmark'!H$3:H$504,IF(E256=År2,'Resultater - Vestdanmark'!I$3:I$504,'Resultater - Vestdanmark'!J$3:J$504)),'Resultater - Vestdanmark'!$F$3:$F$504,$A256,'Resultater - Vestdanmark'!H$3:H$504,"&lt;0"),0),-IF(A256="Halm",SUMIFS(IF(E256=År1,'Resultater - Østdanmark'!H$3:H$504,IF(E256=År2,'Resultater - Østdanmark'!I$3:I$504,'Resultater - Østdanmark'!J$3:J$504)),'Resultater - Østdanmark'!$F$3:$F$504,$A256,'Resultater - Østdanmark'!H$3:H$504,"&lt;0"),0))</f>
        <v>0</v>
      </c>
      <c r="J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forbrug'!J$3,'Forbrug af biomasse'!$B$2:$B$425,$F256)</f>
        <v>0</v>
      </c>
      <c r="K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forbrug'!K$3,'Forbrug af biomasse'!$B$2:$B$425,$F256)</f>
        <v>28548.400000000001</v>
      </c>
      <c r="L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forbrug'!L$3,'Forbrug af biomasse'!$B$2:$B$425,$F256)</f>
        <v>0</v>
      </c>
      <c r="M256" s="94">
        <f>IF(A256&lt;&gt;"Biogas",SUMIFS('Forbrug af biomasse'!$E$2:$E$425,'Forbrug af biomasse'!$C$2:$C$425,'Resultat-Produktion &amp; forbrug'!$A256,'Forbrug af biomasse'!$D$2:$D$425,'Resultat-Produktion &amp; forbrug'!$E256,'Forbrug af biomasse'!$A$2:$A$425,'Resultat-Produktion &amp; forbrug'!M$3,'Forbrug af biomasse'!$B$2:$B$425,$F256),G256)</f>
        <v>0</v>
      </c>
      <c r="N256" s="94">
        <f>SUMIFS('Forbrug af biomasse'!E:E,'Forbrug af biomasse'!C:C,'Resultat-Produktion &amp; forbrug'!$A256,'Forbrug af biomasse'!D:D,'Resultat-Produktion &amp; forbrug'!$E256,'Forbrug af biomasse'!G:G,1,'Forbrug af biomasse'!B:B,$F256)</f>
        <v>0</v>
      </c>
      <c r="O256" s="179">
        <f t="shared" si="69"/>
        <v>-28548.400000000001</v>
      </c>
      <c r="P256" s="94">
        <f t="shared" si="65"/>
        <v>0</v>
      </c>
      <c r="Q256" s="180">
        <f t="shared" si="70"/>
        <v>28548.400000000001</v>
      </c>
      <c r="R256">
        <f>IFERROR(VLOOKUP(A256,[1]Energiindhold!$A$2:$C$11,3,FALSE),IFERROR(VLOOKUP(A256,[1]Biogasudbytte!$A$2:$B$18,2,FALSE)*[1]Energiindhold!$C$10,0))*P256</f>
        <v>0</v>
      </c>
      <c r="S256">
        <f>IF(A256&lt;&gt;"Biogas",IFERROR(VLOOKUP(A256,[1]Biogasudbytte!$A$2:$B$18,2,FALSE)*[1]Energiindhold!$C$10,0)*K256*IFERROR(VLOOKUP(A256,Biogasanlæg!$F$3:$G$8,2,FALSE),1)+IFERROR(VLOOKUP(A256,[1]Energiindhold!$A$2:$C$11,3,FALSE),0)*M256+IF(E256&lt;&gt;År1,R256,0),0)</f>
        <v>0.43389639740160008</v>
      </c>
      <c r="T256">
        <f>IFERROR(VLOOKUP(A256,[1]Biogasudbytte!$A$2:$B$18,2,FALSE)*[1]Energiindhold!$C$10,0)*K256*IFERROR(VLOOKUP(A256,Biogasanlæg!$F$3:$G$8,2,FALSE),1)</f>
        <v>0.43389639740160008</v>
      </c>
      <c r="U256" s="170">
        <f t="shared" si="71"/>
        <v>0</v>
      </c>
      <c r="V256" s="169">
        <f>P256*IFERROR(VLOOKUP(A256,[1]Tørstofindhold!A$2:B$24,2,FALSE),0)</f>
        <v>0</v>
      </c>
      <c r="W256">
        <f>IF(E256=År1,Q256,SUM(P256,Q256))*IFERROR(VLOOKUP(A256,[1]Tørstofindhold!A$2:B$24,2,FALSE),0)</f>
        <v>25693.56</v>
      </c>
      <c r="X256">
        <f>K256*IFERROR(VLOOKUP(A256,[1]Tørstofindhold!A$2:B$24,2,FALSE),0)</f>
        <v>25693.56</v>
      </c>
      <c r="Y256" s="170">
        <f t="shared" si="72"/>
        <v>0</v>
      </c>
      <c r="Z256">
        <f t="shared" si="66"/>
        <v>1</v>
      </c>
      <c r="AA256">
        <f t="shared" si="67"/>
        <v>0</v>
      </c>
      <c r="AB256" s="94">
        <f t="shared" si="68"/>
        <v>-28548.400000000001</v>
      </c>
      <c r="AC256">
        <f>AB256*D256*10000*VLOOKUP(A256,[1]kcal!$A$2:$C$49,3,FALSE)/1000000000000</f>
        <v>0</v>
      </c>
    </row>
    <row r="257" spans="1:29" x14ac:dyDescent="0.25">
      <c r="A257" s="171" t="str">
        <f t="shared" si="79"/>
        <v>Græs</v>
      </c>
      <c r="B257" s="171" t="str">
        <f t="shared" si="80"/>
        <v>Græs og urter</v>
      </c>
      <c r="C257" s="171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1</v>
      </c>
      <c r="D257" s="171">
        <f t="shared" si="82"/>
        <v>0</v>
      </c>
      <c r="E257" s="171">
        <f t="shared" si="81"/>
        <v>2050</v>
      </c>
      <c r="F257" t="s">
        <v>24</v>
      </c>
      <c r="G257" s="94">
        <f>IF(F257="Vestdanmark",SUMIFS(IF(E257=År1,'Resultater - Vestdanmark'!H$3:H$504,IF(E257=År2,'Resultater - Vestdanmark'!I$3:I$504,'Resultater - Vestdanmark'!J$3:J$504)),'Resultater - Vestdanmark'!$F$3:$F$504,$A257,IF(E257=År1,'Resultater - Vestdanmark'!H$3:H$504,IF(E257=År2,'Resultater - Vestdanmark'!I$3:I$504,'Resultater - Vestdanmark'!J$3:J$504)),"&gt;0"),SUMIFS(IF(E257=År1,'Resultater - Østdanmark'!H$3:H$504,IF(E257=År2,'Resultater - Østdanmark'!I$3:I$504,'Resultater - Østdanmark'!J$3:J$504)),'Resultater - Østdanmark'!$F$3:$F$504,$A257,IF(E257=År1,'Resultater - Østdanmark'!H$3:H$504,IF(E257=År2,'Resultater - Østdanmark'!I$3:I$504,'Resultater - Østdanmark'!J$3:J$504)),"&gt;0"))</f>
        <v>2066928.9300738815</v>
      </c>
      <c r="H257" s="94">
        <f ca="1">SUMIFS('Forbrug af biomasse'!$E$2:$E$425,'Forbrug af biomasse'!$C$2:$C$425,'Resultat-Produktion &amp; forbrug'!$A257,'Forbrug af biomasse'!$D$2:$D$425,'Resultat-Produktion &amp; forbrug'!$E257,'Forbrug af biomasse'!$A$2:$A$425,'Resultat-Produktion &amp; forbrug'!H$3,'Forbrug af biomasse'!$B$2:$B$425,$F257)</f>
        <v>1378883.0846623355</v>
      </c>
      <c r="I257">
        <f>IF(F257="Vestdanmark",-IF(A257="Halm",SUMIFS(IF(E257=År1,'Resultater - Vestdanmark'!H$3:H$504,IF(E257=År2,'Resultater - Vestdanmark'!I$3:I$504,'Resultater - Vestdanmark'!J$3:J$504)),'Resultater - Vestdanmark'!$F$3:$F$504,$A257,'Resultater - Vestdanmark'!H$3:H$504,"&lt;0"),0),-IF(A257="Halm",SUMIFS(IF(E257=År1,'Resultater - Østdanmark'!H$3:H$504,IF(E257=År2,'Resultater - Østdanmark'!I$3:I$504,'Resultater - Østdanmark'!J$3:J$504)),'Resultater - Østdanmark'!$F$3:$F$504,$A257,'Resultater - Østdanmark'!H$3:H$504,"&lt;0"),0))</f>
        <v>0</v>
      </c>
      <c r="J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forbrug'!J$3,'Forbrug af biomasse'!$B$2:$B$425,$F257)</f>
        <v>0</v>
      </c>
      <c r="K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forbrug'!K$3,'Forbrug af biomasse'!$B$2:$B$425,$F257)</f>
        <v>0</v>
      </c>
      <c r="L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forbrug'!L$3,'Forbrug af biomasse'!$B$2:$B$425,$F257)</f>
        <v>0</v>
      </c>
      <c r="M257" s="94">
        <f>IF(A257&lt;&gt;"Biogas",SUMIFS('Forbrug af biomasse'!$E$2:$E$425,'Forbrug af biomasse'!$C$2:$C$425,'Resultat-Produktion &amp; forbrug'!$A257,'Forbrug af biomasse'!$D$2:$D$425,'Resultat-Produktion &amp; forbrug'!$E257,'Forbrug af biomasse'!$A$2:$A$425,'Resultat-Produktion &amp; forbrug'!M$3,'Forbrug af biomasse'!$B$2:$B$425,$F257),G257)</f>
        <v>0</v>
      </c>
      <c r="N257" s="94">
        <f ca="1">SUMIFS('Forbrug af biomasse'!E:E,'Forbrug af biomasse'!C:C,'Resultat-Produktion &amp; forbrug'!$A257,'Forbrug af biomasse'!D:D,'Resultat-Produktion &amp; forbrug'!$E257,'Forbrug af biomasse'!G:G,1,'Forbrug af biomasse'!B:B,$F257)</f>
        <v>0</v>
      </c>
      <c r="O257" s="179">
        <f t="shared" ca="1" si="69"/>
        <v>688045.84541154606</v>
      </c>
      <c r="P257" s="94">
        <f t="shared" ca="1" si="65"/>
        <v>688045.84541154606</v>
      </c>
      <c r="Q257" s="180">
        <f t="shared" si="70"/>
        <v>0</v>
      </c>
      <c r="R257">
        <f ca="1">IFERROR(VLOOKUP(A257,[1]Energiindhold!$A$2:$C$11,3,FALSE),IFERROR(VLOOKUP(A257,[1]Biogasudbytte!$A$2:$B$18,2,FALSE)*[1]Energiindhold!$C$10,0))*P257</f>
        <v>1.2659183498265685</v>
      </c>
      <c r="S257">
        <f ca="1">IF(A257&lt;&gt;"Biogas",IFERROR(VLOOKUP(A257,[1]Biogasudbytte!$A$2:$B$18,2,FALSE)*[1]Energiindhold!$C$10,0)*K257*IFERROR(VLOOKUP(A257,Biogasanlæg!$F$3:$G$8,2,FALSE),1)+IFERROR(VLOOKUP(A257,[1]Energiindhold!$A$2:$C$11,3,FALSE),0)*M257+IF(E257&lt;&gt;År1,R257,0),0)</f>
        <v>1.2659183498265685</v>
      </c>
      <c r="T257">
        <f>IFERROR(VLOOKUP(A257,[1]Biogasudbytte!$A$2:$B$18,2,FALSE)*[1]Energiindhold!$C$10,0)*K257*IFERROR(VLOOKUP(A257,Biogasanlæg!$F$3:$G$8,2,FALSE),1)</f>
        <v>0</v>
      </c>
      <c r="U257" s="170">
        <f t="shared" ca="1" si="71"/>
        <v>1.2659183498265685</v>
      </c>
      <c r="V257" s="169">
        <f ca="1">P257*IFERROR(VLOOKUP(A257,[1]Tørstofindhold!A$2:B$24,2,FALSE),0)</f>
        <v>192652.83671523293</v>
      </c>
      <c r="W257">
        <f ca="1">IF(E257=År1,Q257,SUM(P257,Q257))*IFERROR(VLOOKUP(A257,[1]Tørstofindhold!A$2:B$24,2,FALSE),0)</f>
        <v>192652.83671523293</v>
      </c>
      <c r="X257">
        <f>K257*IFERROR(VLOOKUP(A257,[1]Tørstofindhold!A$2:B$24,2,FALSE),0)</f>
        <v>0</v>
      </c>
      <c r="Y257" s="170">
        <f t="shared" ca="1" si="72"/>
        <v>192652.83671523293</v>
      </c>
      <c r="Z257">
        <f t="shared" ca="1" si="66"/>
        <v>0</v>
      </c>
      <c r="AA257">
        <f t="shared" ca="1" si="67"/>
        <v>1</v>
      </c>
      <c r="AB257" s="94">
        <f t="shared" ca="1" si="68"/>
        <v>688045.84541154606</v>
      </c>
      <c r="AC257">
        <f ca="1">AB257*D257*10000*VLOOKUP(A257,[1]kcal!$A$2:$C$49,3,FALSE)/1000000000000</f>
        <v>0</v>
      </c>
    </row>
    <row r="258" spans="1:29" x14ac:dyDescent="0.25">
      <c r="A258" s="171" t="str">
        <f t="shared" si="79"/>
        <v>Græsprotein</v>
      </c>
      <c r="B258" s="171" t="str">
        <f t="shared" si="80"/>
        <v/>
      </c>
      <c r="C258" s="171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71">
        <f t="shared" si="82"/>
        <v>0</v>
      </c>
      <c r="E258" s="171">
        <f t="shared" si="81"/>
        <v>2050</v>
      </c>
      <c r="F258" t="s">
        <v>24</v>
      </c>
      <c r="G258" s="94">
        <f ca="1">IF(F258="Vestdanmark",SUMIFS(IF(E258=År1,'Resultater - Vestdanmark'!H$3:H$504,IF(E258=År2,'Resultater - Vestdanmark'!I$3:I$504,'Resultater - Vestdanmark'!J$3:J$504)),'Resultater - Vestdanmark'!$F$3:$F$504,$A258,IF(E258=År1,'Resultater - Vestdanmark'!H$3:H$504,IF(E258=År2,'Resultater - Vestdanmark'!I$3:I$504,'Resultater - Vestdanmark'!J$3:J$504)),"&gt;0"),SUMIFS(IF(E258=År1,'Resultater - Østdanmark'!H$3:H$504,IF(E258=År2,'Resultater - Østdanmark'!I$3:I$504,'Resultater - Østdanmark'!J$3:J$504)),'Resultater - Østdanmark'!$F$3:$F$504,$A258,IF(E258=År1,'Resultater - Østdanmark'!H$3:H$504,IF(E258=År2,'Resultater - Østdanmark'!I$3:I$504,'Resultater - Østdanmark'!J$3:J$504)),"&gt;0"))</f>
        <v>0</v>
      </c>
      <c r="H258" s="94">
        <f ca="1">SUMIFS('Forbrug af biomasse'!$E$2:$E$425,'Forbrug af biomasse'!$C$2:$C$425,'Resultat-Produktion &amp; forbrug'!$A258,'Forbrug af biomasse'!$D$2:$D$425,'Resultat-Produktion &amp; forbrug'!$E258,'Forbrug af biomasse'!$A$2:$A$425,'Resultat-Produktion &amp; forbrug'!H$3,'Forbrug af biomasse'!$B$2:$B$425,$F258)</f>
        <v>0</v>
      </c>
      <c r="I258">
        <f>IF(F258="Vestdanmark",-IF(A258="Halm",SUMIFS(IF(E258=År1,'Resultater - Vestdanmark'!H$3:H$504,IF(E258=År2,'Resultater - Vestdanmark'!I$3:I$504,'Resultater - Vestdanmark'!J$3:J$504)),'Resultater - Vestdanmark'!$F$3:$F$504,$A258,'Resultater - Vestdanmark'!H$3:H$504,"&lt;0"),0),-IF(A258="Halm",SUMIFS(IF(E258=År1,'Resultater - Østdanmark'!H$3:H$504,IF(E258=År2,'Resultater - Østdanmark'!I$3:I$504,'Resultater - Østdanmark'!J$3:J$504)),'Resultater - Østdanmark'!$F$3:$F$504,$A258,'Resultater - Østdanmark'!H$3:H$504,"&lt;0"),0))</f>
        <v>0</v>
      </c>
      <c r="J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forbrug'!J$3,'Forbrug af biomasse'!$B$2:$B$425,$F258)</f>
        <v>0</v>
      </c>
      <c r="K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forbrug'!K$3,'Forbrug af biomasse'!$B$2:$B$425,$F258)</f>
        <v>0</v>
      </c>
      <c r="L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forbrug'!L$3,'Forbrug af biomasse'!$B$2:$B$425,$F258)</f>
        <v>0</v>
      </c>
      <c r="M258" s="94">
        <f>IF(A258&lt;&gt;"Biogas",SUMIFS('Forbrug af biomasse'!$E$2:$E$425,'Forbrug af biomasse'!$C$2:$C$425,'Resultat-Produktion &amp; forbrug'!$A258,'Forbrug af biomasse'!$D$2:$D$425,'Resultat-Produktion &amp; forbrug'!$E258,'Forbrug af biomasse'!$A$2:$A$425,'Resultat-Produktion &amp; forbrug'!M$3,'Forbrug af biomasse'!$B$2:$B$425,$F258),G258)</f>
        <v>0</v>
      </c>
      <c r="N258" s="94">
        <f>SUMIFS('Forbrug af biomasse'!E:E,'Forbrug af biomasse'!C:C,'Resultat-Produktion &amp; forbrug'!$A258,'Forbrug af biomasse'!D:D,'Resultat-Produktion &amp; forbrug'!$E258,'Forbrug af biomasse'!G:G,1,'Forbrug af biomasse'!B:B,$F258)</f>
        <v>0</v>
      </c>
      <c r="O258" s="179">
        <f t="shared" ca="1" si="69"/>
        <v>0</v>
      </c>
      <c r="P258" s="94">
        <f t="shared" si="65"/>
        <v>0</v>
      </c>
      <c r="Q258" s="180">
        <f t="shared" si="70"/>
        <v>0</v>
      </c>
      <c r="R258">
        <f>IFERROR(VLOOKUP(A258,[1]Energiindhold!$A$2:$C$11,3,FALSE),IFERROR(VLOOKUP(A258,[1]Biogasudbytte!$A$2:$B$18,2,FALSE)*[1]Energiindhold!$C$10,0))*P258</f>
        <v>0</v>
      </c>
      <c r="S258">
        <f>IF(A258&lt;&gt;"Biogas",IFERROR(VLOOKUP(A258,[1]Biogasudbytte!$A$2:$B$18,2,FALSE)*[1]Energiindhold!$C$10,0)*K258*IFERROR(VLOOKUP(A258,Biogasanlæg!$F$3:$G$8,2,FALSE),1)+IFERROR(VLOOKUP(A258,[1]Energiindhold!$A$2:$C$11,3,FALSE),0)*M258+IF(E258&lt;&gt;År1,R258,0),0)</f>
        <v>0</v>
      </c>
      <c r="T258">
        <f>IFERROR(VLOOKUP(A258,[1]Biogasudbytte!$A$2:$B$18,2,FALSE)*[1]Energiindhold!$C$10,0)*K258*IFERROR(VLOOKUP(A258,Biogasanlæg!$F$3:$G$8,2,FALSE),1)</f>
        <v>0</v>
      </c>
      <c r="U258" s="170">
        <f t="shared" si="71"/>
        <v>0</v>
      </c>
      <c r="V258" s="169">
        <f>P258*IFERROR(VLOOKUP(A258,[1]Tørstofindhold!A$2:B$24,2,FALSE),0)</f>
        <v>0</v>
      </c>
      <c r="W258">
        <f>IF(E258=År1,Q258,SUM(P258,Q258))*IFERROR(VLOOKUP(A258,[1]Tørstofindhold!A$2:B$24,2,FALSE),0)</f>
        <v>0</v>
      </c>
      <c r="X258">
        <f>K258*IFERROR(VLOOKUP(A258,[1]Tørstofindhold!A$2:B$24,2,FALSE),0)</f>
        <v>0</v>
      </c>
      <c r="Y258" s="170">
        <f t="shared" si="72"/>
        <v>0</v>
      </c>
      <c r="Z258">
        <f t="shared" ca="1" si="66"/>
        <v>0</v>
      </c>
      <c r="AA258">
        <f t="shared" ca="1" si="67"/>
        <v>0</v>
      </c>
      <c r="AB258" s="94">
        <f t="shared" ca="1" si="68"/>
        <v>0</v>
      </c>
      <c r="AC258">
        <f ca="1">AB258*D258*10000*VLOOKUP(A258,[1]kcal!$A$2:$C$49,3,FALSE)/1000000000000</f>
        <v>0</v>
      </c>
    </row>
    <row r="259" spans="1:29" x14ac:dyDescent="0.25">
      <c r="A259" s="171" t="str">
        <f t="shared" si="79"/>
        <v>Grøntsager</v>
      </c>
      <c r="B259" s="171" t="str">
        <f t="shared" si="80"/>
        <v/>
      </c>
      <c r="C259" s="171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0</v>
      </c>
      <c r="D259" s="171">
        <f t="shared" si="82"/>
        <v>1</v>
      </c>
      <c r="E259" s="171">
        <f t="shared" si="81"/>
        <v>2050</v>
      </c>
      <c r="F259" t="s">
        <v>24</v>
      </c>
      <c r="G259" s="94">
        <f>IF(F259="Vestdanmark",SUMIFS(IF(E259=År1,'Resultater - Vestdanmark'!H$3:H$504,IF(E259=År2,'Resultater - Vestdanmark'!I$3:I$504,'Resultater - Vestdanmark'!J$3:J$504)),'Resultater - Vestdanmark'!$F$3:$F$504,$A259,IF(E259=År1,'Resultater - Vestdanmark'!H$3:H$504,IF(E259=År2,'Resultater - Vestdanmark'!I$3:I$504,'Resultater - Vestdanmark'!J$3:J$504)),"&gt;0"),SUMIFS(IF(E259=År1,'Resultater - Østdanmark'!H$3:H$504,IF(E259=År2,'Resultater - Østdanmark'!I$3:I$504,'Resultater - Østdanmark'!J$3:J$504)),'Resultater - Østdanmark'!$F$3:$F$504,$A259,IF(E259=År1,'Resultater - Østdanmark'!H$3:H$504,IF(E259=År2,'Resultater - Østdanmark'!I$3:I$504,'Resultater - Østdanmark'!J$3:J$504)),"&gt;0"))</f>
        <v>100361.40981981652</v>
      </c>
      <c r="H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forbrug'!H$3,'Forbrug af biomasse'!$B$2:$B$425,$F259)</f>
        <v>0</v>
      </c>
      <c r="I259">
        <f>IF(F259="Vestdanmark",-IF(A259="Halm",SUMIFS(IF(E259=År1,'Resultater - Vestdanmark'!H$3:H$504,IF(E259=År2,'Resultater - Vestdanmark'!I$3:I$504,'Resultater - Vestdanmark'!J$3:J$504)),'Resultater - Vestdanmark'!$F$3:$F$504,$A259,'Resultater - Vestdanmark'!H$3:H$504,"&lt;0"),0),-IF(A259="Halm",SUMIFS(IF(E259=År1,'Resultater - Østdanmark'!H$3:H$504,IF(E259=År2,'Resultater - Østdanmark'!I$3:I$504,'Resultater - Østdanmark'!J$3:J$504)),'Resultater - Østdanmark'!$F$3:$F$504,$A259,'Resultater - Østdanmark'!H$3:H$504,"&lt;0"),0))</f>
        <v>0</v>
      </c>
      <c r="J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forbrug'!J$3,'Forbrug af biomasse'!$B$2:$B$425,$F259)</f>
        <v>244869.51675001203</v>
      </c>
      <c r="K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forbrug'!K$3,'Forbrug af biomasse'!$B$2:$B$425,$F259)</f>
        <v>0</v>
      </c>
      <c r="L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forbrug'!L$3,'Forbrug af biomasse'!$B$2:$B$425,$F259)</f>
        <v>0</v>
      </c>
      <c r="M259" s="94">
        <f>IF(A259&lt;&gt;"Biogas",SUMIFS('Forbrug af biomasse'!$E$2:$E$425,'Forbrug af biomasse'!$C$2:$C$425,'Resultat-Produktion &amp; forbrug'!$A259,'Forbrug af biomasse'!$D$2:$D$425,'Resultat-Produktion &amp; forbrug'!$E259,'Forbrug af biomasse'!$A$2:$A$425,'Resultat-Produktion &amp; forbrug'!M$3,'Forbrug af biomasse'!$B$2:$B$425,$F259),G259)</f>
        <v>0</v>
      </c>
      <c r="N259" s="94">
        <f>SUMIFS('Forbrug af biomasse'!E:E,'Forbrug af biomasse'!C:C,'Resultat-Produktion &amp; forbrug'!$A259,'Forbrug af biomasse'!D:D,'Resultat-Produktion &amp; forbrug'!$E259,'Forbrug af biomasse'!G:G,1,'Forbrug af biomasse'!B:B,$F259)</f>
        <v>0</v>
      </c>
      <c r="O259" s="179">
        <f t="shared" si="69"/>
        <v>-144508.10693019553</v>
      </c>
      <c r="P259" s="94">
        <f t="shared" si="65"/>
        <v>0</v>
      </c>
      <c r="Q259" s="180">
        <f t="shared" si="70"/>
        <v>0</v>
      </c>
      <c r="R259">
        <f>IFERROR(VLOOKUP(A259,[1]Energiindhold!$A$2:$C$11,3,FALSE),IFERROR(VLOOKUP(A259,[1]Biogasudbytte!$A$2:$B$18,2,FALSE)*[1]Energiindhold!$C$10,0))*P259</f>
        <v>0</v>
      </c>
      <c r="S259">
        <f>IF(A259&lt;&gt;"Biogas",IFERROR(VLOOKUP(A259,[1]Biogasudbytte!$A$2:$B$18,2,FALSE)*[1]Energiindhold!$C$10,0)*K259*IFERROR(VLOOKUP(A259,Biogasanlæg!$F$3:$G$8,2,FALSE),1)+IFERROR(VLOOKUP(A259,[1]Energiindhold!$A$2:$C$11,3,FALSE),0)*M259+IF(E259&lt;&gt;År1,R259,0),0)</f>
        <v>0</v>
      </c>
      <c r="T259">
        <f>IFERROR(VLOOKUP(A259,[1]Biogasudbytte!$A$2:$B$18,2,FALSE)*[1]Energiindhold!$C$10,0)*K259*IFERROR(VLOOKUP(A259,Biogasanlæg!$F$3:$G$8,2,FALSE),1)</f>
        <v>0</v>
      </c>
      <c r="U259" s="170">
        <f t="shared" si="71"/>
        <v>0</v>
      </c>
      <c r="V259" s="169">
        <f>P259*IFERROR(VLOOKUP(A259,[1]Tørstofindhold!A$2:B$24,2,FALSE),0)</f>
        <v>0</v>
      </c>
      <c r="W259">
        <f>IF(E259=År1,Q259,SUM(P259,Q259))*IFERROR(VLOOKUP(A259,[1]Tørstofindhold!A$2:B$24,2,FALSE),0)</f>
        <v>0</v>
      </c>
      <c r="X259">
        <f>K259*IFERROR(VLOOKUP(A259,[1]Tørstofindhold!A$2:B$24,2,FALSE),0)</f>
        <v>0</v>
      </c>
      <c r="Y259" s="170">
        <f t="shared" si="72"/>
        <v>0</v>
      </c>
      <c r="Z259">
        <f t="shared" si="66"/>
        <v>1</v>
      </c>
      <c r="AA259">
        <f t="shared" si="67"/>
        <v>0</v>
      </c>
      <c r="AB259" s="94">
        <f t="shared" si="68"/>
        <v>100361.40981981652</v>
      </c>
      <c r="AC259">
        <f>AB259*D259*10000*VLOOKUP(A259,[1]kcal!$A$2:$C$49,3,FALSE)/1000000000000</f>
        <v>3.914094982972844E-2</v>
      </c>
    </row>
    <row r="260" spans="1:29" x14ac:dyDescent="0.25">
      <c r="A260" s="171" t="str">
        <f t="shared" si="79"/>
        <v>Halm</v>
      </c>
      <c r="B260" s="171" t="str">
        <f t="shared" si="80"/>
        <v>Halm og strå</v>
      </c>
      <c r="C260" s="171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71">
        <f t="shared" si="82"/>
        <v>0</v>
      </c>
      <c r="E260" s="171">
        <f t="shared" si="81"/>
        <v>2050</v>
      </c>
      <c r="F260" t="s">
        <v>24</v>
      </c>
      <c r="G260" s="94">
        <f ca="1">IF(F260="Vestdanmark",SUMIFS(IF(E260=År1,'Resultater - Vestdanmark'!H$3:H$504,IF(E260=År2,'Resultater - Vestdanmark'!I$3:I$504,'Resultater - Vestdanmark'!J$3:J$504)),'Resultater - Vestdanmark'!$F$3:$F$504,$A260,IF(E260=År1,'Resultater - Vestdanmark'!H$3:H$504,IF(E260=År2,'Resultater - Vestdanmark'!I$3:I$504,'Resultater - Vestdanmark'!J$3:J$504)),"&gt;0"),SUMIFS(IF(E260=År1,'Resultater - Østdanmark'!H$3:H$504,IF(E260=År2,'Resultater - Østdanmark'!I$3:I$504,'Resultater - Østdanmark'!J$3:J$504)),'Resultater - Østdanmark'!$F$3:$F$504,$A260,IF(E260=År1,'Resultater - Østdanmark'!H$3:H$504,IF(E260=År2,'Resultater - Østdanmark'!I$3:I$504,'Resultater - Østdanmark'!J$3:J$504)),"&gt;0"))</f>
        <v>1501603.8609770872</v>
      </c>
      <c r="H260" s="94">
        <f ca="1">SUMIFS('Forbrug af biomasse'!$E$2:$E$425,'Forbrug af biomasse'!$C$2:$C$425,'Resultat-Produktion &amp; forbrug'!$A260,'Forbrug af biomasse'!$D$2:$D$425,'Resultat-Produktion &amp; forbrug'!$E260,'Forbrug af biomasse'!$A$2:$A$425,'Resultat-Produktion &amp; forbrug'!H$3,'Forbrug af biomasse'!$B$2:$B$425,$F260)</f>
        <v>87107.539862645164</v>
      </c>
      <c r="I260">
        <f ca="1">IF(F260="Vestdanmark",-IF(A260="Halm",SUMIFS(IF(E260=År1,'Resultater - Vestdanmark'!H$3:H$504,IF(E260=År2,'Resultater - Vestdanmark'!I$3:I$504,'Resultater - Vestdanmark'!J$3:J$504)),'Resultater - Vestdanmark'!$F$3:$F$504,$A260,'Resultater - Vestdanmark'!H$3:H$504,"&lt;0"),0),-IF(A260="Halm",SUMIFS(IF(E260=År1,'Resultater - Østdanmark'!H$3:H$504,IF(E260=År2,'Resultater - Østdanmark'!I$3:I$504,'Resultater - Østdanmark'!J$3:J$504)),'Resultater - Østdanmark'!$F$3:$F$504,$A260,'Resultater - Østdanmark'!H$3:H$504,"&lt;0"),0))</f>
        <v>92961.560520988991</v>
      </c>
      <c r="J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forbrug'!J$3,'Forbrug af biomasse'!$B$2:$B$425,$F260)</f>
        <v>0</v>
      </c>
      <c r="K260" s="94">
        <f ca="1">SUMIFS('Forbrug af biomasse'!$E$2:$E$425,'Forbrug af biomasse'!$C$2:$C$425,'Resultat-Produktion &amp; forbrug'!$A260,'Forbrug af biomasse'!$D$2:$D$425,'Resultat-Produktion &amp; forbrug'!$E260,'Forbrug af biomasse'!$A$2:$A$425,'Resultat-Produktion &amp; forbrug'!K$3,'Forbrug af biomasse'!$B$2:$B$425,$F260)</f>
        <v>0</v>
      </c>
      <c r="L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forbrug'!L$3,'Forbrug af biomasse'!$B$2:$B$425,$F260)</f>
        <v>0</v>
      </c>
      <c r="M260" s="94">
        <f ca="1">IF(A260&lt;&gt;"Biogas",SUMIFS('Forbrug af biomasse'!$E$2:$E$425,'Forbrug af biomasse'!$C$2:$C$425,'Resultat-Produktion &amp; forbrug'!$A260,'Forbrug af biomasse'!$D$2:$D$425,'Resultat-Produktion &amp; forbrug'!$E260,'Forbrug af biomasse'!$A$2:$A$425,'Resultat-Produktion &amp; forbrug'!M$3,'Forbrug af biomasse'!$B$2:$B$425,$F260),G260)</f>
        <v>1321534.7605934532</v>
      </c>
      <c r="N260" s="94">
        <f ca="1">SUMIFS('Forbrug af biomasse'!E:E,'Forbrug af biomasse'!C:C,'Resultat-Produktion &amp; forbrug'!$A260,'Forbrug af biomasse'!D:D,'Resultat-Produktion &amp; forbrug'!$E260,'Forbrug af biomasse'!G:G,1,'Forbrug af biomasse'!B:B,$F260)</f>
        <v>0</v>
      </c>
      <c r="O260" s="179">
        <f t="shared" ca="1" si="69"/>
        <v>0</v>
      </c>
      <c r="P260" s="94">
        <f t="shared" ref="P260:P275" ca="1" si="83">IF(C260=1,IF(O260+IF(SUMIFS($O$4:$O$291,$A$4:$A$291,A260,$E$4:$E$291,E260,$F$4:$F$291,"&lt;&gt;"&amp;F260)&lt;0,SUMIFS($O$4:$O$291,$A$4:$A$291,A260,$E$4:$E$291,E260,$F$4:$F$291,"&lt;&gt;"&amp;F260),0)&gt;0,O260+IF(SUMIFS($O$4:$O$291,$A$4:$A$291,A260,$E$4:$E$291,E260,$F$4:$F$291,"&lt;&gt;"&amp;F260)&lt;0,SUMIFS($O$4:$O$291,$A$4:$A$291,A260,$E$4:$E$291,E260,$F$4:$F$291,"&lt;&gt;"&amp;F260),0),0),0)</f>
        <v>0</v>
      </c>
      <c r="Q260" s="180">
        <f t="shared" ca="1" si="70"/>
        <v>1321534.7605934532</v>
      </c>
      <c r="R260">
        <f ca="1">IFERROR(VLOOKUP(A260,[1]Energiindhold!$A$2:$C$11,3,FALSE),IFERROR(VLOOKUP(A260,[1]Biogasudbytte!$A$2:$B$18,2,FALSE)*[1]Energiindhold!$C$10,0))*P260</f>
        <v>0</v>
      </c>
      <c r="S260">
        <f ca="1">IF(A260&lt;&gt;"Biogas",IFERROR(VLOOKUP(A260,[1]Biogasudbytte!$A$2:$B$18,2,FALSE)*[1]Energiindhold!$C$10,0)*K260*IFERROR(VLOOKUP(A260,Biogasanlæg!$F$3:$G$8,2,FALSE),1)+IFERROR(VLOOKUP(A260,[1]Energiindhold!$A$2:$C$11,3,FALSE),0)*M260+IF(E260&lt;&gt;År1,R260,0),0)</f>
        <v>13.659127355928229</v>
      </c>
      <c r="T260">
        <f ca="1">IFERROR(VLOOKUP(A260,[1]Biogasudbytte!$A$2:$B$18,2,FALSE)*[1]Energiindhold!$C$10,0)*K260*IFERROR(VLOOKUP(A260,Biogasanlæg!$F$3:$G$8,2,FALSE),1)</f>
        <v>0</v>
      </c>
      <c r="U260" s="170">
        <f t="shared" ca="1" si="71"/>
        <v>13.659127355928229</v>
      </c>
      <c r="V260" s="169">
        <f ca="1">P260*IFERROR(VLOOKUP(A260,[1]Tørstofindhold!A$2:B$24,2,FALSE),0)</f>
        <v>0</v>
      </c>
      <c r="W260">
        <f ca="1">IF(E260=År1,Q260,SUM(P260,Q260))*IFERROR(VLOOKUP(A260,[1]Tørstofindhold!A$2:B$24,2,FALSE),0)</f>
        <v>1123304.5465044351</v>
      </c>
      <c r="X260">
        <f ca="1">K260*IFERROR(VLOOKUP(A260,[1]Tørstofindhold!A$2:B$24,2,FALSE),0)</f>
        <v>0</v>
      </c>
      <c r="Y260" s="170">
        <f t="shared" ca="1" si="72"/>
        <v>1123304.5465044351</v>
      </c>
      <c r="Z260">
        <f t="shared" ref="Z260:Z275" ca="1" si="84">IF(SUMIFS($O$4:$O$291,$A$4:$A$291,A260,$E$4:$E$291,E260)&lt;0,1,0)</f>
        <v>0</v>
      </c>
      <c r="AA260">
        <f t="shared" ref="AA260:AA275" ca="1" si="85">IF(SUMIFS($O$4:$O$291,$A$4:$A$291,A260,$E$4:$E$291,E260)&gt;0,1,0)</f>
        <v>0</v>
      </c>
      <c r="AB260" s="94">
        <f t="shared" ca="1" si="68"/>
        <v>1321534.760593453</v>
      </c>
      <c r="AC260">
        <f ca="1">AB260*D260*10000*VLOOKUP(A260,[1]kcal!$A$2:$C$49,3,FALSE)/1000000000000</f>
        <v>0</v>
      </c>
    </row>
    <row r="261" spans="1:29" x14ac:dyDescent="0.25">
      <c r="A261" s="171" t="str">
        <f t="shared" si="79"/>
        <v>Have/parkaffald</v>
      </c>
      <c r="B261" s="171" t="str">
        <f t="shared" si="80"/>
        <v>Bionedbrydeligt affald</v>
      </c>
      <c r="C261" s="171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1</v>
      </c>
      <c r="D261" s="171">
        <f t="shared" si="82"/>
        <v>0</v>
      </c>
      <c r="E261" s="171">
        <f t="shared" si="81"/>
        <v>2050</v>
      </c>
      <c r="F261" t="s">
        <v>24</v>
      </c>
      <c r="G261" s="94">
        <f>IF(F261="Vestdanmark",SUMIFS(IF(E261=År1,'Resultater - Vestdanmark'!H$3:H$504,IF(E261=År2,'Resultater - Vestdanmark'!I$3:I$504,'Resultater - Vestdanmark'!J$3:J$504)),'Resultater - Vestdanmark'!$F$3:$F$504,$A261,IF(E261=År1,'Resultater - Vestdanmark'!H$3:H$504,IF(E261=År2,'Resultater - Vestdanmark'!I$3:I$504,'Resultater - Vestdanmark'!J$3:J$504)),"&gt;0"),SUMIFS(IF(E261=År1,'Resultater - Østdanmark'!H$3:H$504,IF(E261=År2,'Resultater - Østdanmark'!I$3:I$504,'Resultater - Østdanmark'!J$3:J$504)),'Resultater - Østdanmark'!$F$3:$F$504,$A261,IF(E261=År1,'Resultater - Østdanmark'!H$3:H$504,IF(E261=År2,'Resultater - Østdanmark'!I$3:I$504,'Resultater - Østdanmark'!J$3:J$504)),"&gt;0"))</f>
        <v>457927.02496060182</v>
      </c>
      <c r="H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forbrug'!H$3,'Forbrug af biomasse'!$B$2:$B$425,$F261)</f>
        <v>0</v>
      </c>
      <c r="I261">
        <f>IF(F261="Vestdanmark",-IF(A261="Halm",SUMIFS(IF(E261=År1,'Resultater - Vestdanmark'!H$3:H$504,IF(E261=År2,'Resultater - Vestdanmark'!I$3:I$504,'Resultater - Vestdanmark'!J$3:J$504)),'Resultater - Vestdanmark'!$F$3:$F$504,$A261,'Resultater - Vestdanmark'!H$3:H$504,"&lt;0"),0),-IF(A261="Halm",SUMIFS(IF(E261=År1,'Resultater - Østdanmark'!H$3:H$504,IF(E261=År2,'Resultater - Østdanmark'!I$3:I$504,'Resultater - Østdanmark'!J$3:J$504)),'Resultater - Østdanmark'!$F$3:$F$504,$A261,'Resultater - Østdanmark'!H$3:H$504,"&lt;0"),0))</f>
        <v>0</v>
      </c>
      <c r="J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forbrug'!J$3,'Forbrug af biomasse'!$B$2:$B$425,$F261)</f>
        <v>0</v>
      </c>
      <c r="K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forbrug'!K$3,'Forbrug af biomasse'!$B$2:$B$425,$F261)</f>
        <v>456618.20807643177</v>
      </c>
      <c r="L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forbrug'!L$3,'Forbrug af biomasse'!$B$2:$B$425,$F261)</f>
        <v>0</v>
      </c>
      <c r="M261" s="94">
        <f>IF(A261&lt;&gt;"Biogas",SUMIFS('Forbrug af biomasse'!$E$2:$E$425,'Forbrug af biomasse'!$C$2:$C$425,'Resultat-Produktion &amp; forbrug'!$A261,'Forbrug af biomasse'!$D$2:$D$425,'Resultat-Produktion &amp; forbrug'!$E261,'Forbrug af biomasse'!$A$2:$A$425,'Resultat-Produktion &amp; forbrug'!M$3,'Forbrug af biomasse'!$B$2:$B$425,$F261),G261)</f>
        <v>1308.8168841700535</v>
      </c>
      <c r="N261" s="94">
        <f>SUMIFS('Forbrug af biomasse'!E:E,'Forbrug af biomasse'!C:C,'Resultat-Produktion &amp; forbrug'!$A261,'Forbrug af biomasse'!D:D,'Resultat-Produktion &amp; forbrug'!$E261,'Forbrug af biomasse'!G:G,1,'Forbrug af biomasse'!B:B,$F261)</f>
        <v>0</v>
      </c>
      <c r="O261" s="179">
        <f t="shared" si="69"/>
        <v>0</v>
      </c>
      <c r="P261" s="94">
        <f t="shared" si="83"/>
        <v>0</v>
      </c>
      <c r="Q261" s="180">
        <f t="shared" si="70"/>
        <v>457927.02496060182</v>
      </c>
      <c r="R261">
        <f>IFERROR(VLOOKUP(A261,[1]Energiindhold!$A$2:$C$11,3,FALSE),IFERROR(VLOOKUP(A261,[1]Biogasudbytte!$A$2:$B$18,2,FALSE)*[1]Energiindhold!$C$10,0))*P261</f>
        <v>0</v>
      </c>
      <c r="S261">
        <f>IF(A261&lt;&gt;"Biogas",IFERROR(VLOOKUP(A261,[1]Biogasudbytte!$A$2:$B$18,2,FALSE)*[1]Energiindhold!$C$10,0)*K261*IFERROR(VLOOKUP(A261,Biogasanlæg!$F$3:$G$8,2,FALSE),1)+IFERROR(VLOOKUP(A261,[1]Energiindhold!$A$2:$C$11,3,FALSE),0)*M261+IF(E261&lt;&gt;År1,R261,0),0)</f>
        <v>0.79873496822573153</v>
      </c>
      <c r="T261">
        <f>IFERROR(VLOOKUP(A261,[1]Biogasudbytte!$A$2:$B$18,2,FALSE)*[1]Energiindhold!$C$10,0)*K261*IFERROR(VLOOKUP(A261,Biogasanlæg!$F$3:$G$8,2,FALSE),1)</f>
        <v>0.77536968058834654</v>
      </c>
      <c r="U261" s="170">
        <f t="shared" si="71"/>
        <v>2.336528763738499E-2</v>
      </c>
      <c r="V261" s="169">
        <f>P261*IFERROR(VLOOKUP(A261,[1]Tørstofindhold!A$2:B$24,2,FALSE),0)</f>
        <v>0</v>
      </c>
      <c r="W261">
        <f>IF(E261=År1,Q261,SUM(P261,Q261))*IFERROR(VLOOKUP(A261,[1]Tørstofindhold!A$2:B$24,2,FALSE),0)</f>
        <v>137378.10748818054</v>
      </c>
      <c r="X261">
        <f>K261*IFERROR(VLOOKUP(A261,[1]Tørstofindhold!A$2:B$24,2,FALSE),0)</f>
        <v>136985.46242292953</v>
      </c>
      <c r="Y261" s="170">
        <f t="shared" si="72"/>
        <v>392.64506525101024</v>
      </c>
      <c r="Z261">
        <f t="shared" si="84"/>
        <v>0</v>
      </c>
      <c r="AA261">
        <f t="shared" si="85"/>
        <v>0</v>
      </c>
      <c r="AB261" s="94">
        <f t="shared" ref="AB261:AB291" si="86">G261-SUMPRODUCT($H$2:$N$2,H261:N261)</f>
        <v>1308.8168841700535</v>
      </c>
      <c r="AC261">
        <f>AB261*D261*10000*VLOOKUP(A261,[1]kcal!$A$2:$C$49,3,FALSE)/1000000000000</f>
        <v>0</v>
      </c>
    </row>
    <row r="262" spans="1:29" x14ac:dyDescent="0.25">
      <c r="A262" s="171" t="str">
        <f t="shared" si="79"/>
        <v>Import af foder</v>
      </c>
      <c r="B262" s="171" t="str">
        <f t="shared" si="80"/>
        <v/>
      </c>
      <c r="C262" s="171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0</v>
      </c>
      <c r="D262" s="171">
        <f t="shared" si="82"/>
        <v>1</v>
      </c>
      <c r="E262" s="171">
        <f t="shared" si="81"/>
        <v>2050</v>
      </c>
      <c r="F262" t="s">
        <v>24</v>
      </c>
      <c r="G262" s="94">
        <f>IF(F262="Vestdanmark",SUMIFS(IF(E262=År1,'Resultater - Vestdanmark'!H$3:H$504,IF(E262=År2,'Resultater - Vestdanmark'!I$3:I$504,'Resultater - Vestdanmark'!J$3:J$504)),'Resultater - Vestdanmark'!$F$3:$F$504,$A262,IF(E262=År1,'Resultater - Vestdanmark'!H$3:H$504,IF(E262=År2,'Resultater - Vestdanmark'!I$3:I$504,'Resultater - Vestdanmark'!J$3:J$504)),"&gt;0"),SUMIFS(IF(E262=År1,'Resultater - Østdanmark'!H$3:H$504,IF(E262=År2,'Resultater - Østdanmark'!I$3:I$504,'Resultater - Østdanmark'!J$3:J$504)),'Resultater - Østdanmark'!$F$3:$F$504,$A262,IF(E262=År1,'Resultater - Østdanmark'!H$3:H$504,IF(E262=År2,'Resultater - Østdanmark'!I$3:I$504,'Resultater - Østdanmark'!J$3:J$504)),"&gt;0"))</f>
        <v>0</v>
      </c>
      <c r="H262" s="94">
        <f ca="1">SUMIFS('Forbrug af biomasse'!$E$2:$E$425,'Forbrug af biomasse'!$C$2:$C$425,'Resultat-Produktion &amp; forbrug'!$A262,'Forbrug af biomasse'!$D$2:$D$425,'Resultat-Produktion &amp; forbrug'!$E262,'Forbrug af biomasse'!$A$2:$A$425,'Resultat-Produktion &amp; forbrug'!H$3,'Forbrug af biomasse'!$B$2:$B$425,$F262)</f>
        <v>544043.61513285921</v>
      </c>
      <c r="I262">
        <f>IF(F262="Vestdanmark",-IF(A262="Halm",SUMIFS(IF(E262=År1,'Resultater - Vestdanmark'!H$3:H$504,IF(E262=År2,'Resultater - Vestdanmark'!I$3:I$504,'Resultater - Vestdanmark'!J$3:J$504)),'Resultater - Vestdanmark'!$F$3:$F$504,$A262,'Resultater - Vestdanmark'!H$3:H$504,"&lt;0"),0),-IF(A262="Halm",SUMIFS(IF(E262=År1,'Resultater - Østdanmark'!H$3:H$504,IF(E262=År2,'Resultater - Østdanmark'!I$3:I$504,'Resultater - Østdanmark'!J$3:J$504)),'Resultater - Østdanmark'!$F$3:$F$504,$A262,'Resultater - Østdanmark'!H$3:H$504,"&lt;0"),0))</f>
        <v>0</v>
      </c>
      <c r="J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forbrug'!J$3,'Forbrug af biomasse'!$B$2:$B$425,$F262)</f>
        <v>0</v>
      </c>
      <c r="K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forbrug'!K$3,'Forbrug af biomasse'!$B$2:$B$425,$F262)</f>
        <v>0</v>
      </c>
      <c r="L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forbrug'!L$3,'Forbrug af biomasse'!$B$2:$B$425,$F262)</f>
        <v>0</v>
      </c>
      <c r="M262" s="94">
        <f>IF(A262&lt;&gt;"Biogas",SUMIFS('Forbrug af biomasse'!$E$2:$E$425,'Forbrug af biomasse'!$C$2:$C$425,'Resultat-Produktion &amp; forbrug'!$A262,'Forbrug af biomasse'!$D$2:$D$425,'Resultat-Produktion &amp; forbrug'!$E262,'Forbrug af biomasse'!$A$2:$A$425,'Resultat-Produktion &amp; forbrug'!M$3,'Forbrug af biomasse'!$B$2:$B$425,$F262),G262)</f>
        <v>0</v>
      </c>
      <c r="N262" s="94">
        <f>SUMIFS('Forbrug af biomasse'!E:E,'Forbrug af biomasse'!C:C,'Resultat-Produktion &amp; forbrug'!$A262,'Forbrug af biomasse'!D:D,'Resultat-Produktion &amp; forbrug'!$E262,'Forbrug af biomasse'!G:G,1,'Forbrug af biomasse'!B:B,$F262)</f>
        <v>0</v>
      </c>
      <c r="O262" s="179">
        <f t="shared" ca="1" si="69"/>
        <v>-544043.61513285921</v>
      </c>
      <c r="P262" s="94">
        <f t="shared" si="83"/>
        <v>0</v>
      </c>
      <c r="Q262" s="180">
        <f t="shared" si="70"/>
        <v>0</v>
      </c>
      <c r="R262">
        <f>IFERROR(VLOOKUP(A262,[1]Energiindhold!$A$2:$C$11,3,FALSE),IFERROR(VLOOKUP(A262,[1]Biogasudbytte!$A$2:$B$18,2,FALSE)*[1]Energiindhold!$C$10,0))*P262</f>
        <v>0</v>
      </c>
      <c r="S262">
        <f>IF(A262&lt;&gt;"Biogas",IFERROR(VLOOKUP(A262,[1]Biogasudbytte!$A$2:$B$18,2,FALSE)*[1]Energiindhold!$C$10,0)*K262*IFERROR(VLOOKUP(A262,Biogasanlæg!$F$3:$G$8,2,FALSE),1)+IFERROR(VLOOKUP(A262,[1]Energiindhold!$A$2:$C$11,3,FALSE),0)*M262+IF(E262&lt;&gt;År1,R262,0),0)</f>
        <v>0</v>
      </c>
      <c r="T262">
        <f>IFERROR(VLOOKUP(A262,[1]Biogasudbytte!$A$2:$B$18,2,FALSE)*[1]Energiindhold!$C$10,0)*K262*IFERROR(VLOOKUP(A262,Biogasanlæg!$F$3:$G$8,2,FALSE),1)</f>
        <v>0</v>
      </c>
      <c r="U262" s="170">
        <f t="shared" si="71"/>
        <v>0</v>
      </c>
      <c r="V262" s="169">
        <f>P262*IFERROR(VLOOKUP(A262,[1]Tørstofindhold!A$2:B$24,2,FALSE),0)</f>
        <v>0</v>
      </c>
      <c r="W262">
        <f>IF(E262=År1,Q262,SUM(P262,Q262))*IFERROR(VLOOKUP(A262,[1]Tørstofindhold!A$2:B$24,2,FALSE),0)</f>
        <v>0</v>
      </c>
      <c r="X262">
        <f>K262*IFERROR(VLOOKUP(A262,[1]Tørstofindhold!A$2:B$24,2,FALSE),0)</f>
        <v>0</v>
      </c>
      <c r="Y262" s="170">
        <f t="shared" si="72"/>
        <v>0</v>
      </c>
      <c r="Z262">
        <f t="shared" ca="1" si="84"/>
        <v>1</v>
      </c>
      <c r="AA262">
        <f t="shared" ca="1" si="85"/>
        <v>0</v>
      </c>
      <c r="AB262" s="94">
        <f t="shared" ca="1" si="86"/>
        <v>-544043.61513285921</v>
      </c>
      <c r="AC262">
        <f ca="1">AB262*D262*10000*VLOOKUP(A262,[1]kcal!$A$2:$C$49,3,FALSE)/1000000000000</f>
        <v>-0.31010486062572973</v>
      </c>
    </row>
    <row r="263" spans="1:29" x14ac:dyDescent="0.25">
      <c r="A263" s="171" t="str">
        <f t="shared" si="79"/>
        <v>Industriaffald</v>
      </c>
      <c r="B263" s="171" t="str">
        <f t="shared" si="80"/>
        <v>Bionedbrydeligt affald</v>
      </c>
      <c r="C263" s="171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1</v>
      </c>
      <c r="D263" s="171">
        <f t="shared" si="82"/>
        <v>0</v>
      </c>
      <c r="E263" s="171">
        <f t="shared" si="81"/>
        <v>2050</v>
      </c>
      <c r="F263" t="s">
        <v>24</v>
      </c>
      <c r="G263" s="94">
        <f ca="1">IF(F263="Vestdanmark",SUMIFS(IF(E263=År1,'Resultater - Vestdanmark'!H$3:H$504,IF(E263=År2,'Resultater - Vestdanmark'!I$3:I$504,'Resultater - Vestdanmark'!J$3:J$504)),'Resultater - Vestdanmark'!$F$3:$F$504,$A263,IF(E263=År1,'Resultater - Vestdanmark'!H$3:H$504,IF(E263=År2,'Resultater - Vestdanmark'!I$3:I$504,'Resultater - Vestdanmark'!J$3:J$504)),"&gt;0"),SUMIFS(IF(E263=År1,'Resultater - Østdanmark'!H$3:H$504,IF(E263=År2,'Resultater - Østdanmark'!I$3:I$504,'Resultater - Østdanmark'!J$3:J$504)),'Resultater - Østdanmark'!$F$3:$F$504,$A263,IF(E263=År1,'Resultater - Østdanmark'!H$3:H$504,IF(E263=År2,'Resultater - Østdanmark'!I$3:I$504,'Resultater - Østdanmark'!J$3:J$504)),"&gt;0"))</f>
        <v>200523.95597408165</v>
      </c>
      <c r="H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forbrug'!H$3,'Forbrug af biomasse'!$B$2:$B$425,$F263)</f>
        <v>0</v>
      </c>
      <c r="I263">
        <f>IF(F263="Vestdanmark",-IF(A263="Halm",SUMIFS(IF(E263=År1,'Resultater - Vestdanmark'!H$3:H$504,IF(E263=År2,'Resultater - Vestdanmark'!I$3:I$504,'Resultater - Vestdanmark'!J$3:J$504)),'Resultater - Vestdanmark'!$F$3:$F$504,$A263,'Resultater - Vestdanmark'!H$3:H$504,"&lt;0"),0),-IF(A263="Halm",SUMIFS(IF(E263=År1,'Resultater - Østdanmark'!H$3:H$504,IF(E263=År2,'Resultater - Østdanmark'!I$3:I$504,'Resultater - Østdanmark'!J$3:J$504)),'Resultater - Østdanmark'!$F$3:$F$504,$A263,'Resultater - Østdanmark'!H$3:H$504,"&lt;0"),0))</f>
        <v>0</v>
      </c>
      <c r="J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forbrug'!J$3,'Forbrug af biomasse'!$B$2:$B$425,$F263)</f>
        <v>0</v>
      </c>
      <c r="K263" s="94">
        <f ca="1">SUMIFS('Forbrug af biomasse'!$E$2:$E$425,'Forbrug af biomasse'!$C$2:$C$425,'Resultat-Produktion &amp; forbrug'!$A263,'Forbrug af biomasse'!$D$2:$D$425,'Resultat-Produktion &amp; forbrug'!$E263,'Forbrug af biomasse'!$A$2:$A$425,'Resultat-Produktion &amp; forbrug'!K$3,'Forbrug af biomasse'!$B$2:$B$425,$F263)</f>
        <v>0</v>
      </c>
      <c r="L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forbrug'!L$3,'Forbrug af biomasse'!$B$2:$B$425,$F263)</f>
        <v>0</v>
      </c>
      <c r="M263" s="94">
        <f>IF(A263&lt;&gt;"Biogas",SUMIFS('Forbrug af biomasse'!$E$2:$E$425,'Forbrug af biomasse'!$C$2:$C$425,'Resultat-Produktion &amp; forbrug'!$A263,'Forbrug af biomasse'!$D$2:$D$425,'Resultat-Produktion &amp; forbrug'!$E263,'Forbrug af biomasse'!$A$2:$A$425,'Resultat-Produktion &amp; forbrug'!M$3,'Forbrug af biomasse'!$B$2:$B$425,$F263),G263)</f>
        <v>0</v>
      </c>
      <c r="N263" s="94">
        <f>SUMIFS('Forbrug af biomasse'!E:E,'Forbrug af biomasse'!C:C,'Resultat-Produktion &amp; forbrug'!$A263,'Forbrug af biomasse'!D:D,'Resultat-Produktion &amp; forbrug'!$E263,'Forbrug af biomasse'!G:G,1,'Forbrug af biomasse'!B:B,$F263)</f>
        <v>0</v>
      </c>
      <c r="O263" s="179">
        <f t="shared" ca="1" si="69"/>
        <v>200523.95597408165</v>
      </c>
      <c r="P263" s="94">
        <f t="shared" ca="1" si="83"/>
        <v>200523.95597408165</v>
      </c>
      <c r="Q263" s="180">
        <f t="shared" ca="1" si="70"/>
        <v>0</v>
      </c>
      <c r="R263">
        <f ca="1">IFERROR(VLOOKUP(A263,[1]Energiindhold!$A$2:$C$11,3,FALSE),IFERROR(VLOOKUP(A263,[1]Biogasudbytte!$A$2:$B$18,2,FALSE)*[1]Energiindhold!$C$10,0))*P263</f>
        <v>0.8688963693499725</v>
      </c>
      <c r="S263">
        <f ca="1">IF(A263&lt;&gt;"Biogas",IFERROR(VLOOKUP(A263,[1]Biogasudbytte!$A$2:$B$18,2,FALSE)*[1]Energiindhold!$C$10,0)*K263*IFERROR(VLOOKUP(A263,Biogasanlæg!$F$3:$G$8,2,FALSE),1)+IFERROR(VLOOKUP(A263,[1]Energiindhold!$A$2:$C$11,3,FALSE),0)*M263+IF(E263&lt;&gt;År1,R263,0),0)</f>
        <v>0.8688963693499725</v>
      </c>
      <c r="T263">
        <f ca="1">IFERROR(VLOOKUP(A263,[1]Biogasudbytte!$A$2:$B$18,2,FALSE)*[1]Energiindhold!$C$10,0)*K263*IFERROR(VLOOKUP(A263,Biogasanlæg!$F$3:$G$8,2,FALSE),1)</f>
        <v>0</v>
      </c>
      <c r="U263" s="170">
        <f t="shared" ca="1" si="71"/>
        <v>0.8688963693499725</v>
      </c>
      <c r="V263" s="169">
        <f ca="1">P263*IFERROR(VLOOKUP(A263,[1]Tørstofindhold!A$2:B$24,2,FALSE),0)</f>
        <v>84220.061509114283</v>
      </c>
      <c r="W263">
        <f ca="1">IF(E263=År1,Q263,SUM(P263,Q263))*IFERROR(VLOOKUP(A263,[1]Tørstofindhold!A$2:B$24,2,FALSE),0)</f>
        <v>84220.061509114283</v>
      </c>
      <c r="X263">
        <f ca="1">K263*IFERROR(VLOOKUP(A263,[1]Tørstofindhold!A$2:B$24,2,FALSE),0)</f>
        <v>0</v>
      </c>
      <c r="Y263" s="170">
        <f t="shared" ca="1" si="72"/>
        <v>84220.061509114283</v>
      </c>
      <c r="Z263">
        <f t="shared" ca="1" si="84"/>
        <v>0</v>
      </c>
      <c r="AA263">
        <f t="shared" ca="1" si="85"/>
        <v>1</v>
      </c>
      <c r="AB263" s="94">
        <f t="shared" ca="1" si="86"/>
        <v>200523.95597408165</v>
      </c>
      <c r="AC263">
        <f ca="1">AB263*D263*10000*VLOOKUP(A263,[1]kcal!$A$2:$C$49,3,FALSE)/1000000000000</f>
        <v>0</v>
      </c>
    </row>
    <row r="264" spans="1:29" x14ac:dyDescent="0.25">
      <c r="A264" s="171" t="str">
        <f t="shared" si="79"/>
        <v>Juletræer</v>
      </c>
      <c r="B264" s="171" t="str">
        <f t="shared" si="80"/>
        <v/>
      </c>
      <c r="C264" s="171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71">
        <f t="shared" si="82"/>
        <v>0</v>
      </c>
      <c r="E264" s="171">
        <f t="shared" si="81"/>
        <v>2050</v>
      </c>
      <c r="F264" t="s">
        <v>24</v>
      </c>
      <c r="G264" s="94">
        <f>IF(F264="Vestdanmark",SUMIFS(IF(E264=År1,'Resultater - Vestdanmark'!H$3:H$504,IF(E264=År2,'Resultater - Vestdanmark'!I$3:I$504,'Resultater - Vestdanmark'!J$3:J$504)),'Resultater - Vestdanmark'!$F$3:$F$504,$A264,IF(E264=År1,'Resultater - Vestdanmark'!H$3:H$504,IF(E264=År2,'Resultater - Vestdanmark'!I$3:I$504,'Resultater - Vestdanmark'!J$3:J$504)),"&gt;0"),SUMIFS(IF(E264=År1,'Resultater - Østdanmark'!H$3:H$504,IF(E264=År2,'Resultater - Østdanmark'!I$3:I$504,'Resultater - Østdanmark'!J$3:J$504)),'Resultater - Østdanmark'!$F$3:$F$504,$A264,IF(E264=År1,'Resultater - Østdanmark'!H$3:H$504,IF(E264=År2,'Resultater - Østdanmark'!I$3:I$504,'Resultater - Østdanmark'!J$3:J$504)),"&gt;0"))</f>
        <v>150223.49993632184</v>
      </c>
      <c r="H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forbrug'!H$3,'Forbrug af biomasse'!$B$2:$B$425,$F264)</f>
        <v>0</v>
      </c>
      <c r="I264">
        <f>IF(F264="Vestdanmark",-IF(A264="Halm",SUMIFS(IF(E264=År1,'Resultater - Vestdanmark'!H$3:H$504,IF(E264=År2,'Resultater - Vestdanmark'!I$3:I$504,'Resultater - Vestdanmark'!J$3:J$504)),'Resultater - Vestdanmark'!$F$3:$F$504,$A264,'Resultater - Vestdanmark'!H$3:H$504,"&lt;0"),0),-IF(A264="Halm",SUMIFS(IF(E264=År1,'Resultater - Østdanmark'!H$3:H$504,IF(E264=År2,'Resultater - Østdanmark'!I$3:I$504,'Resultater - Østdanmark'!J$3:J$504)),'Resultater - Østdanmark'!$F$3:$F$504,$A264,'Resultater - Østdanmark'!H$3:H$504,"&lt;0"),0))</f>
        <v>0</v>
      </c>
      <c r="J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forbrug'!J$3,'Forbrug af biomasse'!$B$2:$B$425,$F264)</f>
        <v>0</v>
      </c>
      <c r="K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forbrug'!K$3,'Forbrug af biomasse'!$B$2:$B$425,$F264)</f>
        <v>0</v>
      </c>
      <c r="L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forbrug'!L$3,'Forbrug af biomasse'!$B$2:$B$425,$F264)</f>
        <v>0</v>
      </c>
      <c r="M264" s="94">
        <f>IF(A264&lt;&gt;"Biogas",SUMIFS('Forbrug af biomasse'!$E$2:$E$425,'Forbrug af biomasse'!$C$2:$C$425,'Resultat-Produktion &amp; forbrug'!$A264,'Forbrug af biomasse'!$D$2:$D$425,'Resultat-Produktion &amp; forbrug'!$E264,'Forbrug af biomasse'!$A$2:$A$425,'Resultat-Produktion &amp; forbrug'!M$3,'Forbrug af biomasse'!$B$2:$B$425,$F264),G264)</f>
        <v>0</v>
      </c>
      <c r="N264" s="94">
        <f>SUMIFS('Forbrug af biomasse'!E:E,'Forbrug af biomasse'!C:C,'Resultat-Produktion &amp; forbrug'!$A264,'Forbrug af biomasse'!D:D,'Resultat-Produktion &amp; forbrug'!$E264,'Forbrug af biomasse'!G:G,1,'Forbrug af biomasse'!B:B,$F264)</f>
        <v>0</v>
      </c>
      <c r="O264" s="179">
        <f t="shared" si="69"/>
        <v>150223.49993632184</v>
      </c>
      <c r="P264" s="94">
        <f t="shared" si="83"/>
        <v>0</v>
      </c>
      <c r="Q264" s="180">
        <f t="shared" si="70"/>
        <v>0</v>
      </c>
      <c r="R264">
        <f>IFERROR(VLOOKUP(A264,[1]Energiindhold!$A$2:$C$11,3,FALSE),IFERROR(VLOOKUP(A264,[1]Biogasudbytte!$A$2:$B$18,2,FALSE)*[1]Energiindhold!$C$10,0))*P264</f>
        <v>0</v>
      </c>
      <c r="S264">
        <f>IF(A264&lt;&gt;"Biogas",IFERROR(VLOOKUP(A264,[1]Biogasudbytte!$A$2:$B$18,2,FALSE)*[1]Energiindhold!$C$10,0)*K264*IFERROR(VLOOKUP(A264,Biogasanlæg!$F$3:$G$8,2,FALSE),1)+IFERROR(VLOOKUP(A264,[1]Energiindhold!$A$2:$C$11,3,FALSE),0)*M264+IF(E264&lt;&gt;År1,R264,0),0)</f>
        <v>0</v>
      </c>
      <c r="T264">
        <f>IFERROR(VLOOKUP(A264,[1]Biogasudbytte!$A$2:$B$18,2,FALSE)*[1]Energiindhold!$C$10,0)*K264*IFERROR(VLOOKUP(A264,Biogasanlæg!$F$3:$G$8,2,FALSE),1)</f>
        <v>0</v>
      </c>
      <c r="U264" s="170">
        <f t="shared" si="71"/>
        <v>0</v>
      </c>
      <c r="V264" s="169">
        <f>P264*IFERROR(VLOOKUP(A264,[1]Tørstofindhold!A$2:B$24,2,FALSE),0)</f>
        <v>0</v>
      </c>
      <c r="W264">
        <f>IF(E264=År1,Q264,SUM(P264,Q264))*IFERROR(VLOOKUP(A264,[1]Tørstofindhold!A$2:B$24,2,FALSE),0)</f>
        <v>0</v>
      </c>
      <c r="X264">
        <f>K264*IFERROR(VLOOKUP(A264,[1]Tørstofindhold!A$2:B$24,2,FALSE),0)</f>
        <v>0</v>
      </c>
      <c r="Y264" s="170">
        <f t="shared" si="72"/>
        <v>0</v>
      </c>
      <c r="Z264">
        <f t="shared" si="84"/>
        <v>0</v>
      </c>
      <c r="AA264">
        <f t="shared" si="85"/>
        <v>1</v>
      </c>
      <c r="AB264" s="94">
        <f t="shared" si="86"/>
        <v>150223.49993632184</v>
      </c>
      <c r="AC264">
        <f>AB264*D264*10000*VLOOKUP(A264,[1]kcal!$A$2:$C$49,3,FALSE)/1000000000000</f>
        <v>0</v>
      </c>
    </row>
    <row r="265" spans="1:29" x14ac:dyDescent="0.25">
      <c r="A265" s="171" t="str">
        <f t="shared" si="79"/>
        <v>Kartofler</v>
      </c>
      <c r="B265" s="171" t="str">
        <f t="shared" si="80"/>
        <v/>
      </c>
      <c r="C265" s="171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0</v>
      </c>
      <c r="D265" s="171">
        <f t="shared" si="82"/>
        <v>1</v>
      </c>
      <c r="E265" s="171">
        <f t="shared" si="81"/>
        <v>2050</v>
      </c>
      <c r="F265" t="s">
        <v>24</v>
      </c>
      <c r="G265" s="94">
        <f>IF(F265="Vestdanmark",SUMIFS(IF(E265=År1,'Resultater - Vestdanmark'!H$3:H$504,IF(E265=År2,'Resultater - Vestdanmark'!I$3:I$504,'Resultater - Vestdanmark'!J$3:J$504)),'Resultater - Vestdanmark'!$F$3:$F$504,$A265,IF(E265=År1,'Resultater - Vestdanmark'!H$3:H$504,IF(E265=År2,'Resultater - Vestdanmark'!I$3:I$504,'Resultater - Vestdanmark'!J$3:J$504)),"&gt;0"),SUMIFS(IF(E265=År1,'Resultater - Østdanmark'!H$3:H$504,IF(E265=År2,'Resultater - Østdanmark'!I$3:I$504,'Resultater - Østdanmark'!J$3:J$504)),'Resultater - Østdanmark'!$F$3:$F$504,$A265,IF(E265=År1,'Resultater - Østdanmark'!H$3:H$504,IF(E265=År2,'Resultater - Østdanmark'!I$3:I$504,'Resultater - Østdanmark'!J$3:J$504)),"&gt;0"))</f>
        <v>119162.42345688539</v>
      </c>
      <c r="H265" s="94">
        <f ca="1">SUMIFS('Forbrug af biomasse'!$E$2:$E$425,'Forbrug af biomasse'!$C$2:$C$425,'Resultat-Produktion &amp; forbrug'!$A265,'Forbrug af biomasse'!$D$2:$D$425,'Resultat-Produktion &amp; forbrug'!$E265,'Forbrug af biomasse'!$A$2:$A$425,'Resultat-Produktion &amp; forbrug'!H$3,'Forbrug af biomasse'!$B$2:$B$425,$F265)</f>
        <v>0</v>
      </c>
      <c r="I265">
        <f>IF(F265="Vestdanmark",-IF(A265="Halm",SUMIFS(IF(E265=År1,'Resultater - Vestdanmark'!H$3:H$504,IF(E265=År2,'Resultater - Vestdanmark'!I$3:I$504,'Resultater - Vestdanmark'!J$3:J$504)),'Resultater - Vestdanmark'!$F$3:$F$504,$A265,'Resultater - Vestdanmark'!H$3:H$504,"&lt;0"),0),-IF(A265="Halm",SUMIFS(IF(E265=År1,'Resultater - Østdanmark'!H$3:H$504,IF(E265=År2,'Resultater - Østdanmark'!I$3:I$504,'Resultater - Østdanmark'!J$3:J$504)),'Resultater - Østdanmark'!$F$3:$F$504,$A265,'Resultater - Østdanmark'!H$3:H$504,"&lt;0"),0))</f>
        <v>0</v>
      </c>
      <c r="J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forbrug'!J$3,'Forbrug af biomasse'!$B$2:$B$425,$F265)</f>
        <v>111975.50765955324</v>
      </c>
      <c r="K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forbrug'!K$3,'Forbrug af biomasse'!$B$2:$B$425,$F265)</f>
        <v>0</v>
      </c>
      <c r="L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forbrug'!L$3,'Forbrug af biomasse'!$B$2:$B$425,$F265)</f>
        <v>0</v>
      </c>
      <c r="M265" s="94">
        <f>IF(A265&lt;&gt;"Biogas",SUMIFS('Forbrug af biomasse'!$E$2:$E$425,'Forbrug af biomasse'!$C$2:$C$425,'Resultat-Produktion &amp; forbrug'!$A265,'Forbrug af biomasse'!$D$2:$D$425,'Resultat-Produktion &amp; forbrug'!$E265,'Forbrug af biomasse'!$A$2:$A$425,'Resultat-Produktion &amp; forbrug'!M$3,'Forbrug af biomasse'!$B$2:$B$425,$F265),G265)</f>
        <v>0</v>
      </c>
      <c r="N265" s="94">
        <f>SUMIFS('Forbrug af biomasse'!E:E,'Forbrug af biomasse'!C:C,'Resultat-Produktion &amp; forbrug'!$A265,'Forbrug af biomasse'!D:D,'Resultat-Produktion &amp; forbrug'!$E265,'Forbrug af biomasse'!G:G,1,'Forbrug af biomasse'!B:B,$F265)</f>
        <v>0</v>
      </c>
      <c r="O265" s="179">
        <f t="shared" ca="1" si="69"/>
        <v>7186.9157973321417</v>
      </c>
      <c r="P265" s="94">
        <f t="shared" si="83"/>
        <v>0</v>
      </c>
      <c r="Q265" s="180">
        <f t="shared" si="70"/>
        <v>0</v>
      </c>
      <c r="R265">
        <f>IFERROR(VLOOKUP(A265,[1]Energiindhold!$A$2:$C$11,3,FALSE),IFERROR(VLOOKUP(A265,[1]Biogasudbytte!$A$2:$B$18,2,FALSE)*[1]Energiindhold!$C$10,0))*P265</f>
        <v>0</v>
      </c>
      <c r="S265">
        <f>IF(A265&lt;&gt;"Biogas",IFERROR(VLOOKUP(A265,[1]Biogasudbytte!$A$2:$B$18,2,FALSE)*[1]Energiindhold!$C$10,0)*K265*IFERROR(VLOOKUP(A265,Biogasanlæg!$F$3:$G$8,2,FALSE),1)+IFERROR(VLOOKUP(A265,[1]Energiindhold!$A$2:$C$11,3,FALSE),0)*M265+IF(E265&lt;&gt;År1,R265,0),0)</f>
        <v>0</v>
      </c>
      <c r="T265">
        <f>IFERROR(VLOOKUP(A265,[1]Biogasudbytte!$A$2:$B$18,2,FALSE)*[1]Energiindhold!$C$10,0)*K265*IFERROR(VLOOKUP(A265,Biogasanlæg!$F$3:$G$8,2,FALSE),1)</f>
        <v>0</v>
      </c>
      <c r="U265" s="170">
        <f t="shared" si="71"/>
        <v>0</v>
      </c>
      <c r="V265" s="169">
        <f>P265*IFERROR(VLOOKUP(A265,[1]Tørstofindhold!A$2:B$24,2,FALSE),0)</f>
        <v>0</v>
      </c>
      <c r="W265">
        <f>IF(E265=År1,Q265,SUM(P265,Q265))*IFERROR(VLOOKUP(A265,[1]Tørstofindhold!A$2:B$24,2,FALSE),0)</f>
        <v>0</v>
      </c>
      <c r="X265">
        <f>K265*IFERROR(VLOOKUP(A265,[1]Tørstofindhold!A$2:B$24,2,FALSE),0)</f>
        <v>0</v>
      </c>
      <c r="Y265" s="170">
        <f t="shared" si="72"/>
        <v>0</v>
      </c>
      <c r="Z265">
        <f t="shared" ca="1" si="84"/>
        <v>0</v>
      </c>
      <c r="AA265">
        <f t="shared" ca="1" si="85"/>
        <v>1</v>
      </c>
      <c r="AB265" s="94">
        <f t="shared" ca="1" si="86"/>
        <v>119162.42345688539</v>
      </c>
      <c r="AC265">
        <f ca="1">AB265*D265*10000*VLOOKUP(A265,[1]kcal!$A$2:$C$49,3,FALSE)/1000000000000</f>
        <v>9.2946690296370607E-2</v>
      </c>
    </row>
    <row r="266" spans="1:29" x14ac:dyDescent="0.25">
      <c r="A266" s="171" t="str">
        <f t="shared" si="79"/>
        <v>Korn</v>
      </c>
      <c r="B266" s="171" t="str">
        <f t="shared" si="80"/>
        <v>Halm og strå</v>
      </c>
      <c r="C266" s="171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1</v>
      </c>
      <c r="D266" s="171">
        <f t="shared" si="82"/>
        <v>1</v>
      </c>
      <c r="E266" s="171">
        <f t="shared" si="81"/>
        <v>2050</v>
      </c>
      <c r="F266" t="s">
        <v>24</v>
      </c>
      <c r="G266" s="94">
        <f>IF(F266="Vestdanmark",SUMIFS(IF(E266=År1,'Resultater - Vestdanmark'!H$3:H$504,IF(E266=År2,'Resultater - Vestdanmark'!I$3:I$504,'Resultater - Vestdanmark'!J$3:J$504)),'Resultater - Vestdanmark'!$F$3:$F$504,$A266,IF(E266=År1,'Resultater - Vestdanmark'!H$3:H$504,IF(E266=År2,'Resultater - Vestdanmark'!I$3:I$504,'Resultater - Vestdanmark'!J$3:J$504)),"&gt;0"),SUMIFS(IF(E266=År1,'Resultater - Østdanmark'!H$3:H$504,IF(E266=År2,'Resultater - Østdanmark'!I$3:I$504,'Resultater - Østdanmark'!J$3:J$504)),'Resultater - Østdanmark'!$F$3:$F$504,$A266,IF(E266=År1,'Resultater - Østdanmark'!H$3:H$504,IF(E266=År2,'Resultater - Østdanmark'!I$3:I$504,'Resultater - Østdanmark'!J$3:J$504)),"&gt;0"))</f>
        <v>2365391.4259483349</v>
      </c>
      <c r="H266" s="94">
        <f ca="1">SUMIFS('Forbrug af biomasse'!$E$2:$E$425,'Forbrug af biomasse'!$C$2:$C$425,'Resultat-Produktion &amp; forbrug'!$A266,'Forbrug af biomasse'!$D$2:$D$425,'Resultat-Produktion &amp; forbrug'!$E266,'Forbrug af biomasse'!$A$2:$A$425,'Resultat-Produktion &amp; forbrug'!H$3,'Forbrug af biomasse'!$B$2:$B$425,$F266)</f>
        <v>662441.233045817</v>
      </c>
      <c r="I266">
        <f>IF(F266="Vestdanmark",-IF(A266="Halm",SUMIFS(IF(E266=År1,'Resultater - Vestdanmark'!H$3:H$504,IF(E266=År2,'Resultater - Vestdanmark'!I$3:I$504,'Resultater - Vestdanmark'!J$3:J$504)),'Resultater - Vestdanmark'!$F$3:$F$504,$A266,'Resultater - Vestdanmark'!H$3:H$504,"&lt;0"),0),-IF(A266="Halm",SUMIFS(IF(E266=År1,'Resultater - Østdanmark'!H$3:H$504,IF(E266=År2,'Resultater - Østdanmark'!I$3:I$504,'Resultater - Østdanmark'!J$3:J$504)),'Resultater - Østdanmark'!$F$3:$F$504,$A266,'Resultater - Østdanmark'!H$3:H$504,"&lt;0"),0))</f>
        <v>0</v>
      </c>
      <c r="J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forbrug'!J$3,'Forbrug af biomasse'!$B$2:$B$425,$F266)</f>
        <v>268249.01834925939</v>
      </c>
      <c r="K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forbrug'!K$3,'Forbrug af biomasse'!$B$2:$B$425,$F266)</f>
        <v>0</v>
      </c>
      <c r="L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forbrug'!L$3,'Forbrug af biomasse'!$B$2:$B$425,$F266)</f>
        <v>0</v>
      </c>
      <c r="M266" s="94">
        <f>IF(A266&lt;&gt;"Biogas",SUMIFS('Forbrug af biomasse'!$E$2:$E$425,'Forbrug af biomasse'!$C$2:$C$425,'Resultat-Produktion &amp; forbrug'!$A266,'Forbrug af biomasse'!$D$2:$D$425,'Resultat-Produktion &amp; forbrug'!$E266,'Forbrug af biomasse'!$A$2:$A$425,'Resultat-Produktion &amp; forbrug'!M$3,'Forbrug af biomasse'!$B$2:$B$425,$F266),G266)</f>
        <v>0</v>
      </c>
      <c r="N266" s="94">
        <f>SUMIFS('Forbrug af biomasse'!E:E,'Forbrug af biomasse'!C:C,'Resultat-Produktion &amp; forbrug'!$A266,'Forbrug af biomasse'!D:D,'Resultat-Produktion &amp; forbrug'!$E266,'Forbrug af biomasse'!G:G,1,'Forbrug af biomasse'!B:B,$F266)</f>
        <v>0</v>
      </c>
      <c r="O266" s="179">
        <f t="shared" ca="1" si="69"/>
        <v>1434701.1745532583</v>
      </c>
      <c r="P266" s="94">
        <f t="shared" ca="1" si="83"/>
        <v>1434701.1745532583</v>
      </c>
      <c r="Q266" s="180">
        <f t="shared" si="70"/>
        <v>0</v>
      </c>
      <c r="R266">
        <f ca="1">IFERROR(VLOOKUP(A266,[1]Energiindhold!$A$2:$C$11,3,FALSE),IFERROR(VLOOKUP(A266,[1]Biogasudbytte!$A$2:$B$18,2,FALSE)*[1]Energiindhold!$C$10,0))*P266</f>
        <v>4.913650664680473</v>
      </c>
      <c r="S266">
        <f ca="1">IF(A266&lt;&gt;"Biogas",IFERROR(VLOOKUP(A266,[1]Biogasudbytte!$A$2:$B$18,2,FALSE)*[1]Energiindhold!$C$10,0)*K266*IFERROR(VLOOKUP(A266,Biogasanlæg!$F$3:$G$8,2,FALSE),1)+IFERROR(VLOOKUP(A266,[1]Energiindhold!$A$2:$C$11,3,FALSE),0)*M266+IF(E266&lt;&gt;År1,R266,0),0)</f>
        <v>4.913650664680473</v>
      </c>
      <c r="T266">
        <f>IFERROR(VLOOKUP(A266,[1]Biogasudbytte!$A$2:$B$18,2,FALSE)*[1]Energiindhold!$C$10,0)*K266*IFERROR(VLOOKUP(A266,Biogasanlæg!$F$3:$G$8,2,FALSE),1)</f>
        <v>0</v>
      </c>
      <c r="U266" s="170">
        <f t="shared" ca="1" si="71"/>
        <v>4.913650664680473</v>
      </c>
      <c r="V266" s="169">
        <f ca="1">P266*IFERROR(VLOOKUP(A266,[1]Tørstofindhold!A$2:B$24,2,FALSE),0)</f>
        <v>444757.36411151011</v>
      </c>
      <c r="W266">
        <f ca="1">IF(E266=År1,Q266,SUM(P266,Q266))*IFERROR(VLOOKUP(A266,[1]Tørstofindhold!A$2:B$24,2,FALSE),0)</f>
        <v>444757.36411151011</v>
      </c>
      <c r="X266">
        <f>K266*IFERROR(VLOOKUP(A266,[1]Tørstofindhold!A$2:B$24,2,FALSE),0)</f>
        <v>0</v>
      </c>
      <c r="Y266" s="170">
        <f t="shared" ca="1" si="72"/>
        <v>444757.36411151011</v>
      </c>
      <c r="Z266">
        <f t="shared" ca="1" si="84"/>
        <v>0</v>
      </c>
      <c r="AA266">
        <f t="shared" ca="1" si="85"/>
        <v>1</v>
      </c>
      <c r="AB266" s="94">
        <f t="shared" ca="1" si="86"/>
        <v>1702950.192902518</v>
      </c>
      <c r="AC266">
        <f ca="1">AB266*D266*10000*VLOOKUP(A266,[1]kcal!$A$2:$C$49,3,FALSE)/1000000000000</f>
        <v>6.2327977060232156</v>
      </c>
    </row>
    <row r="267" spans="1:29" x14ac:dyDescent="0.25">
      <c r="A267" s="171" t="str">
        <f t="shared" si="79"/>
        <v>Kunstgødning</v>
      </c>
      <c r="B267" s="171" t="str">
        <f t="shared" si="80"/>
        <v/>
      </c>
      <c r="C267" s="171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0</v>
      </c>
      <c r="D267" s="171">
        <f t="shared" si="82"/>
        <v>0</v>
      </c>
      <c r="E267" s="171">
        <f t="shared" si="81"/>
        <v>2050</v>
      </c>
      <c r="F267" t="s">
        <v>24</v>
      </c>
      <c r="G267" s="94">
        <f>IF(F267="Vestdanmark",SUMIFS(IF(E267=År1,'Resultater - Vestdanmark'!H$3:H$504,IF(E267=År2,'Resultater - Vestdanmark'!I$3:I$504,'Resultater - Vestdanmark'!J$3:J$504)),'Resultater - Vestdanmark'!$F$3:$F$504,$A267,IF(E267=År1,'Resultater - Vestdanmark'!H$3:H$504,IF(E267=År2,'Resultater - Vestdanmark'!I$3:I$504,'Resultater - Vestdanmark'!J$3:J$504)),"&gt;0"),SUMIFS(IF(E267=År1,'Resultater - Østdanmark'!H$3:H$504,IF(E267=År2,'Resultater - Østdanmark'!I$3:I$504,'Resultater - Østdanmark'!J$3:J$504)),'Resultater - Østdanmark'!$F$3:$F$504,$A267,IF(E267=År1,'Resultater - Østdanmark'!H$3:H$504,IF(E267=År2,'Resultater - Østdanmark'!I$3:I$504,'Resultater - Østdanmark'!J$3:J$504)),"&gt;0"))</f>
        <v>0</v>
      </c>
      <c r="H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forbrug'!H$3,'Forbrug af biomasse'!$B$2:$B$425,$F267)</f>
        <v>0</v>
      </c>
      <c r="I267">
        <f>IF(F267="Vestdanmark",-IF(A267="Halm",SUMIFS(IF(E267=År1,'Resultater - Vestdanmark'!H$3:H$504,IF(E267=År2,'Resultater - Vestdanmark'!I$3:I$504,'Resultater - Vestdanmark'!J$3:J$504)),'Resultater - Vestdanmark'!$F$3:$F$504,$A267,'Resultater - Vestdanmark'!H$3:H$504,"&lt;0"),0),-IF(A267="Halm",SUMIFS(IF(E267=År1,'Resultater - Østdanmark'!H$3:H$504,IF(E267=År2,'Resultater - Østdanmark'!I$3:I$504,'Resultater - Østdanmark'!J$3:J$504)),'Resultater - Østdanmark'!$F$3:$F$504,$A267,'Resultater - Østdanmark'!H$3:H$504,"&lt;0"),0))</f>
        <v>0</v>
      </c>
      <c r="J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forbrug'!J$3,'Forbrug af biomasse'!$B$2:$B$425,$F267)</f>
        <v>0</v>
      </c>
      <c r="K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forbrug'!K$3,'Forbrug af biomasse'!$B$2:$B$425,$F267)</f>
        <v>0</v>
      </c>
      <c r="L267" s="94">
        <f ca="1">SUMIFS('Forbrug af biomasse'!$E$2:$E$425,'Forbrug af biomasse'!$C$2:$C$425,'Resultat-Produktion &amp; forbrug'!$A267,'Forbrug af biomasse'!$D$2:$D$425,'Resultat-Produktion &amp; forbrug'!$E267,'Forbrug af biomasse'!$A$2:$A$425,'Resultat-Produktion &amp; forbrug'!L$3,'Forbrug af biomasse'!$B$2:$B$425,$F267)</f>
        <v>288937.99053379206</v>
      </c>
      <c r="M267" s="94">
        <f>IF(A267&lt;&gt;"Biogas",SUMIFS('Forbrug af biomasse'!$E$2:$E$425,'Forbrug af biomasse'!$C$2:$C$425,'Resultat-Produktion &amp; forbrug'!$A267,'Forbrug af biomasse'!$D$2:$D$425,'Resultat-Produktion &amp; forbrug'!$E267,'Forbrug af biomasse'!$A$2:$A$425,'Resultat-Produktion &amp; forbrug'!M$3,'Forbrug af biomasse'!$B$2:$B$425,$F267),G267)</f>
        <v>0</v>
      </c>
      <c r="N267" s="94">
        <f>SUMIFS('Forbrug af biomasse'!E:E,'Forbrug af biomasse'!C:C,'Resultat-Produktion &amp; forbrug'!$A267,'Forbrug af biomasse'!D:D,'Resultat-Produktion &amp; forbrug'!$E267,'Forbrug af biomasse'!G:G,1,'Forbrug af biomasse'!B:B,$F267)</f>
        <v>0</v>
      </c>
      <c r="O267" s="179">
        <f t="shared" ca="1" si="69"/>
        <v>-288937.99053379206</v>
      </c>
      <c r="P267" s="94">
        <f t="shared" si="83"/>
        <v>0</v>
      </c>
      <c r="Q267" s="180">
        <f t="shared" si="70"/>
        <v>0</v>
      </c>
      <c r="R267">
        <f>IFERROR(VLOOKUP(A267,[1]Energiindhold!$A$2:$C$11,3,FALSE),IFERROR(VLOOKUP(A267,[1]Biogasudbytte!$A$2:$B$18,2,FALSE)*[1]Energiindhold!$C$10,0))*P267</f>
        <v>0</v>
      </c>
      <c r="S267">
        <f>IF(A267&lt;&gt;"Biogas",IFERROR(VLOOKUP(A267,[1]Biogasudbytte!$A$2:$B$18,2,FALSE)*[1]Energiindhold!$C$10,0)*K267*IFERROR(VLOOKUP(A267,Biogasanlæg!$F$3:$G$8,2,FALSE),1)+IFERROR(VLOOKUP(A267,[1]Energiindhold!$A$2:$C$11,3,FALSE),0)*M267+IF(E267&lt;&gt;År1,R267,0),0)</f>
        <v>0</v>
      </c>
      <c r="T267">
        <f>IFERROR(VLOOKUP(A267,[1]Biogasudbytte!$A$2:$B$18,2,FALSE)*[1]Energiindhold!$C$10,0)*K267*IFERROR(VLOOKUP(A267,Biogasanlæg!$F$3:$G$8,2,FALSE),1)</f>
        <v>0</v>
      </c>
      <c r="U267" s="170">
        <f t="shared" si="71"/>
        <v>0</v>
      </c>
      <c r="V267" s="169">
        <f>P267*IFERROR(VLOOKUP(A267,[1]Tørstofindhold!A$2:B$24,2,FALSE),0)</f>
        <v>0</v>
      </c>
      <c r="W267">
        <f>IF(E267=År1,Q267,SUM(P267,Q267))*IFERROR(VLOOKUP(A267,[1]Tørstofindhold!A$2:B$24,2,FALSE),0)</f>
        <v>0</v>
      </c>
      <c r="X267">
        <f>K267*IFERROR(VLOOKUP(A267,[1]Tørstofindhold!A$2:B$24,2,FALSE),0)</f>
        <v>0</v>
      </c>
      <c r="Y267" s="170">
        <f t="shared" si="72"/>
        <v>0</v>
      </c>
      <c r="Z267">
        <f t="shared" ca="1" si="84"/>
        <v>1</v>
      </c>
      <c r="AA267">
        <f t="shared" ca="1" si="85"/>
        <v>0</v>
      </c>
      <c r="AB267" s="94">
        <f t="shared" ca="1" si="86"/>
        <v>-288937.99053379206</v>
      </c>
      <c r="AC267">
        <f ca="1">AB267*D267*10000*VLOOKUP(A267,[1]kcal!$A$2:$C$49,3,FALSE)/1000000000000</f>
        <v>0</v>
      </c>
    </row>
    <row r="268" spans="1:29" x14ac:dyDescent="0.25">
      <c r="A268" s="171" t="str">
        <f t="shared" si="79"/>
        <v>Kvæggylle</v>
      </c>
      <c r="B268" s="171" t="str">
        <f t="shared" si="80"/>
        <v>Husdyrgødning</v>
      </c>
      <c r="C268" s="171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1</v>
      </c>
      <c r="D268" s="171">
        <f t="shared" si="82"/>
        <v>0</v>
      </c>
      <c r="E268" s="171">
        <f t="shared" si="81"/>
        <v>2050</v>
      </c>
      <c r="F268" t="s">
        <v>24</v>
      </c>
      <c r="G268" s="94">
        <f ca="1">IF(F268="Vestdanmark",SUMIFS(IF(E268=År1,'Resultater - Vestdanmark'!H$3:H$504,IF(E268=År2,'Resultater - Vestdanmark'!I$3:I$504,'Resultater - Vestdanmark'!J$3:J$504)),'Resultater - Vestdanmark'!$F$3:$F$504,$A268,IF(E268=År1,'Resultater - Vestdanmark'!H$3:H$504,IF(E268=År2,'Resultater - Vestdanmark'!I$3:I$504,'Resultater - Vestdanmark'!J$3:J$504)),"&gt;0"),SUMIFS(IF(E268=År1,'Resultater - Østdanmark'!H$3:H$504,IF(E268=År2,'Resultater - Østdanmark'!I$3:I$504,'Resultater - Østdanmark'!J$3:J$504)),'Resultater - Østdanmark'!$F$3:$F$504,$A268,IF(E268=År1,'Resultater - Østdanmark'!H$3:H$504,IF(E268=År2,'Resultater - Østdanmark'!I$3:I$504,'Resultater - Østdanmark'!J$3:J$504)),"&gt;0"))</f>
        <v>905156.40673249087</v>
      </c>
      <c r="H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forbrug'!H$3,'Forbrug af biomasse'!$B$2:$B$425,$F268)</f>
        <v>0</v>
      </c>
      <c r="I268">
        <f>IF(F268="Vestdanmark",-IF(A268="Halm",SUMIFS(IF(E268=År1,'Resultater - Vestdanmark'!H$3:H$504,IF(E268=År2,'Resultater - Vestdanmark'!I$3:I$504,'Resultater - Vestdanmark'!J$3:J$504)),'Resultater - Vestdanmark'!$F$3:$F$504,$A268,'Resultater - Vestdanmark'!H$3:H$504,"&lt;0"),0),-IF(A268="Halm",SUMIFS(IF(E268=År1,'Resultater - Østdanmark'!H$3:H$504,IF(E268=År2,'Resultater - Østdanmark'!I$3:I$504,'Resultater - Østdanmark'!J$3:J$504)),'Resultater - Østdanmark'!$F$3:$F$504,$A268,'Resultater - Østdanmark'!H$3:H$504,"&lt;0"),0))</f>
        <v>0</v>
      </c>
      <c r="J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forbrug'!J$3,'Forbrug af biomasse'!$B$2:$B$425,$F268)</f>
        <v>0</v>
      </c>
      <c r="K268" s="94">
        <f ca="1">SUMIFS('Forbrug af biomasse'!$E$2:$E$425,'Forbrug af biomasse'!$C$2:$C$425,'Resultat-Produktion &amp; forbrug'!$A268,'Forbrug af biomasse'!$D$2:$D$425,'Resultat-Produktion &amp; forbrug'!$E268,'Forbrug af biomasse'!$A$2:$A$425,'Resultat-Produktion &amp; forbrug'!K$3,'Forbrug af biomasse'!$B$2:$B$425,$F268)</f>
        <v>814640.76605924184</v>
      </c>
      <c r="L268" s="94">
        <f ca="1">SUMIFS('Forbrug af biomasse'!$E$2:$E$425,'Forbrug af biomasse'!$C$2:$C$425,'Resultat-Produktion &amp; forbrug'!$A268,'Forbrug af biomasse'!$D$2:$D$425,'Resultat-Produktion &amp; forbrug'!$E268,'Forbrug af biomasse'!$A$2:$A$425,'Resultat-Produktion &amp; forbrug'!L$3,'Forbrug af biomasse'!$B$2:$B$425,$F268)</f>
        <v>90515.640673249072</v>
      </c>
      <c r="M268" s="94">
        <f>IF(A268&lt;&gt;"Biogas",SUMIFS('Forbrug af biomasse'!$E$2:$E$425,'Forbrug af biomasse'!$C$2:$C$425,'Resultat-Produktion &amp; forbrug'!$A268,'Forbrug af biomasse'!$D$2:$D$425,'Resultat-Produktion &amp; forbrug'!$E268,'Forbrug af biomasse'!$A$2:$A$425,'Resultat-Produktion &amp; forbrug'!M$3,'Forbrug af biomasse'!$B$2:$B$425,$F268),G268)</f>
        <v>0</v>
      </c>
      <c r="N268" s="94">
        <f>SUMIFS('Forbrug af biomasse'!E:E,'Forbrug af biomasse'!C:C,'Resultat-Produktion &amp; forbrug'!$A268,'Forbrug af biomasse'!D:D,'Resultat-Produktion &amp; forbrug'!$E268,'Forbrug af biomasse'!G:G,1,'Forbrug af biomasse'!B:B,$F268)</f>
        <v>0</v>
      </c>
      <c r="O268" s="179">
        <f t="shared" ca="1" si="69"/>
        <v>0</v>
      </c>
      <c r="P268" s="94">
        <f t="shared" ca="1" si="83"/>
        <v>0</v>
      </c>
      <c r="Q268" s="180">
        <f t="shared" ca="1" si="70"/>
        <v>814640.76605924184</v>
      </c>
      <c r="R268">
        <f ca="1">IFERROR(VLOOKUP(A268,[1]Energiindhold!$A$2:$C$11,3,FALSE),IFERROR(VLOOKUP(A268,[1]Biogasudbytte!$A$2:$B$18,2,FALSE)*[1]Energiindhold!$C$10,0))*P268</f>
        <v>0</v>
      </c>
      <c r="S268">
        <f ca="1">IF(A268&lt;&gt;"Biogas",IFERROR(VLOOKUP(A268,[1]Biogasudbytte!$A$2:$B$18,2,FALSE)*[1]Energiindhold!$C$10,0)*K268*IFERROR(VLOOKUP(A268,Biogasanlæg!$F$3:$G$8,2,FALSE),1)+IFERROR(VLOOKUP(A268,[1]Energiindhold!$A$2:$C$11,3,FALSE),0)*M268+IF(E268&lt;&gt;År1,R268,0),0)</f>
        <v>0.4123630093715277</v>
      </c>
      <c r="T268">
        <f ca="1">IFERROR(VLOOKUP(A268,[1]Biogasudbytte!$A$2:$B$18,2,FALSE)*[1]Energiindhold!$C$10,0)*K268*IFERROR(VLOOKUP(A268,Biogasanlæg!$F$3:$G$8,2,FALSE),1)</f>
        <v>0.4123630093715277</v>
      </c>
      <c r="U268" s="170">
        <f t="shared" ca="1" si="71"/>
        <v>0</v>
      </c>
      <c r="V268" s="169">
        <f ca="1">P268*IFERROR(VLOOKUP(A268,[1]Tørstofindhold!A$2:B$24,2,FALSE),0)</f>
        <v>0</v>
      </c>
      <c r="W268">
        <f ca="1">IF(E268=År1,Q268,SUM(P268,Q268))*IFERROR(VLOOKUP(A268,[1]Tørstofindhold!A$2:B$24,2,FALSE),0)</f>
        <v>61912.698220502381</v>
      </c>
      <c r="X268">
        <f ca="1">K268*IFERROR(VLOOKUP(A268,[1]Tørstofindhold!A$2:B$24,2,FALSE),0)</f>
        <v>61912.698220502381</v>
      </c>
      <c r="Y268" s="170">
        <f t="shared" ca="1" si="72"/>
        <v>0</v>
      </c>
      <c r="Z268">
        <f t="shared" ca="1" si="84"/>
        <v>0</v>
      </c>
      <c r="AA268">
        <f t="shared" ca="1" si="85"/>
        <v>0</v>
      </c>
      <c r="AB268" s="94">
        <f t="shared" ca="1" si="86"/>
        <v>0</v>
      </c>
      <c r="AC268">
        <f ca="1">AB268*D268*10000*VLOOKUP(A268,[1]kcal!$A$2:$C$49,3,FALSE)/1000000000000</f>
        <v>0</v>
      </c>
    </row>
    <row r="269" spans="1:29" x14ac:dyDescent="0.25">
      <c r="A269" s="171" t="str">
        <f t="shared" si="79"/>
        <v>Mælk til foder</v>
      </c>
      <c r="B269" s="171" t="str">
        <f t="shared" si="80"/>
        <v/>
      </c>
      <c r="C269" s="171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0</v>
      </c>
      <c r="D269" s="171">
        <f t="shared" si="82"/>
        <v>0</v>
      </c>
      <c r="E269" s="171">
        <f t="shared" si="81"/>
        <v>2050</v>
      </c>
      <c r="F269" t="s">
        <v>24</v>
      </c>
      <c r="G269" s="94">
        <f ca="1">IF(F269="Vestdanmark",SUMIFS(IF(E269=År1,'Resultater - Vestdanmark'!H$3:H$504,IF(E269=År2,'Resultater - Vestdanmark'!I$3:I$504,'Resultater - Vestdanmark'!J$3:J$504)),'Resultater - Vestdanmark'!$F$3:$F$504,$A269,IF(E269=År1,'Resultater - Vestdanmark'!H$3:H$504,IF(E269=År2,'Resultater - Vestdanmark'!I$3:I$504,'Resultater - Vestdanmark'!J$3:J$504)),"&gt;0"),SUMIFS(IF(E269=År1,'Resultater - Østdanmark'!H$3:H$504,IF(E269=År2,'Resultater - Østdanmark'!I$3:I$504,'Resultater - Østdanmark'!J$3:J$504)),'Resultater - Østdanmark'!$F$3:$F$504,$A269,IF(E269=År1,'Resultater - Østdanmark'!H$3:H$504,IF(E269=År2,'Resultater - Østdanmark'!I$3:I$504,'Resultater - Østdanmark'!J$3:J$504)),"&gt;0"))</f>
        <v>113070.46736338305</v>
      </c>
      <c r="H269" s="94">
        <f ca="1">SUMIFS('Forbrug af biomasse'!$E$2:$E$425,'Forbrug af biomasse'!$C$2:$C$425,'Resultat-Produktion &amp; forbrug'!$A269,'Forbrug af biomasse'!$D$2:$D$425,'Resultat-Produktion &amp; forbrug'!$E269,'Forbrug af biomasse'!$A$2:$A$425,'Resultat-Produktion &amp; forbrug'!H$3,'Forbrug af biomasse'!$B$2:$B$425,$F269)</f>
        <v>170783.26471332053</v>
      </c>
      <c r="I269">
        <f>IF(F269="Vestdanmark",-IF(A269="Halm",SUMIFS(IF(E269=År1,'Resultater - Vestdanmark'!H$3:H$504,IF(E269=År2,'Resultater - Vestdanmark'!I$3:I$504,'Resultater - Vestdanmark'!J$3:J$504)),'Resultater - Vestdanmark'!$F$3:$F$504,$A269,'Resultater - Vestdanmark'!H$3:H$504,"&lt;0"),0),-IF(A269="Halm",SUMIFS(IF(E269=År1,'Resultater - Østdanmark'!H$3:H$504,IF(E269=År2,'Resultater - Østdanmark'!I$3:I$504,'Resultater - Østdanmark'!J$3:J$504)),'Resultater - Østdanmark'!$F$3:$F$504,$A269,'Resultater - Østdanmark'!H$3:H$504,"&lt;0"),0))</f>
        <v>0</v>
      </c>
      <c r="J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forbrug'!J$3,'Forbrug af biomasse'!$B$2:$B$425,$F269)</f>
        <v>0</v>
      </c>
      <c r="K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forbrug'!K$3,'Forbrug af biomasse'!$B$2:$B$425,$F269)</f>
        <v>0</v>
      </c>
      <c r="L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forbrug'!L$3,'Forbrug af biomasse'!$B$2:$B$425,$F269)</f>
        <v>0</v>
      </c>
      <c r="M269" s="94">
        <f>IF(A269&lt;&gt;"Biogas",SUMIFS('Forbrug af biomasse'!$E$2:$E$425,'Forbrug af biomasse'!$C$2:$C$425,'Resultat-Produktion &amp; forbrug'!$A269,'Forbrug af biomasse'!$D$2:$D$425,'Resultat-Produktion &amp; forbrug'!$E269,'Forbrug af biomasse'!$A$2:$A$425,'Resultat-Produktion &amp; forbrug'!M$3,'Forbrug af biomasse'!$B$2:$B$425,$F269),G269)</f>
        <v>0</v>
      </c>
      <c r="N269" s="94">
        <f>SUMIFS('Forbrug af biomasse'!E:E,'Forbrug af biomasse'!C:C,'Resultat-Produktion &amp; forbrug'!$A269,'Forbrug af biomasse'!D:D,'Resultat-Produktion &amp; forbrug'!$E269,'Forbrug af biomasse'!G:G,1,'Forbrug af biomasse'!B:B,$F269)</f>
        <v>0</v>
      </c>
      <c r="O269" s="179">
        <f t="shared" ca="1" si="69"/>
        <v>-57712.797349937478</v>
      </c>
      <c r="P269" s="94">
        <f t="shared" si="83"/>
        <v>0</v>
      </c>
      <c r="Q269" s="180">
        <f t="shared" si="70"/>
        <v>0</v>
      </c>
      <c r="R269">
        <f>IFERROR(VLOOKUP(A269,[1]Energiindhold!$A$2:$C$11,3,FALSE),IFERROR(VLOOKUP(A269,[1]Biogasudbytte!$A$2:$B$18,2,FALSE)*[1]Energiindhold!$C$10,0))*P269</f>
        <v>0</v>
      </c>
      <c r="S269">
        <f>IF(A269&lt;&gt;"Biogas",IFERROR(VLOOKUP(A269,[1]Biogasudbytte!$A$2:$B$18,2,FALSE)*[1]Energiindhold!$C$10,0)*K269*IFERROR(VLOOKUP(A269,Biogasanlæg!$F$3:$G$8,2,FALSE),1)+IFERROR(VLOOKUP(A269,[1]Energiindhold!$A$2:$C$11,3,FALSE),0)*M269+IF(E269&lt;&gt;År1,R269,0),0)</f>
        <v>0</v>
      </c>
      <c r="T269">
        <f>IFERROR(VLOOKUP(A269,[1]Biogasudbytte!$A$2:$B$18,2,FALSE)*[1]Energiindhold!$C$10,0)*K269*IFERROR(VLOOKUP(A269,Biogasanlæg!$F$3:$G$8,2,FALSE),1)</f>
        <v>0</v>
      </c>
      <c r="U269" s="170">
        <f t="shared" si="71"/>
        <v>0</v>
      </c>
      <c r="V269" s="169">
        <f>P269*IFERROR(VLOOKUP(A269,[1]Tørstofindhold!A$2:B$24,2,FALSE),0)</f>
        <v>0</v>
      </c>
      <c r="W269">
        <f>IF(E269=År1,Q269,SUM(P269,Q269))*IFERROR(VLOOKUP(A269,[1]Tørstofindhold!A$2:B$24,2,FALSE),0)</f>
        <v>0</v>
      </c>
      <c r="X269">
        <f>K269*IFERROR(VLOOKUP(A269,[1]Tørstofindhold!A$2:B$24,2,FALSE),0)</f>
        <v>0</v>
      </c>
      <c r="Y269" s="170">
        <f t="shared" si="72"/>
        <v>0</v>
      </c>
      <c r="Z269">
        <f t="shared" ca="1" si="84"/>
        <v>0</v>
      </c>
      <c r="AA269">
        <f t="shared" ca="1" si="85"/>
        <v>1</v>
      </c>
      <c r="AB269" s="94">
        <f t="shared" ca="1" si="86"/>
        <v>-57712.797349937478</v>
      </c>
      <c r="AC269">
        <f ca="1">AB269*D269*10000*VLOOKUP(A269,[1]kcal!$A$2:$C$49,3,FALSE)/1000000000000</f>
        <v>0</v>
      </c>
    </row>
    <row r="270" spans="1:29" x14ac:dyDescent="0.25">
      <c r="A270" s="171" t="str">
        <f t="shared" si="79"/>
        <v>Majs</v>
      </c>
      <c r="B270" s="171" t="str">
        <f t="shared" si="80"/>
        <v>Græs og urter</v>
      </c>
      <c r="C270" s="171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1</v>
      </c>
      <c r="D270" s="171">
        <f t="shared" si="82"/>
        <v>1</v>
      </c>
      <c r="E270" s="171">
        <f t="shared" si="81"/>
        <v>2050</v>
      </c>
      <c r="F270" t="s">
        <v>24</v>
      </c>
      <c r="G270" s="94">
        <f>IF(F270="Vestdanmark",SUMIFS(IF(E270=År1,'Resultater - Vestdanmark'!H$3:H$504,IF(E270=År2,'Resultater - Vestdanmark'!I$3:I$504,'Resultater - Vestdanmark'!J$3:J$504)),'Resultater - Vestdanmark'!$F$3:$F$504,$A270,IF(E270=År1,'Resultater - Vestdanmark'!H$3:H$504,IF(E270=År2,'Resultater - Vestdanmark'!I$3:I$504,'Resultater - Vestdanmark'!J$3:J$504)),"&gt;0"),SUMIFS(IF(E270=År1,'Resultater - Østdanmark'!H$3:H$504,IF(E270=År2,'Resultater - Østdanmark'!I$3:I$504,'Resultater - Østdanmark'!J$3:J$504)),'Resultater - Østdanmark'!$F$3:$F$504,$A270,IF(E270=År1,'Resultater - Østdanmark'!H$3:H$504,IF(E270=År2,'Resultater - Østdanmark'!I$3:I$504,'Resultater - Østdanmark'!J$3:J$504)),"&gt;0"))</f>
        <v>385351.77925728471</v>
      </c>
      <c r="H270" s="94">
        <f ca="1">SUMIFS('Forbrug af biomasse'!$E$2:$E$425,'Forbrug af biomasse'!$C$2:$C$425,'Resultat-Produktion &amp; forbrug'!$A270,'Forbrug af biomasse'!$D$2:$D$425,'Resultat-Produktion &amp; forbrug'!$E270,'Forbrug af biomasse'!$A$2:$A$425,'Resultat-Produktion &amp; forbrug'!H$3,'Forbrug af biomasse'!$B$2:$B$425,$F270)</f>
        <v>637409.17060556682</v>
      </c>
      <c r="I270">
        <f>IF(F270="Vestdanmark",-IF(A270="Halm",SUMIFS(IF(E270=År1,'Resultater - Vestdanmark'!H$3:H$504,IF(E270=År2,'Resultater - Vestdanmark'!I$3:I$504,'Resultater - Vestdanmark'!J$3:J$504)),'Resultater - Vestdanmark'!$F$3:$F$504,$A270,'Resultater - Vestdanmark'!H$3:H$504,"&lt;0"),0),-IF(A270="Halm",SUMIFS(IF(E270=År1,'Resultater - Østdanmark'!H$3:H$504,IF(E270=År2,'Resultater - Østdanmark'!I$3:I$504,'Resultater - Østdanmark'!J$3:J$504)),'Resultater - Østdanmark'!$F$3:$F$504,$A270,'Resultater - Østdanmark'!H$3:H$504,"&lt;0"),0))</f>
        <v>0</v>
      </c>
      <c r="J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forbrug'!J$3,'Forbrug af biomasse'!$B$2:$B$425,$F270)</f>
        <v>0</v>
      </c>
      <c r="K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forbrug'!K$3,'Forbrug af biomasse'!$B$2:$B$425,$F270)</f>
        <v>0</v>
      </c>
      <c r="L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forbrug'!L$3,'Forbrug af biomasse'!$B$2:$B$425,$F270)</f>
        <v>0</v>
      </c>
      <c r="M270" s="94">
        <f>IF(A270&lt;&gt;"Biogas",SUMIFS('Forbrug af biomasse'!$E$2:$E$425,'Forbrug af biomasse'!$C$2:$C$425,'Resultat-Produktion &amp; forbrug'!$A270,'Forbrug af biomasse'!$D$2:$D$425,'Resultat-Produktion &amp; forbrug'!$E270,'Forbrug af biomasse'!$A$2:$A$425,'Resultat-Produktion &amp; forbrug'!M$3,'Forbrug af biomasse'!$B$2:$B$425,$F270),G270)</f>
        <v>0</v>
      </c>
      <c r="N270" s="94">
        <f>SUMIFS('Forbrug af biomasse'!E:E,'Forbrug af biomasse'!C:C,'Resultat-Produktion &amp; forbrug'!$A270,'Forbrug af biomasse'!D:D,'Resultat-Produktion &amp; forbrug'!$E270,'Forbrug af biomasse'!G:G,1,'Forbrug af biomasse'!B:B,$F270)</f>
        <v>0</v>
      </c>
      <c r="O270" s="179">
        <f t="shared" ca="1" si="69"/>
        <v>-252057.39134828211</v>
      </c>
      <c r="P270" s="94">
        <f t="shared" ca="1" si="83"/>
        <v>0</v>
      </c>
      <c r="Q270" s="180">
        <f t="shared" si="70"/>
        <v>0</v>
      </c>
      <c r="R270">
        <f ca="1">IFERROR(VLOOKUP(A270,[1]Energiindhold!$A$2:$C$11,3,FALSE),IFERROR(VLOOKUP(A270,[1]Biogasudbytte!$A$2:$B$18,2,FALSE)*[1]Energiindhold!$C$10,0))*P270</f>
        <v>0</v>
      </c>
      <c r="S270">
        <f ca="1">IF(A270&lt;&gt;"Biogas",IFERROR(VLOOKUP(A270,[1]Biogasudbytte!$A$2:$B$18,2,FALSE)*[1]Energiindhold!$C$10,0)*K270*IFERROR(VLOOKUP(A270,Biogasanlæg!$F$3:$G$8,2,FALSE),1)+IFERROR(VLOOKUP(A270,[1]Energiindhold!$A$2:$C$11,3,FALSE),0)*M270+IF(E270&lt;&gt;År1,R270,0),0)</f>
        <v>0</v>
      </c>
      <c r="T270">
        <f>IFERROR(VLOOKUP(A270,[1]Biogasudbytte!$A$2:$B$18,2,FALSE)*[1]Energiindhold!$C$10,0)*K270*IFERROR(VLOOKUP(A270,Biogasanlæg!$F$3:$G$8,2,FALSE),1)</f>
        <v>0</v>
      </c>
      <c r="U270" s="170">
        <f t="shared" ca="1" si="71"/>
        <v>0</v>
      </c>
      <c r="V270" s="169">
        <f ca="1">P270*IFERROR(VLOOKUP(A270,[1]Tørstofindhold!A$2:B$24,2,FALSE),0)</f>
        <v>0</v>
      </c>
      <c r="W270">
        <f ca="1">IF(E270=År1,Q270,SUM(P270,Q270))*IFERROR(VLOOKUP(A270,[1]Tørstofindhold!A$2:B$24,2,FALSE),0)</f>
        <v>0</v>
      </c>
      <c r="X270">
        <f>K270*IFERROR(VLOOKUP(A270,[1]Tørstofindhold!A$2:B$24,2,FALSE),0)</f>
        <v>0</v>
      </c>
      <c r="Y270" s="170">
        <f t="shared" ca="1" si="72"/>
        <v>0</v>
      </c>
      <c r="Z270">
        <f t="shared" ca="1" si="84"/>
        <v>0</v>
      </c>
      <c r="AA270">
        <f t="shared" ca="1" si="85"/>
        <v>1</v>
      </c>
      <c r="AB270" s="94">
        <f t="shared" ca="1" si="86"/>
        <v>-252057.39134828211</v>
      </c>
      <c r="AC270">
        <f ca="1">AB270*D270*10000*VLOOKUP(A270,[1]kcal!$A$2:$C$49,3,FALSE)/1000000000000</f>
        <v>-0.2293722261269367</v>
      </c>
    </row>
    <row r="271" spans="1:29" x14ac:dyDescent="0.25">
      <c r="A271" s="171" t="str">
        <f t="shared" si="79"/>
        <v>Mejeriprodukter</v>
      </c>
      <c r="B271" s="171" t="str">
        <f t="shared" si="80"/>
        <v/>
      </c>
      <c r="C271" s="171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0</v>
      </c>
      <c r="D271" s="171">
        <f t="shared" si="82"/>
        <v>1</v>
      </c>
      <c r="E271" s="171">
        <f t="shared" si="81"/>
        <v>2050</v>
      </c>
      <c r="F271" t="s">
        <v>24</v>
      </c>
      <c r="G271" s="94">
        <f ca="1">IF(F271="Vestdanmark",SUMIFS(IF(E271=År1,'Resultater - Vestdanmark'!H$3:H$504,IF(E271=År2,'Resultater - Vestdanmark'!I$3:I$504,'Resultater - Vestdanmark'!J$3:J$504)),'Resultater - Vestdanmark'!$F$3:$F$504,$A271,IF(E271=År1,'Resultater - Vestdanmark'!H$3:H$504,IF(E271=År2,'Resultater - Vestdanmark'!I$3:I$504,'Resultater - Vestdanmark'!J$3:J$504)),"&gt;0"),SUMIFS(IF(E271=År1,'Resultater - Østdanmark'!H$3:H$504,IF(E271=År2,'Resultater - Østdanmark'!I$3:I$504,'Resultater - Østdanmark'!J$3:J$504)),'Resultater - Østdanmark'!$F$3:$F$504,$A271,IF(E271=År1,'Resultater - Østdanmark'!H$3:H$504,IF(E271=År2,'Resultater - Østdanmark'!I$3:I$504,'Resultater - Østdanmark'!J$3:J$504)),"&gt;0"))</f>
        <v>218167.31964379738</v>
      </c>
      <c r="H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forbrug'!H$3,'Forbrug af biomasse'!$B$2:$B$425,$F271)</f>
        <v>0</v>
      </c>
      <c r="I271">
        <f>IF(F271="Vestdanmark",-IF(A271="Halm",SUMIFS(IF(E271=År1,'Resultater - Vestdanmark'!H$3:H$504,IF(E271=År2,'Resultater - Vestdanmark'!I$3:I$504,'Resultater - Vestdanmark'!J$3:J$504)),'Resultater - Vestdanmark'!$F$3:$F$504,$A271,'Resultater - Vestdanmark'!H$3:H$504,"&lt;0"),0),-IF(A271="Halm",SUMIFS(IF(E271=År1,'Resultater - Østdanmark'!H$3:H$504,IF(E271=År2,'Resultater - Østdanmark'!I$3:I$504,'Resultater - Østdanmark'!J$3:J$504)),'Resultater - Østdanmark'!$F$3:$F$504,$A271,'Resultater - Østdanmark'!H$3:H$504,"&lt;0"),0))</f>
        <v>0</v>
      </c>
      <c r="J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forbrug'!J$3,'Forbrug af biomasse'!$B$2:$B$425,$F271)</f>
        <v>428214.02929147833</v>
      </c>
      <c r="K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forbrug'!K$3,'Forbrug af biomasse'!$B$2:$B$425,$F271)</f>
        <v>0</v>
      </c>
      <c r="L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forbrug'!L$3,'Forbrug af biomasse'!$B$2:$B$425,$F271)</f>
        <v>0</v>
      </c>
      <c r="M271" s="94">
        <f>IF(A271&lt;&gt;"Biogas",SUMIFS('Forbrug af biomasse'!$E$2:$E$425,'Forbrug af biomasse'!$C$2:$C$425,'Resultat-Produktion &amp; forbrug'!$A271,'Forbrug af biomasse'!$D$2:$D$425,'Resultat-Produktion &amp; forbrug'!$E271,'Forbrug af biomasse'!$A$2:$A$425,'Resultat-Produktion &amp; forbrug'!M$3,'Forbrug af biomasse'!$B$2:$B$425,$F271),G271)</f>
        <v>0</v>
      </c>
      <c r="N271" s="94">
        <f>SUMIFS('Forbrug af biomasse'!E:E,'Forbrug af biomasse'!C:C,'Resultat-Produktion &amp; forbrug'!$A271,'Forbrug af biomasse'!D:D,'Resultat-Produktion &amp; forbrug'!$E271,'Forbrug af biomasse'!G:G,1,'Forbrug af biomasse'!B:B,$F271)</f>
        <v>0</v>
      </c>
      <c r="O271" s="179">
        <f t="shared" ca="1" si="69"/>
        <v>-210046.70964768095</v>
      </c>
      <c r="P271" s="94">
        <f t="shared" si="83"/>
        <v>0</v>
      </c>
      <c r="Q271" s="180">
        <f t="shared" si="70"/>
        <v>0</v>
      </c>
      <c r="R271">
        <f>IFERROR(VLOOKUP(A271,[1]Energiindhold!$A$2:$C$11,3,FALSE),IFERROR(VLOOKUP(A271,[1]Biogasudbytte!$A$2:$B$18,2,FALSE)*[1]Energiindhold!$C$10,0))*P271</f>
        <v>0</v>
      </c>
      <c r="S271">
        <f>IF(A271&lt;&gt;"Biogas",IFERROR(VLOOKUP(A271,[1]Biogasudbytte!$A$2:$B$18,2,FALSE)*[1]Energiindhold!$C$10,0)*K271*IFERROR(VLOOKUP(A271,Biogasanlæg!$F$3:$G$8,2,FALSE),1)+IFERROR(VLOOKUP(A271,[1]Energiindhold!$A$2:$C$11,3,FALSE),0)*M271+IF(E271&lt;&gt;År1,R271,0),0)</f>
        <v>0</v>
      </c>
      <c r="T271">
        <f>IFERROR(VLOOKUP(A271,[1]Biogasudbytte!$A$2:$B$18,2,FALSE)*[1]Energiindhold!$C$10,0)*K271*IFERROR(VLOOKUP(A271,Biogasanlæg!$F$3:$G$8,2,FALSE),1)</f>
        <v>0</v>
      </c>
      <c r="U271" s="170">
        <f t="shared" si="71"/>
        <v>0</v>
      </c>
      <c r="V271" s="169">
        <f>P271*IFERROR(VLOOKUP(A271,[1]Tørstofindhold!A$2:B$24,2,FALSE),0)</f>
        <v>0</v>
      </c>
      <c r="W271">
        <f>IF(E271=År1,Q271,SUM(P271,Q271))*IFERROR(VLOOKUP(A271,[1]Tørstofindhold!A$2:B$24,2,FALSE),0)</f>
        <v>0</v>
      </c>
      <c r="X271">
        <f>K271*IFERROR(VLOOKUP(A271,[1]Tørstofindhold!A$2:B$24,2,FALSE),0)</f>
        <v>0</v>
      </c>
      <c r="Y271" s="170">
        <f t="shared" si="72"/>
        <v>0</v>
      </c>
      <c r="Z271">
        <f t="shared" ca="1" si="84"/>
        <v>0</v>
      </c>
      <c r="AA271">
        <f t="shared" ca="1" si="85"/>
        <v>1</v>
      </c>
      <c r="AB271" s="94">
        <f t="shared" ca="1" si="86"/>
        <v>218167.31964379738</v>
      </c>
      <c r="AC271">
        <f ca="1">AB271*D271*10000*VLOOKUP(A271,[1]kcal!$A$2:$C$49,3,FALSE)/1000000000000</f>
        <v>0.13744541137559235</v>
      </c>
    </row>
    <row r="272" spans="1:29" x14ac:dyDescent="0.25">
      <c r="A272" s="171" t="str">
        <f t="shared" si="79"/>
        <v>Muslinger</v>
      </c>
      <c r="B272" s="171" t="str">
        <f t="shared" si="80"/>
        <v>Havbiomasse</v>
      </c>
      <c r="C272" s="171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1</v>
      </c>
      <c r="D272" s="171">
        <f t="shared" si="82"/>
        <v>1</v>
      </c>
      <c r="E272" s="171">
        <f t="shared" si="81"/>
        <v>2050</v>
      </c>
      <c r="F272" t="s">
        <v>24</v>
      </c>
      <c r="G272" s="94">
        <f>IF(F272="Vestdanmark",SUMIFS(IF(E272=År1,'Resultater - Vestdanmark'!H$3:H$504,IF(E272=År2,'Resultater - Vestdanmark'!I$3:I$504,'Resultater - Vestdanmark'!J$3:J$504)),'Resultater - Vestdanmark'!$F$3:$F$504,$A272,IF(E272=År1,'Resultater - Vestdanmark'!H$3:H$504,IF(E272=År2,'Resultater - Vestdanmark'!I$3:I$504,'Resultater - Vestdanmark'!J$3:J$504)),"&gt;0"),SUMIFS(IF(E272=År1,'Resultater - Østdanmark'!H$3:H$504,IF(E272=År2,'Resultater - Østdanmark'!I$3:I$504,'Resultater - Østdanmark'!J$3:J$504)),'Resultater - Østdanmark'!$F$3:$F$504,$A272,IF(E272=År1,'Resultater - Østdanmark'!H$3:H$504,IF(E272=År2,'Resultater - Østdanmark'!I$3:I$504,'Resultater - Østdanmark'!J$3:J$504)),"&gt;0"))</f>
        <v>1.1976865502381491</v>
      </c>
      <c r="H272" s="94">
        <f ca="1">SUMIFS('Forbrug af biomasse'!$E$2:$E$425,'Forbrug af biomasse'!$C$2:$C$425,'Resultat-Produktion &amp; forbrug'!$A272,'Forbrug af biomasse'!$D$2:$D$425,'Resultat-Produktion &amp; forbrug'!$E272,'Forbrug af biomasse'!$A$2:$A$425,'Resultat-Produktion &amp; forbrug'!H$3,'Forbrug af biomasse'!$B$2:$B$425,$F272)</f>
        <v>0</v>
      </c>
      <c r="I272">
        <f>IF(F272="Vestdanmark",-IF(A272="Halm",SUMIFS(IF(E272=År1,'Resultater - Vestdanmark'!H$3:H$504,IF(E272=År2,'Resultater - Vestdanmark'!I$3:I$504,'Resultater - Vestdanmark'!J$3:J$504)),'Resultater - Vestdanmark'!$F$3:$F$504,$A272,'Resultater - Vestdanmark'!H$3:H$504,"&lt;0"),0),-IF(A272="Halm",SUMIFS(IF(E272=År1,'Resultater - Østdanmark'!H$3:H$504,IF(E272=År2,'Resultater - Østdanmark'!I$3:I$504,'Resultater - Østdanmark'!J$3:J$504)),'Resultater - Østdanmark'!$F$3:$F$504,$A272,'Resultater - Østdanmark'!H$3:H$504,"&lt;0"),0))</f>
        <v>0</v>
      </c>
      <c r="J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forbrug'!J$3,'Forbrug af biomasse'!$B$2:$B$425,$F272)</f>
        <v>0</v>
      </c>
      <c r="K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forbrug'!K$3,'Forbrug af biomasse'!$B$2:$B$425,$F272)</f>
        <v>0</v>
      </c>
      <c r="L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forbrug'!L$3,'Forbrug af biomasse'!$B$2:$B$425,$F272)</f>
        <v>0</v>
      </c>
      <c r="M272" s="94">
        <f>IF(A272&lt;&gt;"Biogas",SUMIFS('Forbrug af biomasse'!$E$2:$E$425,'Forbrug af biomasse'!$C$2:$C$425,'Resultat-Produktion &amp; forbrug'!$A272,'Forbrug af biomasse'!$D$2:$D$425,'Resultat-Produktion &amp; forbrug'!$E272,'Forbrug af biomasse'!$A$2:$A$425,'Resultat-Produktion &amp; forbrug'!M$3,'Forbrug af biomasse'!$B$2:$B$425,$F272),G272)</f>
        <v>0</v>
      </c>
      <c r="N272" s="94">
        <f>SUMIFS('Forbrug af biomasse'!E:E,'Forbrug af biomasse'!C:C,'Resultat-Produktion &amp; forbrug'!$A272,'Forbrug af biomasse'!D:D,'Resultat-Produktion &amp; forbrug'!$E272,'Forbrug af biomasse'!G:G,1,'Forbrug af biomasse'!B:B,$F272)</f>
        <v>0</v>
      </c>
      <c r="O272" s="179">
        <f t="shared" ca="1" si="69"/>
        <v>1.1976865502381491</v>
      </c>
      <c r="P272" s="94">
        <f t="shared" ca="1" si="83"/>
        <v>1.1976865502381491</v>
      </c>
      <c r="Q272" s="180">
        <f t="shared" si="70"/>
        <v>0</v>
      </c>
      <c r="R272">
        <f ca="1">IFERROR(VLOOKUP(A272,[1]Energiindhold!$A$2:$C$11,3,FALSE),IFERROR(VLOOKUP(A272,[1]Biogasudbytte!$A$2:$B$18,2,FALSE)*[1]Energiindhold!$C$10,0))*P272</f>
        <v>1.0749236788387388E-6</v>
      </c>
      <c r="S272">
        <f ca="1">IF(A272&lt;&gt;"Biogas",IFERROR(VLOOKUP(A272,[1]Biogasudbytte!$A$2:$B$18,2,FALSE)*[1]Energiindhold!$C$10,0)*K272*IFERROR(VLOOKUP(A272,Biogasanlæg!$F$3:$G$8,2,FALSE),1)+IFERROR(VLOOKUP(A272,[1]Energiindhold!$A$2:$C$11,3,FALSE),0)*M272+IF(E272&lt;&gt;År1,R272,0),0)</f>
        <v>1.0749236788387388E-6</v>
      </c>
      <c r="T272">
        <f>IFERROR(VLOOKUP(A272,[1]Biogasudbytte!$A$2:$B$18,2,FALSE)*[1]Energiindhold!$C$10,0)*K272*IFERROR(VLOOKUP(A272,Biogasanlæg!$F$3:$G$8,2,FALSE),1)</f>
        <v>0</v>
      </c>
      <c r="U272" s="170">
        <f t="shared" ca="1" si="71"/>
        <v>1.0749236788387388E-6</v>
      </c>
      <c r="V272" s="169">
        <f ca="1">P272*IFERROR(VLOOKUP(A272,[1]Tørstofindhold!A$2:B$24,2,FALSE),0)</f>
        <v>0.17965298253572234</v>
      </c>
      <c r="W272">
        <f ca="1">IF(E272=År1,Q272,SUM(P272,Q272))*IFERROR(VLOOKUP(A272,[1]Tørstofindhold!A$2:B$24,2,FALSE),0)</f>
        <v>0.17965298253572234</v>
      </c>
      <c r="X272">
        <f>K272*IFERROR(VLOOKUP(A272,[1]Tørstofindhold!A$2:B$24,2,FALSE),0)</f>
        <v>0</v>
      </c>
      <c r="Y272" s="170">
        <f t="shared" ca="1" si="72"/>
        <v>0.17965298253572234</v>
      </c>
      <c r="Z272">
        <f t="shared" ca="1" si="84"/>
        <v>0</v>
      </c>
      <c r="AA272">
        <f t="shared" ca="1" si="85"/>
        <v>1</v>
      </c>
      <c r="AB272" s="94">
        <f t="shared" ca="1" si="86"/>
        <v>1.1976865502381491</v>
      </c>
      <c r="AC272">
        <f ca="1">AB272*D272*10000*VLOOKUP(A272,[1]kcal!$A$2:$C$49,3,FALSE)/1000000000000</f>
        <v>9.9407983669766362E-7</v>
      </c>
    </row>
    <row r="273" spans="1:29" x14ac:dyDescent="0.25">
      <c r="A273" s="171" t="str">
        <f t="shared" si="79"/>
        <v>Oksekød</v>
      </c>
      <c r="B273" s="171" t="str">
        <f t="shared" si="80"/>
        <v/>
      </c>
      <c r="C273" s="171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71">
        <f t="shared" si="82"/>
        <v>1</v>
      </c>
      <c r="E273" s="171">
        <f t="shared" si="81"/>
        <v>2050</v>
      </c>
      <c r="F273" t="s">
        <v>24</v>
      </c>
      <c r="G273" s="94">
        <f ca="1">IF(F273="Vestdanmark",SUMIFS(IF(E273=År1,'Resultater - Vestdanmark'!H$3:H$504,IF(E273=År2,'Resultater - Vestdanmark'!I$3:I$504,'Resultater - Vestdanmark'!J$3:J$504)),'Resultater - Vestdanmark'!$F$3:$F$504,$A273,IF(E273=År1,'Resultater - Vestdanmark'!H$3:H$504,IF(E273=År2,'Resultater - Vestdanmark'!I$3:I$504,'Resultater - Vestdanmark'!J$3:J$504)),"&gt;0"),SUMIFS(IF(E273=År1,'Resultater - Østdanmark'!H$3:H$504,IF(E273=År2,'Resultater - Østdanmark'!I$3:I$504,'Resultater - Østdanmark'!J$3:J$504)),'Resultater - Østdanmark'!$F$3:$F$504,$A273,IF(E273=År1,'Resultater - Østdanmark'!H$3:H$504,IF(E273=År2,'Resultater - Østdanmark'!I$3:I$504,'Resultater - Østdanmark'!J$3:J$504)),"&gt;0"))</f>
        <v>7305.5635465813803</v>
      </c>
      <c r="H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forbrug'!H$3,'Forbrug af biomasse'!$B$2:$B$425,$F273)</f>
        <v>0</v>
      </c>
      <c r="I273">
        <f>IF(F273="Vestdanmark",-IF(A273="Halm",SUMIFS(IF(E273=År1,'Resultater - Vestdanmark'!H$3:H$504,IF(E273=År2,'Resultater - Vestdanmark'!I$3:I$504,'Resultater - Vestdanmark'!J$3:J$504)),'Resultater - Vestdanmark'!$F$3:$F$504,$A273,'Resultater - Vestdanmark'!H$3:H$504,"&lt;0"),0),-IF(A273="Halm",SUMIFS(IF(E273=År1,'Resultater - Østdanmark'!H$3:H$504,IF(E273=År2,'Resultater - Østdanmark'!I$3:I$504,'Resultater - Østdanmark'!J$3:J$504)),'Resultater - Østdanmark'!$F$3:$F$504,$A273,'Resultater - Østdanmark'!H$3:H$504,"&lt;0"),0))</f>
        <v>0</v>
      </c>
      <c r="J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forbrug'!J$3,'Forbrug af biomasse'!$B$2:$B$425,$F273)</f>
        <v>54412.71372203785</v>
      </c>
      <c r="K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forbrug'!K$3,'Forbrug af biomasse'!$B$2:$B$425,$F273)</f>
        <v>0</v>
      </c>
      <c r="L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forbrug'!L$3,'Forbrug af biomasse'!$B$2:$B$425,$F273)</f>
        <v>0</v>
      </c>
      <c r="M273" s="94">
        <f>IF(A273&lt;&gt;"Biogas",SUMIFS('Forbrug af biomasse'!$E$2:$E$425,'Forbrug af biomasse'!$C$2:$C$425,'Resultat-Produktion &amp; forbrug'!$A273,'Forbrug af biomasse'!$D$2:$D$425,'Resultat-Produktion &amp; forbrug'!$E273,'Forbrug af biomasse'!$A$2:$A$425,'Resultat-Produktion &amp; forbrug'!M$3,'Forbrug af biomasse'!$B$2:$B$425,$F273),G273)</f>
        <v>0</v>
      </c>
      <c r="N273" s="94">
        <f>SUMIFS('Forbrug af biomasse'!E:E,'Forbrug af biomasse'!C:C,'Resultat-Produktion &amp; forbrug'!$A273,'Forbrug af biomasse'!D:D,'Resultat-Produktion &amp; forbrug'!$E273,'Forbrug af biomasse'!G:G,1,'Forbrug af biomasse'!B:B,$F273)</f>
        <v>0</v>
      </c>
      <c r="O273" s="179">
        <f t="shared" ca="1" si="69"/>
        <v>-47107.150175456467</v>
      </c>
      <c r="P273" s="94">
        <f t="shared" si="83"/>
        <v>0</v>
      </c>
      <c r="Q273" s="180">
        <f t="shared" si="70"/>
        <v>0</v>
      </c>
      <c r="R273">
        <f>IFERROR(VLOOKUP(A273,[1]Energiindhold!$A$2:$C$11,3,FALSE),IFERROR(VLOOKUP(A273,[1]Biogasudbytte!$A$2:$B$18,2,FALSE)*[1]Energiindhold!$C$10,0))*P273</f>
        <v>0</v>
      </c>
      <c r="S273">
        <f>IF(A273&lt;&gt;"Biogas",IFERROR(VLOOKUP(A273,[1]Biogasudbytte!$A$2:$B$18,2,FALSE)*[1]Energiindhold!$C$10,0)*K273*IFERROR(VLOOKUP(A273,Biogasanlæg!$F$3:$G$8,2,FALSE),1)+IFERROR(VLOOKUP(A273,[1]Energiindhold!$A$2:$C$11,3,FALSE),0)*M273+IF(E273&lt;&gt;År1,R273,0),0)</f>
        <v>0</v>
      </c>
      <c r="T273">
        <f>IFERROR(VLOOKUP(A273,[1]Biogasudbytte!$A$2:$B$18,2,FALSE)*[1]Energiindhold!$C$10,0)*K273*IFERROR(VLOOKUP(A273,Biogasanlæg!$F$3:$G$8,2,FALSE),1)</f>
        <v>0</v>
      </c>
      <c r="U273" s="170">
        <f t="shared" si="71"/>
        <v>0</v>
      </c>
      <c r="V273" s="169">
        <f>P273*IFERROR(VLOOKUP(A273,[1]Tørstofindhold!A$2:B$24,2,FALSE),0)</f>
        <v>0</v>
      </c>
      <c r="W273">
        <f>IF(E273=År1,Q273,SUM(P273,Q273))*IFERROR(VLOOKUP(A273,[1]Tørstofindhold!A$2:B$24,2,FALSE),0)</f>
        <v>0</v>
      </c>
      <c r="X273">
        <f>K273*IFERROR(VLOOKUP(A273,[1]Tørstofindhold!A$2:B$24,2,FALSE),0)</f>
        <v>0</v>
      </c>
      <c r="Y273" s="170">
        <f t="shared" si="72"/>
        <v>0</v>
      </c>
      <c r="Z273">
        <f t="shared" ca="1" si="84"/>
        <v>1</v>
      </c>
      <c r="AA273">
        <f t="shared" ca="1" si="85"/>
        <v>0</v>
      </c>
      <c r="AB273" s="94">
        <f t="shared" ca="1" si="86"/>
        <v>7305.5635465813803</v>
      </c>
      <c r="AC273">
        <f ca="1">AB273*D273*10000*VLOOKUP(A273,[1]kcal!$A$2:$C$49,3,FALSE)/1000000000000</f>
        <v>1.424584891583369E-2</v>
      </c>
    </row>
    <row r="274" spans="1:29" x14ac:dyDescent="0.25">
      <c r="A274" s="171" t="str">
        <f t="shared" si="79"/>
        <v>Øvrige</v>
      </c>
      <c r="B274" s="171" t="str">
        <f t="shared" si="80"/>
        <v/>
      </c>
      <c r="C274" s="171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0</v>
      </c>
      <c r="D274" s="171">
        <f t="shared" si="82"/>
        <v>1</v>
      </c>
      <c r="E274" s="171">
        <f t="shared" si="81"/>
        <v>2050</v>
      </c>
      <c r="F274" t="s">
        <v>24</v>
      </c>
      <c r="G274" s="94">
        <f>IF(F274="Vestdanmark",SUMIFS(IF(E274=År1,'Resultater - Vestdanmark'!H$3:H$504,IF(E274=År2,'Resultater - Vestdanmark'!I$3:I$504,'Resultater - Vestdanmark'!J$3:J$504)),'Resultater - Vestdanmark'!$F$3:$F$504,$A274,IF(E274=År1,'Resultater - Vestdanmark'!H$3:H$504,IF(E274=År2,'Resultater - Vestdanmark'!I$3:I$504,'Resultater - Vestdanmark'!J$3:J$504)),"&gt;0"),SUMIFS(IF(E274=År1,'Resultater - Østdanmark'!H$3:H$504,IF(E274=År2,'Resultater - Østdanmark'!I$3:I$504,'Resultater - Østdanmark'!J$3:J$504)),'Resultater - Østdanmark'!$F$3:$F$504,$A274,IF(E274=År1,'Resultater - Østdanmark'!H$3:H$504,IF(E274=År2,'Resultater - Østdanmark'!I$3:I$504,'Resultater - Østdanmark'!J$3:J$504)),"&gt;0"))</f>
        <v>407929.68166494544</v>
      </c>
      <c r="H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forbrug'!H$3,'Forbrug af biomasse'!$B$2:$B$425,$F274)</f>
        <v>0</v>
      </c>
      <c r="I274">
        <f>IF(F274="Vestdanmark",-IF(A274="Halm",SUMIFS(IF(E274=År1,'Resultater - Vestdanmark'!H$3:H$504,IF(E274=År2,'Resultater - Vestdanmark'!I$3:I$504,'Resultater - Vestdanmark'!J$3:J$504)),'Resultater - Vestdanmark'!$F$3:$F$504,$A274,'Resultater - Vestdanmark'!H$3:H$504,"&lt;0"),0),-IF(A274="Halm",SUMIFS(IF(E274=År1,'Resultater - Østdanmark'!H$3:H$504,IF(E274=År2,'Resultater - Østdanmark'!I$3:I$504,'Resultater - Østdanmark'!J$3:J$504)),'Resultater - Østdanmark'!$F$3:$F$504,$A274,'Resultater - Østdanmark'!H$3:H$504,"&lt;0"),0))</f>
        <v>0</v>
      </c>
      <c r="J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forbrug'!J$3,'Forbrug af biomasse'!$B$2:$B$425,$F274)</f>
        <v>0</v>
      </c>
      <c r="K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forbrug'!K$3,'Forbrug af biomasse'!$B$2:$B$425,$F274)</f>
        <v>0</v>
      </c>
      <c r="L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forbrug'!L$3,'Forbrug af biomasse'!$B$2:$B$425,$F274)</f>
        <v>0</v>
      </c>
      <c r="M274" s="94">
        <f>IF(A274&lt;&gt;"Biogas",SUMIFS('Forbrug af biomasse'!$E$2:$E$425,'Forbrug af biomasse'!$C$2:$C$425,'Resultat-Produktion &amp; forbrug'!$A274,'Forbrug af biomasse'!$D$2:$D$425,'Resultat-Produktion &amp; forbrug'!$E274,'Forbrug af biomasse'!$A$2:$A$425,'Resultat-Produktion &amp; forbrug'!M$3,'Forbrug af biomasse'!$B$2:$B$425,$F274),G274)</f>
        <v>0</v>
      </c>
      <c r="N274" s="94">
        <f>SUMIFS('Forbrug af biomasse'!E:E,'Forbrug af biomasse'!C:C,'Resultat-Produktion &amp; forbrug'!$A274,'Forbrug af biomasse'!D:D,'Resultat-Produktion &amp; forbrug'!$E274,'Forbrug af biomasse'!G:G,1,'Forbrug af biomasse'!B:B,$F274)</f>
        <v>0</v>
      </c>
      <c r="O274" s="179">
        <f t="shared" si="69"/>
        <v>407929.68166494544</v>
      </c>
      <c r="P274" s="94">
        <f t="shared" si="83"/>
        <v>0</v>
      </c>
      <c r="Q274" s="180">
        <f t="shared" si="70"/>
        <v>0</v>
      </c>
      <c r="R274">
        <f>IFERROR(VLOOKUP(A274,[1]Energiindhold!$A$2:$C$11,3,FALSE),IFERROR(VLOOKUP(A274,[1]Biogasudbytte!$A$2:$B$18,2,FALSE)*[1]Energiindhold!$C$10,0))*P274</f>
        <v>0</v>
      </c>
      <c r="S274">
        <f>IF(A274&lt;&gt;"Biogas",IFERROR(VLOOKUP(A274,[1]Biogasudbytte!$A$2:$B$18,2,FALSE)*[1]Energiindhold!$C$10,0)*K274*IFERROR(VLOOKUP(A274,Biogasanlæg!$F$3:$G$8,2,FALSE),1)+IFERROR(VLOOKUP(A274,[1]Energiindhold!$A$2:$C$11,3,FALSE),0)*M274+IF(E274&lt;&gt;År1,R274,0),0)</f>
        <v>0</v>
      </c>
      <c r="T274">
        <f>IFERROR(VLOOKUP(A274,[1]Biogasudbytte!$A$2:$B$18,2,FALSE)*[1]Energiindhold!$C$10,0)*K274*IFERROR(VLOOKUP(A274,Biogasanlæg!$F$3:$G$8,2,FALSE),1)</f>
        <v>0</v>
      </c>
      <c r="U274" s="170">
        <f t="shared" si="71"/>
        <v>0</v>
      </c>
      <c r="V274" s="169">
        <f>P274*IFERROR(VLOOKUP(A274,[1]Tørstofindhold!A$2:B$24,2,FALSE),0)</f>
        <v>0</v>
      </c>
      <c r="W274">
        <f>IF(E274=År1,Q274,SUM(P274,Q274))*IFERROR(VLOOKUP(A274,[1]Tørstofindhold!A$2:B$24,2,FALSE),0)</f>
        <v>0</v>
      </c>
      <c r="X274">
        <f>K274*IFERROR(VLOOKUP(A274,[1]Tørstofindhold!A$2:B$24,2,FALSE),0)</f>
        <v>0</v>
      </c>
      <c r="Y274" s="170">
        <f t="shared" si="72"/>
        <v>0</v>
      </c>
      <c r="Z274">
        <f t="shared" si="84"/>
        <v>0</v>
      </c>
      <c r="AA274">
        <f t="shared" si="85"/>
        <v>1</v>
      </c>
      <c r="AB274" s="94">
        <f t="shared" si="86"/>
        <v>407929.68166494544</v>
      </c>
      <c r="AC274">
        <f>AB274*D274*10000*VLOOKUP(A274,[1]kcal!$A$2:$C$49,3,FALSE)/1000000000000</f>
        <v>0.15909257584932873</v>
      </c>
    </row>
    <row r="275" spans="1:29" x14ac:dyDescent="0.25">
      <c r="A275" s="171" t="str">
        <f t="shared" si="79"/>
        <v>Pil &amp; poppel</v>
      </c>
      <c r="B275" s="171" t="str">
        <f t="shared" si="80"/>
        <v>Vedmasse</v>
      </c>
      <c r="C275" s="171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71">
        <f t="shared" si="82"/>
        <v>0</v>
      </c>
      <c r="E275" s="171">
        <f t="shared" si="81"/>
        <v>2050</v>
      </c>
      <c r="F275" t="s">
        <v>24</v>
      </c>
      <c r="G275" s="94">
        <f>IF(F275="Vestdanmark",SUMIFS(IF(E275=År1,'Resultater - Vestdanmark'!H$3:H$504,IF(E275=År2,'Resultater - Vestdanmark'!I$3:I$504,'Resultater - Vestdanmark'!J$3:J$504)),'Resultater - Vestdanmark'!$F$3:$F$504,$A275,IF(E275=År1,'Resultater - Vestdanmark'!H$3:H$504,IF(E275=År2,'Resultater - Vestdanmark'!I$3:I$504,'Resultater - Vestdanmark'!J$3:J$504)),"&gt;0"),SUMIFS(IF(E275=År1,'Resultater - Østdanmark'!H$3:H$504,IF(E275=År2,'Resultater - Østdanmark'!I$3:I$504,'Resultater - Østdanmark'!J$3:J$504)),'Resultater - Østdanmark'!$F$3:$F$504,$A275,IF(E275=År1,'Resultater - Østdanmark'!H$3:H$504,IF(E275=År2,'Resultater - Østdanmark'!I$3:I$504,'Resultater - Østdanmark'!J$3:J$504)),"&gt;0"))</f>
        <v>36959.622363047813</v>
      </c>
      <c r="H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forbrug'!H$3,'Forbrug af biomasse'!$B$2:$B$425,$F275)</f>
        <v>0</v>
      </c>
      <c r="I275">
        <f>IF(F275="Vestdanmark",-IF(A275="Halm",SUMIFS(IF(E275=År1,'Resultater - Vestdanmark'!H$3:H$504,IF(E275=År2,'Resultater - Vestdanmark'!I$3:I$504,'Resultater - Vestdanmark'!J$3:J$504)),'Resultater - Vestdanmark'!$F$3:$F$504,$A275,'Resultater - Vestdanmark'!H$3:H$504,"&lt;0"),0),-IF(A275="Halm",SUMIFS(IF(E275=År1,'Resultater - Østdanmark'!H$3:H$504,IF(E275=År2,'Resultater - Østdanmark'!I$3:I$504,'Resultater - Østdanmark'!J$3:J$504)),'Resultater - Østdanmark'!$F$3:$F$504,$A275,'Resultater - Østdanmark'!H$3:H$504,"&lt;0"),0))</f>
        <v>0</v>
      </c>
      <c r="J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forbrug'!J$3,'Forbrug af biomasse'!$B$2:$B$425,$F275)</f>
        <v>0</v>
      </c>
      <c r="K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forbrug'!K$3,'Forbrug af biomasse'!$B$2:$B$425,$F275)</f>
        <v>0</v>
      </c>
      <c r="L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forbrug'!L$3,'Forbrug af biomasse'!$B$2:$B$425,$F275)</f>
        <v>0</v>
      </c>
      <c r="M275" s="94">
        <f>IF(A275&lt;&gt;"Biogas",SUMIFS('Forbrug af biomasse'!$E$2:$E$425,'Forbrug af biomasse'!$C$2:$C$425,'Resultat-Produktion &amp; forbrug'!$A275,'Forbrug af biomasse'!$D$2:$D$425,'Resultat-Produktion &amp; forbrug'!$E275,'Forbrug af biomasse'!$A$2:$A$425,'Resultat-Produktion &amp; forbrug'!M$3,'Forbrug af biomasse'!$B$2:$B$425,$F275),G275)</f>
        <v>36959.622363047813</v>
      </c>
      <c r="N275" s="94">
        <f>SUMIFS('Forbrug af biomasse'!E:E,'Forbrug af biomasse'!C:C,'Resultat-Produktion &amp; forbrug'!$A275,'Forbrug af biomasse'!D:D,'Resultat-Produktion &amp; forbrug'!$E275,'Forbrug af biomasse'!G:G,1,'Forbrug af biomasse'!B:B,$F275)</f>
        <v>0</v>
      </c>
      <c r="O275" s="179">
        <f t="shared" si="69"/>
        <v>0</v>
      </c>
      <c r="P275" s="94">
        <f t="shared" si="83"/>
        <v>0</v>
      </c>
      <c r="Q275" s="180">
        <f t="shared" si="70"/>
        <v>36959.622363047813</v>
      </c>
      <c r="R275">
        <f>IFERROR(VLOOKUP(A275,[1]Energiindhold!$A$2:$C$11,3,FALSE),IFERROR(VLOOKUP(A275,[1]Biogasudbytte!$A$2:$B$18,2,FALSE)*[1]Energiindhold!$C$10,0))*P275</f>
        <v>0</v>
      </c>
      <c r="S275">
        <f>IF(A275&lt;&gt;"Biogas",IFERROR(VLOOKUP(A275,[1]Biogasudbytte!$A$2:$B$18,2,FALSE)*[1]Energiindhold!$C$10,0)*K275*IFERROR(VLOOKUP(A275,Biogasanlæg!$F$3:$G$8,2,FALSE),1)+IFERROR(VLOOKUP(A275,[1]Energiindhold!$A$2:$C$11,3,FALSE),0)*M275+IF(E275&lt;&gt;År1,R275,0),0)</f>
        <v>0.68005705148007967</v>
      </c>
      <c r="T275">
        <f>IFERROR(VLOOKUP(A275,[1]Biogasudbytte!$A$2:$B$18,2,FALSE)*[1]Energiindhold!$C$10,0)*K275*IFERROR(VLOOKUP(A275,Biogasanlæg!$F$3:$G$8,2,FALSE),1)</f>
        <v>0</v>
      </c>
      <c r="U275" s="170">
        <f t="shared" si="71"/>
        <v>0.68005705148007967</v>
      </c>
      <c r="V275" s="169">
        <f>P275*IFERROR(VLOOKUP(A275,[1]Tørstofindhold!A$2:B$24,2,FALSE),0)</f>
        <v>0</v>
      </c>
      <c r="W275">
        <f>IF(E275=År1,Q275,SUM(P275,Q275))*IFERROR(VLOOKUP(A275,[1]Tørstofindhold!A$2:B$24,2,FALSE),0)</f>
        <v>15338.243280664843</v>
      </c>
      <c r="X275">
        <f>K275*IFERROR(VLOOKUP(A275,[1]Tørstofindhold!A$2:B$24,2,FALSE),0)</f>
        <v>0</v>
      </c>
      <c r="Y275" s="170">
        <f t="shared" si="72"/>
        <v>15338.243280664843</v>
      </c>
      <c r="Z275">
        <f t="shared" si="84"/>
        <v>0</v>
      </c>
      <c r="AA275">
        <f t="shared" si="85"/>
        <v>0</v>
      </c>
      <c r="AB275" s="94">
        <f t="shared" si="86"/>
        <v>36959.622363047813</v>
      </c>
      <c r="AC275">
        <f>AB275*D275*10000*VLOOKUP(A275,[1]kcal!$A$2:$C$49,3,FALSE)/1000000000000</f>
        <v>0</v>
      </c>
    </row>
    <row r="276" spans="1:29" x14ac:dyDescent="0.25">
      <c r="A276" s="171" t="str">
        <f t="shared" ref="A276:A277" si="87">A228</f>
        <v>Pyrolysegas</v>
      </c>
      <c r="B276" s="171" t="str">
        <f t="shared" ref="B276:B277" si="88">IF(B228&lt;&gt;"",B228,"")</f>
        <v>Pyrolyseprodukter</v>
      </c>
      <c r="C276" s="171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71">
        <f t="shared" si="82"/>
        <v>0</v>
      </c>
      <c r="E276" s="171">
        <f t="shared" si="81"/>
        <v>2050</v>
      </c>
      <c r="F276" t="s">
        <v>24</v>
      </c>
      <c r="G276" s="94">
        <f ca="1">IF(F276="Vestdanmark",SUMIFS(IF(E276=År1,'Resultater - Vestdanmark'!H$3:H$504,IF(E276=År2,'Resultater - Vestdanmark'!I$3:I$504,'Resultater - Vestdanmark'!J$3:J$504)),'Resultater - Vestdanmark'!$F$3:$F$504,$A276,IF(E276=År1,'Resultater - Vestdanmark'!H$3:H$504,IF(E276=År2,'Resultater - Vestdanmark'!I$3:I$504,'Resultater - Vestdanmark'!J$3:J$504)),"&gt;0"),SUMIFS(IF(E276=År1,'Resultater - Østdanmark'!H$3:H$504,IF(E276=År2,'Resultater - Østdanmark'!I$3:I$504,'Resultater - Østdanmark'!J$3:J$504)),'Resultater - Østdanmark'!$F$3:$F$504,$A276,IF(E276=År1,'Resultater - Østdanmark'!H$3:H$504,IF(E276=År2,'Resultater - Østdanmark'!I$3:I$504,'Resultater - Østdanmark'!J$3:J$504)),"&gt;0"))</f>
        <v>0</v>
      </c>
      <c r="H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forbrug'!H$3,'Forbrug af biomasse'!$B$2:$B$425,$F276)</f>
        <v>0</v>
      </c>
      <c r="I276">
        <f>IF(F276="Vestdanmark",-IF(A276="Halm",SUMIFS(IF(E276=År1,'Resultater - Vestdanmark'!H$3:H$504,IF(E276=År2,'Resultater - Vestdanmark'!I$3:I$504,'Resultater - Vestdanmark'!J$3:J$504)),'Resultater - Vestdanmark'!$F$3:$F$504,$A276,'Resultater - Vestdanmark'!H$3:H$504,"&lt;0"),0),-IF(A276="Halm",SUMIFS(IF(E276=År1,'Resultater - Østdanmark'!H$3:H$504,IF(E276=År2,'Resultater - Østdanmark'!I$3:I$504,'Resultater - Østdanmark'!J$3:J$504)),'Resultater - Østdanmark'!$F$3:$F$504,$A276,'Resultater - Østdanmark'!H$3:H$504,"&lt;0"),0))</f>
        <v>0</v>
      </c>
      <c r="J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forbrug'!J$3,'Forbrug af biomasse'!$B$2:$B$425,$F276)</f>
        <v>0</v>
      </c>
      <c r="K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forbrug'!K$3,'Forbrug af biomasse'!$B$2:$B$425,$F276)</f>
        <v>0</v>
      </c>
      <c r="L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forbrug'!L$3,'Forbrug af biomasse'!$B$2:$B$425,$F276)</f>
        <v>0</v>
      </c>
      <c r="M276" s="94">
        <f ca="1">IF(A276&lt;&gt;"Biogas",SUMIFS('Forbrug af biomasse'!$E$2:$E$425,'Forbrug af biomasse'!$C$2:$C$425,'Resultat-Produktion &amp; forbrug'!$A276,'Forbrug af biomasse'!$D$2:$D$425,'Resultat-Produktion &amp; forbrug'!$E276,'Forbrug af biomasse'!$A$2:$A$425,'Resultat-Produktion &amp; forbrug'!M$3,'Forbrug af biomasse'!$B$2:$B$425,$F276),G276)</f>
        <v>0</v>
      </c>
      <c r="N276" s="94">
        <f>SUMIFS('Forbrug af biomasse'!E:E,'Forbrug af biomasse'!C:C,'Resultat-Produktion &amp; forbrug'!$A276,'Forbrug af biomasse'!D:D,'Resultat-Produktion &amp; forbrug'!$E276,'Forbrug af biomasse'!G:G,1,'Forbrug af biomasse'!B:B,$F276)</f>
        <v>0</v>
      </c>
      <c r="O276" s="179">
        <f t="shared" ref="O276:O277" ca="1" si="89">G276-SUM(H276:N276)</f>
        <v>0</v>
      </c>
      <c r="P276" s="94">
        <f t="shared" ref="P276:P277" ca="1" si="90">IF(C276=1,IF(O276+IF(SUMIFS($O$4:$O$291,$A$4:$A$291,A276,$E$4:$E$291,E276,$F$4:$F$291,"&lt;&gt;"&amp;F276)&lt;0,SUMIFS($O$4:$O$291,$A$4:$A$291,A276,$E$4:$E$291,E276,$F$4:$F$291,"&lt;&gt;"&amp;F276),0)&gt;0,O276+IF(SUMIFS($O$4:$O$291,$A$4:$A$291,A276,$E$4:$E$291,E276,$F$4:$F$291,"&lt;&gt;"&amp;F276)&lt;0,SUMIFS($O$4:$O$291,$A$4:$A$291,A276,$E$4:$E$291,E276,$F$4:$F$291,"&lt;&gt;"&amp;F276),0),0),0)</f>
        <v>0</v>
      </c>
      <c r="Q276" s="180">
        <f t="shared" ref="Q276:Q277" ca="1" si="91">SUM(K276,M276)</f>
        <v>0</v>
      </c>
      <c r="R276">
        <f ca="1">IFERROR(VLOOKUP(A276,[1]Energiindhold!$A$2:$C$11,3,FALSE),IFERROR(VLOOKUP(A276,[1]Biogasudbytte!$A$2:$B$18,2,FALSE)*[1]Energiindhold!$C$10,0))*P276</f>
        <v>0</v>
      </c>
      <c r="S276">
        <f ca="1">IF(A276&lt;&gt;"Biogas",IFERROR(VLOOKUP(A276,[1]Biogasudbytte!$A$2:$B$18,2,FALSE)*[1]Energiindhold!$C$10,0)*K276*IFERROR(VLOOKUP(A276,Biogasanlæg!$F$3:$G$8,2,FALSE),1)+IFERROR(VLOOKUP(A276,[1]Energiindhold!$A$2:$C$11,3,FALSE),0)*M276+IF(E276&lt;&gt;År1,R276,0),0)</f>
        <v>0</v>
      </c>
      <c r="T276">
        <f>IFERROR(VLOOKUP(A276,[1]Biogasudbytte!$A$2:$B$18,2,FALSE)*[1]Energiindhold!$C$10,0)*K276*IFERROR(VLOOKUP(A276,Biogasanlæg!$F$3:$G$8,2,FALSE),1)</f>
        <v>0</v>
      </c>
      <c r="U276" s="170">
        <f t="shared" ref="U276:U277" ca="1" si="92">S276-T276</f>
        <v>0</v>
      </c>
      <c r="V276" s="169">
        <f ca="1">P276*IFERROR(VLOOKUP(A276,[1]Tørstofindhold!A$2:B$24,2,FALSE),0)</f>
        <v>0</v>
      </c>
      <c r="W276">
        <f ca="1">IF(E276=År1,Q276,SUM(P276,Q276))*IFERROR(VLOOKUP(A276,[1]Tørstofindhold!A$2:B$24,2,FALSE),0)</f>
        <v>0</v>
      </c>
      <c r="X276">
        <f>K276*IFERROR(VLOOKUP(A276,[1]Tørstofindhold!A$2:B$24,2,FALSE),0)</f>
        <v>0</v>
      </c>
      <c r="Y276" s="170">
        <f t="shared" ref="Y276:Y277" ca="1" si="93">W276-X276</f>
        <v>0</v>
      </c>
      <c r="Z276">
        <f t="shared" ref="Z276:Z277" ca="1" si="94">IF(SUMIFS($O$4:$O$291,$A$4:$A$291,A276,$E$4:$E$291,E276)&lt;0,1,0)</f>
        <v>0</v>
      </c>
      <c r="AA276">
        <f t="shared" ref="AA276:AA277" ca="1" si="95">IF(SUMIFS($O$4:$O$291,$A$4:$A$291,A276,$E$4:$E$291,E276)&gt;0,1,0)</f>
        <v>0</v>
      </c>
      <c r="AB276" s="94">
        <f t="shared" ca="1" si="86"/>
        <v>0</v>
      </c>
      <c r="AC276">
        <f ca="1">AB276*D276*10000*VLOOKUP(A276,[1]kcal!$A$2:$C$49,3,FALSE)/1000000000000</f>
        <v>0</v>
      </c>
    </row>
    <row r="277" spans="1:29" x14ac:dyDescent="0.25">
      <c r="A277" s="171" t="str">
        <f t="shared" si="87"/>
        <v>Pyrolyseolie</v>
      </c>
      <c r="B277" s="171" t="str">
        <f t="shared" si="88"/>
        <v>Pyrolyseprodukter</v>
      </c>
      <c r="C277" s="171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1</v>
      </c>
      <c r="D277" s="171">
        <f t="shared" si="82"/>
        <v>0</v>
      </c>
      <c r="E277" s="171">
        <f t="shared" si="81"/>
        <v>2050</v>
      </c>
      <c r="F277" t="s">
        <v>24</v>
      </c>
      <c r="G277" s="94">
        <f ca="1">IF(F277="Vestdanmark",SUMIFS(IF(E277=År1,'Resultater - Vestdanmark'!H$3:H$504,IF(E277=År2,'Resultater - Vestdanmark'!I$3:I$504,'Resultater - Vestdanmark'!J$3:J$504)),'Resultater - Vestdanmark'!$F$3:$F$504,$A277,IF(E277=År1,'Resultater - Vestdanmark'!H$3:H$504,IF(E277=År2,'Resultater - Vestdanmark'!I$3:I$504,'Resultater - Vestdanmark'!J$3:J$504)),"&gt;0"),SUMIFS(IF(E277=År1,'Resultater - Østdanmark'!H$3:H$504,IF(E277=År2,'Resultater - Østdanmark'!I$3:I$504,'Resultater - Østdanmark'!J$3:J$504)),'Resultater - Østdanmark'!$F$3:$F$504,$A277,IF(E277=År1,'Resultater - Østdanmark'!H$3:H$504,IF(E277=År2,'Resultater - Østdanmark'!I$3:I$504,'Resultater - Østdanmark'!J$3:J$504)),"&gt;0"))</f>
        <v>0</v>
      </c>
      <c r="H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forbrug'!H$3,'Forbrug af biomasse'!$B$2:$B$425,$F277)</f>
        <v>0</v>
      </c>
      <c r="I277">
        <f>IF(F277="Vestdanmark",-IF(A277="Halm",SUMIFS(IF(E277=År1,'Resultater - Vestdanmark'!H$3:H$504,IF(E277=År2,'Resultater - Vestdanmark'!I$3:I$504,'Resultater - Vestdanmark'!J$3:J$504)),'Resultater - Vestdanmark'!$F$3:$F$504,$A277,'Resultater - Vestdanmark'!H$3:H$504,"&lt;0"),0),-IF(A277="Halm",SUMIFS(IF(E277=År1,'Resultater - Østdanmark'!H$3:H$504,IF(E277=År2,'Resultater - Østdanmark'!I$3:I$504,'Resultater - Østdanmark'!J$3:J$504)),'Resultater - Østdanmark'!$F$3:$F$504,$A277,'Resultater - Østdanmark'!H$3:H$504,"&lt;0"),0))</f>
        <v>0</v>
      </c>
      <c r="J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forbrug'!J$3,'Forbrug af biomasse'!$B$2:$B$425,$F277)</f>
        <v>0</v>
      </c>
      <c r="K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forbrug'!K$3,'Forbrug af biomasse'!$B$2:$B$425,$F277)</f>
        <v>0</v>
      </c>
      <c r="L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forbrug'!L$3,'Forbrug af biomasse'!$B$2:$B$425,$F277)</f>
        <v>0</v>
      </c>
      <c r="M277" s="94">
        <f ca="1">IF(A277&lt;&gt;"Biogas",SUMIFS('Forbrug af biomasse'!$E$2:$E$425,'Forbrug af biomasse'!$C$2:$C$425,'Resultat-Produktion &amp; forbrug'!$A277,'Forbrug af biomasse'!$D$2:$D$425,'Resultat-Produktion &amp; forbrug'!$E277,'Forbrug af biomasse'!$A$2:$A$425,'Resultat-Produktion &amp; forbrug'!M$3,'Forbrug af biomasse'!$B$2:$B$425,$F277),G277)</f>
        <v>0</v>
      </c>
      <c r="N277" s="94">
        <f>SUMIFS('Forbrug af biomasse'!E:E,'Forbrug af biomasse'!C:C,'Resultat-Produktion &amp; forbrug'!$A277,'Forbrug af biomasse'!D:D,'Resultat-Produktion &amp; forbrug'!$E277,'Forbrug af biomasse'!G:G,1,'Forbrug af biomasse'!B:B,$F277)</f>
        <v>0</v>
      </c>
      <c r="O277" s="179">
        <f t="shared" ca="1" si="89"/>
        <v>0</v>
      </c>
      <c r="P277" s="94">
        <f t="shared" ca="1" si="90"/>
        <v>0</v>
      </c>
      <c r="Q277" s="180">
        <f t="shared" ca="1" si="91"/>
        <v>0</v>
      </c>
      <c r="R277">
        <f ca="1">IFERROR(VLOOKUP(A277,[1]Energiindhold!$A$2:$C$11,3,FALSE),IFERROR(VLOOKUP(A277,[1]Biogasudbytte!$A$2:$B$18,2,FALSE)*[1]Energiindhold!$C$10,0))*P277</f>
        <v>0</v>
      </c>
      <c r="S277">
        <f ca="1">IF(A277&lt;&gt;"Biogas",IFERROR(VLOOKUP(A277,[1]Biogasudbytte!$A$2:$B$18,2,FALSE)*[1]Energiindhold!$C$10,0)*K277*IFERROR(VLOOKUP(A277,Biogasanlæg!$F$3:$G$8,2,FALSE),1)+IFERROR(VLOOKUP(A277,[1]Energiindhold!$A$2:$C$11,3,FALSE),0)*M277+IF(E277&lt;&gt;År1,R277,0),0)</f>
        <v>0</v>
      </c>
      <c r="T277">
        <f>IFERROR(VLOOKUP(A277,[1]Biogasudbytte!$A$2:$B$18,2,FALSE)*[1]Energiindhold!$C$10,0)*K277*IFERROR(VLOOKUP(A277,Biogasanlæg!$F$3:$G$8,2,FALSE),1)</f>
        <v>0</v>
      </c>
      <c r="U277" s="170">
        <f t="shared" ca="1" si="92"/>
        <v>0</v>
      </c>
      <c r="V277" s="169">
        <f ca="1">P277*IFERROR(VLOOKUP(A277,[1]Tørstofindhold!A$2:B$24,2,FALSE),0)</f>
        <v>0</v>
      </c>
      <c r="W277">
        <f ca="1">IF(E277=År1,Q277,SUM(P277,Q277))*IFERROR(VLOOKUP(A277,[1]Tørstofindhold!A$2:B$24,2,FALSE),0)</f>
        <v>0</v>
      </c>
      <c r="X277">
        <f>K277*IFERROR(VLOOKUP(A277,[1]Tørstofindhold!A$2:B$24,2,FALSE),0)</f>
        <v>0</v>
      </c>
      <c r="Y277" s="170">
        <f t="shared" ca="1" si="93"/>
        <v>0</v>
      </c>
      <c r="Z277">
        <f t="shared" ca="1" si="94"/>
        <v>0</v>
      </c>
      <c r="AA277">
        <f t="shared" ca="1" si="95"/>
        <v>0</v>
      </c>
      <c r="AB277" s="94">
        <f t="shared" ca="1" si="86"/>
        <v>0</v>
      </c>
      <c r="AC277">
        <f ca="1">AB277*D277*10000*VLOOKUP(A277,[1]kcal!$A$2:$C$49,3,FALSE)/1000000000000</f>
        <v>0</v>
      </c>
    </row>
    <row r="278" spans="1:29" x14ac:dyDescent="0.25">
      <c r="A278" s="171" t="str">
        <f t="shared" ref="A278:A291" si="96">A230</f>
        <v>Råmælk</v>
      </c>
      <c r="B278" s="171" t="str">
        <f t="shared" ref="B278:B291" si="97">IF(B230&lt;&gt;"",B230,"")</f>
        <v/>
      </c>
      <c r="C278" s="171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71">
        <f t="shared" si="82"/>
        <v>0</v>
      </c>
      <c r="E278" s="171">
        <f t="shared" si="81"/>
        <v>2050</v>
      </c>
      <c r="F278" t="s">
        <v>24</v>
      </c>
      <c r="G278" s="94">
        <f ca="1">IF(F278="Vestdanmark",SUMIFS(IF(E278=År1,'Resultater - Vestdanmark'!H$3:H$504,IF(E278=År2,'Resultater - Vestdanmark'!I$3:I$504,'Resultater - Vestdanmark'!J$3:J$504)),'Resultater - Vestdanmark'!$F$3:$F$504,$A278,IF(E278=År1,'Resultater - Vestdanmark'!H$3:H$504,IF(E278=År2,'Resultater - Vestdanmark'!I$3:I$504,'Resultater - Vestdanmark'!J$3:J$504)),"&gt;0"),SUMIFS(IF(E278=År1,'Resultater - Østdanmark'!H$3:H$504,IF(E278=År2,'Resultater - Østdanmark'!I$3:I$504,'Resultater - Østdanmark'!J$3:J$504)),'Resultater - Østdanmark'!$F$3:$F$504,$A278,IF(E278=År1,'Resultater - Østdanmark'!H$3:H$504,IF(E278=År2,'Resultater - Østdanmark'!I$3:I$504,'Resultater - Østdanmark'!J$3:J$504)),"&gt;0"))</f>
        <v>339731.06359710812</v>
      </c>
      <c r="H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forbrug'!H$3,'Forbrug af biomasse'!$B$2:$B$425,$F278)</f>
        <v>0</v>
      </c>
      <c r="I278">
        <f>IF(F278="Vestdanmark",-IF(A278="Halm",SUMIFS(IF(E278=År1,'Resultater - Vestdanmark'!H$3:H$504,IF(E278=År2,'Resultater - Vestdanmark'!I$3:I$504,'Resultater - Vestdanmark'!J$3:J$504)),'Resultater - Vestdanmark'!$F$3:$F$504,$A278,'Resultater - Vestdanmark'!H$3:H$504,"&lt;0"),0),-IF(A278="Halm",SUMIFS(IF(E278=År1,'Resultater - Østdanmark'!H$3:H$504,IF(E278=År2,'Resultater - Østdanmark'!I$3:I$504,'Resultater - Østdanmark'!J$3:J$504)),'Resultater - Østdanmark'!$F$3:$F$504,$A278,'Resultater - Østdanmark'!H$3:H$504,"&lt;0"),0))</f>
        <v>0</v>
      </c>
      <c r="J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forbrug'!J$3,'Forbrug af biomasse'!$B$2:$B$425,$F278)</f>
        <v>0</v>
      </c>
      <c r="K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forbrug'!K$3,'Forbrug af biomasse'!$B$2:$B$425,$F278)</f>
        <v>0</v>
      </c>
      <c r="L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forbrug'!L$3,'Forbrug af biomasse'!$B$2:$B$425,$F278)</f>
        <v>0</v>
      </c>
      <c r="M278" s="94">
        <f>IF(A278&lt;&gt;"Biogas",SUMIFS('Forbrug af biomasse'!$E$2:$E$425,'Forbrug af biomasse'!$C$2:$C$425,'Resultat-Produktion &amp; forbrug'!$A278,'Forbrug af biomasse'!$D$2:$D$425,'Resultat-Produktion &amp; forbrug'!$E278,'Forbrug af biomasse'!$A$2:$A$425,'Resultat-Produktion &amp; forbrug'!M$3,'Forbrug af biomasse'!$B$2:$B$425,$F278),G278)</f>
        <v>0</v>
      </c>
      <c r="N278" s="94">
        <f>SUMIFS('Forbrug af biomasse'!E:E,'Forbrug af biomasse'!C:C,'Resultat-Produktion &amp; forbrug'!$A278,'Forbrug af biomasse'!D:D,'Resultat-Produktion &amp; forbrug'!$E278,'Forbrug af biomasse'!G:G,1,'Forbrug af biomasse'!B:B,$F278)</f>
        <v>0</v>
      </c>
      <c r="O278" s="179">
        <f t="shared" ca="1" si="69"/>
        <v>339731.06359710812</v>
      </c>
      <c r="P278" s="94">
        <f t="shared" ref="P278:P291" si="98">IF(C278=1,IF(O278+IF(SUMIFS($O$4:$O$291,$A$4:$A$291,A278,$E$4:$E$291,E278,$F$4:$F$291,"&lt;&gt;"&amp;F278)&lt;0,SUMIFS($O$4:$O$291,$A$4:$A$291,A278,$E$4:$E$291,E278,$F$4:$F$291,"&lt;&gt;"&amp;F278),0)&gt;0,O278+IF(SUMIFS($O$4:$O$291,$A$4:$A$291,A278,$E$4:$E$291,E278,$F$4:$F$291,"&lt;&gt;"&amp;F278)&lt;0,SUMIFS($O$4:$O$291,$A$4:$A$291,A278,$E$4:$E$291,E278,$F$4:$F$291,"&lt;&gt;"&amp;F278),0),0),0)</f>
        <v>0</v>
      </c>
      <c r="Q278" s="180">
        <f t="shared" si="70"/>
        <v>0</v>
      </c>
      <c r="R278">
        <f>IFERROR(VLOOKUP(A278,[1]Energiindhold!$A$2:$C$11,3,FALSE),IFERROR(VLOOKUP(A278,[1]Biogasudbytte!$A$2:$B$18,2,FALSE)*[1]Energiindhold!$C$10,0))*P278</f>
        <v>0</v>
      </c>
      <c r="S278">
        <f>IF(A278&lt;&gt;"Biogas",IFERROR(VLOOKUP(A278,[1]Biogasudbytte!$A$2:$B$18,2,FALSE)*[1]Energiindhold!$C$10,0)*K278*IFERROR(VLOOKUP(A278,Biogasanlæg!$F$3:$G$8,2,FALSE),1)+IFERROR(VLOOKUP(A278,[1]Energiindhold!$A$2:$C$11,3,FALSE),0)*M278+IF(E278&lt;&gt;År1,R278,0),0)</f>
        <v>0</v>
      </c>
      <c r="T278">
        <f>IFERROR(VLOOKUP(A278,[1]Biogasudbytte!$A$2:$B$18,2,FALSE)*[1]Energiindhold!$C$10,0)*K278*IFERROR(VLOOKUP(A278,Biogasanlæg!$F$3:$G$8,2,FALSE),1)</f>
        <v>0</v>
      </c>
      <c r="U278" s="170">
        <f t="shared" si="71"/>
        <v>0</v>
      </c>
      <c r="V278" s="169">
        <f>P278*IFERROR(VLOOKUP(A278,[1]Tørstofindhold!A$2:B$24,2,FALSE),0)</f>
        <v>0</v>
      </c>
      <c r="W278">
        <f>IF(E278=År1,Q278,SUM(P278,Q278))*IFERROR(VLOOKUP(A278,[1]Tørstofindhold!A$2:B$24,2,FALSE),0)</f>
        <v>0</v>
      </c>
      <c r="X278">
        <f>K278*IFERROR(VLOOKUP(A278,[1]Tørstofindhold!A$2:B$24,2,FALSE),0)</f>
        <v>0</v>
      </c>
      <c r="Y278" s="170">
        <f t="shared" si="72"/>
        <v>0</v>
      </c>
      <c r="Z278">
        <f t="shared" ref="Z278:Z291" ca="1" si="99">IF(SUMIFS($O$4:$O$291,$A$4:$A$291,A278,$E$4:$E$291,E278)&lt;0,1,0)</f>
        <v>0</v>
      </c>
      <c r="AA278">
        <f t="shared" ref="AA278:AA291" ca="1" si="100">IF(SUMIFS($O$4:$O$291,$A$4:$A$291,A278,$E$4:$E$291,E278)&gt;0,1,0)</f>
        <v>1</v>
      </c>
      <c r="AB278" s="94">
        <f t="shared" ca="1" si="86"/>
        <v>339731.06359710812</v>
      </c>
      <c r="AC278">
        <f ca="1">AB278*D278*10000*VLOOKUP(A278,[1]kcal!$A$2:$C$49,3,FALSE)/1000000000000</f>
        <v>0</v>
      </c>
    </row>
    <row r="279" spans="1:29" x14ac:dyDescent="0.25">
      <c r="A279" s="171" t="str">
        <f t="shared" si="96"/>
        <v>Raps</v>
      </c>
      <c r="B279" s="171" t="str">
        <f t="shared" si="97"/>
        <v/>
      </c>
      <c r="C279" s="171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71">
        <f t="shared" si="82"/>
        <v>0</v>
      </c>
      <c r="E279" s="171">
        <f t="shared" si="81"/>
        <v>2050</v>
      </c>
      <c r="F279" t="s">
        <v>24</v>
      </c>
      <c r="G279" s="94">
        <f>IF(F279="Vestdanmark",SUMIFS(IF(E279=År1,'Resultater - Vestdanmark'!H$3:H$504,IF(E279=År2,'Resultater - Vestdanmark'!I$3:I$504,'Resultater - Vestdanmark'!J$3:J$504)),'Resultater - Vestdanmark'!$F$3:$F$504,$A279,IF(E279=År1,'Resultater - Vestdanmark'!H$3:H$504,IF(E279=År2,'Resultater - Vestdanmark'!I$3:I$504,'Resultater - Vestdanmark'!J$3:J$504)),"&gt;0"),SUMIFS(IF(E279=År1,'Resultater - Østdanmark'!H$3:H$504,IF(E279=År2,'Resultater - Østdanmark'!I$3:I$504,'Resultater - Østdanmark'!J$3:J$504)),'Resultater - Østdanmark'!$F$3:$F$504,$A279,IF(E279=År1,'Resultater - Østdanmark'!H$3:H$504,IF(E279=År2,'Resultater - Østdanmark'!I$3:I$504,'Resultater - Østdanmark'!J$3:J$504)),"&gt;0"))</f>
        <v>200042.64483548011</v>
      </c>
      <c r="H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forbrug'!H$3,'Forbrug af biomasse'!$B$2:$B$425,$F279)</f>
        <v>0</v>
      </c>
      <c r="I279">
        <f>IF(F279="Vestdanmark",-IF(A279="Halm",SUMIFS(IF(E279=År1,'Resultater - Vestdanmark'!H$3:H$504,IF(E279=År2,'Resultater - Vestdanmark'!I$3:I$504,'Resultater - Vestdanmark'!J$3:J$504)),'Resultater - Vestdanmark'!$F$3:$F$504,$A279,'Resultater - Vestdanmark'!H$3:H$504,"&lt;0"),0),-IF(A279="Halm",SUMIFS(IF(E279=År1,'Resultater - Østdanmark'!H$3:H$504,IF(E279=År2,'Resultater - Østdanmark'!I$3:I$504,'Resultater - Østdanmark'!J$3:J$504)),'Resultater - Østdanmark'!$F$3:$F$504,$A279,'Resultater - Østdanmark'!H$3:H$504,"&lt;0"),0))</f>
        <v>0</v>
      </c>
      <c r="J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forbrug'!J$3,'Forbrug af biomasse'!$B$2:$B$425,$F279)</f>
        <v>0</v>
      </c>
      <c r="K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forbrug'!K$3,'Forbrug af biomasse'!$B$2:$B$425,$F279)</f>
        <v>0</v>
      </c>
      <c r="L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forbrug'!L$3,'Forbrug af biomasse'!$B$2:$B$425,$F279)</f>
        <v>0</v>
      </c>
      <c r="M279" s="94">
        <f>IF(A279&lt;&gt;"Biogas",SUMIFS('Forbrug af biomasse'!$E$2:$E$425,'Forbrug af biomasse'!$C$2:$C$425,'Resultat-Produktion &amp; forbrug'!$A279,'Forbrug af biomasse'!$D$2:$D$425,'Resultat-Produktion &amp; forbrug'!$E279,'Forbrug af biomasse'!$A$2:$A$425,'Resultat-Produktion &amp; forbrug'!M$3,'Forbrug af biomasse'!$B$2:$B$425,$F279),G279)</f>
        <v>0</v>
      </c>
      <c r="N279" s="94">
        <f>SUMIFS('Forbrug af biomasse'!E:E,'Forbrug af biomasse'!C:C,'Resultat-Produktion &amp; forbrug'!$A279,'Forbrug af biomasse'!D:D,'Resultat-Produktion &amp; forbrug'!$E279,'Forbrug af biomasse'!G:G,1,'Forbrug af biomasse'!B:B,$F279)</f>
        <v>200042.64483548011</v>
      </c>
      <c r="O279" s="179">
        <f t="shared" si="69"/>
        <v>0</v>
      </c>
      <c r="P279" s="94">
        <f t="shared" si="98"/>
        <v>0</v>
      </c>
      <c r="Q279" s="180">
        <f t="shared" si="70"/>
        <v>0</v>
      </c>
      <c r="R279">
        <f>IFERROR(VLOOKUP(A279,[1]Energiindhold!$A$2:$C$11,3,FALSE),IFERROR(VLOOKUP(A279,[1]Biogasudbytte!$A$2:$B$18,2,FALSE)*[1]Energiindhold!$C$10,0))*P279</f>
        <v>0</v>
      </c>
      <c r="S279">
        <f>IF(A279&lt;&gt;"Biogas",IFERROR(VLOOKUP(A279,[1]Biogasudbytte!$A$2:$B$18,2,FALSE)*[1]Energiindhold!$C$10,0)*K279*IFERROR(VLOOKUP(A279,Biogasanlæg!$F$3:$G$8,2,FALSE),1)+IFERROR(VLOOKUP(A279,[1]Energiindhold!$A$2:$C$11,3,FALSE),0)*M279+IF(E279&lt;&gt;År1,R279,0),0)</f>
        <v>0</v>
      </c>
      <c r="T279">
        <f>IFERROR(VLOOKUP(A279,[1]Biogasudbytte!$A$2:$B$18,2,FALSE)*[1]Energiindhold!$C$10,0)*K279*IFERROR(VLOOKUP(A279,Biogasanlæg!$F$3:$G$8,2,FALSE),1)</f>
        <v>0</v>
      </c>
      <c r="U279" s="170">
        <f t="shared" si="71"/>
        <v>0</v>
      </c>
      <c r="V279" s="169">
        <f>P279*IFERROR(VLOOKUP(A279,[1]Tørstofindhold!A$2:B$24,2,FALSE),0)</f>
        <v>0</v>
      </c>
      <c r="W279">
        <f>IF(E279=År1,Q279,SUM(P279,Q279))*IFERROR(VLOOKUP(A279,[1]Tørstofindhold!A$2:B$24,2,FALSE),0)</f>
        <v>0</v>
      </c>
      <c r="X279">
        <f>K279*IFERROR(VLOOKUP(A279,[1]Tørstofindhold!A$2:B$24,2,FALSE),0)</f>
        <v>0</v>
      </c>
      <c r="Y279" s="170">
        <f t="shared" si="72"/>
        <v>0</v>
      </c>
      <c r="Z279">
        <f t="shared" si="99"/>
        <v>0</v>
      </c>
      <c r="AA279">
        <f t="shared" si="100"/>
        <v>0</v>
      </c>
      <c r="AB279" s="94">
        <f t="shared" si="86"/>
        <v>200042.64483548011</v>
      </c>
      <c r="AC279">
        <f>AB279*D279*10000*VLOOKUP(A279,[1]kcal!$A$2:$C$49,3,FALSE)/1000000000000</f>
        <v>0</v>
      </c>
    </row>
    <row r="280" spans="1:29" x14ac:dyDescent="0.25">
      <c r="A280" s="171" t="str">
        <f t="shared" si="96"/>
        <v>Rapskage</v>
      </c>
      <c r="B280" s="171" t="str">
        <f t="shared" si="97"/>
        <v/>
      </c>
      <c r="C280" s="171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0</v>
      </c>
      <c r="D280" s="171">
        <f t="shared" si="82"/>
        <v>0</v>
      </c>
      <c r="E280" s="171">
        <f t="shared" si="81"/>
        <v>2050</v>
      </c>
      <c r="F280" t="s">
        <v>24</v>
      </c>
      <c r="G280" s="94">
        <f>IF(F280="Vestdanmark",SUMIFS(IF(E280=År1,'Resultater - Vestdanmark'!H$3:H$504,IF(E280=År2,'Resultater - Vestdanmark'!I$3:I$504,'Resultater - Vestdanmark'!J$3:J$504)),'Resultater - Vestdanmark'!$F$3:$F$504,$A280,IF(E280=År1,'Resultater - Vestdanmark'!H$3:H$504,IF(E280=År2,'Resultater - Vestdanmark'!I$3:I$504,'Resultater - Vestdanmark'!J$3:J$504)),"&gt;0"),SUMIFS(IF(E280=År1,'Resultater - Østdanmark'!H$3:H$504,IF(E280=År2,'Resultater - Østdanmark'!I$3:I$504,'Resultater - Østdanmark'!J$3:J$504)),'Resultater - Østdanmark'!$F$3:$F$504,$A280,IF(E280=År1,'Resultater - Østdanmark'!H$3:H$504,IF(E280=År2,'Resultater - Østdanmark'!I$3:I$504,'Resultater - Østdanmark'!J$3:J$504)),"&gt;0"))</f>
        <v>100021.32241774006</v>
      </c>
      <c r="H280" s="94">
        <f ca="1">SUMIFS('Forbrug af biomasse'!$E$2:$E$425,'Forbrug af biomasse'!$C$2:$C$425,'Resultat-Produktion &amp; forbrug'!$A280,'Forbrug af biomasse'!$D$2:$D$425,'Resultat-Produktion &amp; forbrug'!$E280,'Forbrug af biomasse'!$A$2:$A$425,'Resultat-Produktion &amp; forbrug'!H$3,'Forbrug af biomasse'!$B$2:$B$425,$F280)</f>
        <v>24123.640819434757</v>
      </c>
      <c r="I280">
        <f>IF(F280="Vestdanmark",-IF(A280="Halm",SUMIFS(IF(E280=År1,'Resultater - Vestdanmark'!H$3:H$504,IF(E280=År2,'Resultater - Vestdanmark'!I$3:I$504,'Resultater - Vestdanmark'!J$3:J$504)),'Resultater - Vestdanmark'!$F$3:$F$504,$A280,'Resultater - Vestdanmark'!H$3:H$504,"&lt;0"),0),-IF(A280="Halm",SUMIFS(IF(E280=År1,'Resultater - Østdanmark'!H$3:H$504,IF(E280=År2,'Resultater - Østdanmark'!I$3:I$504,'Resultater - Østdanmark'!J$3:J$504)),'Resultater - Østdanmark'!$F$3:$F$504,$A280,'Resultater - Østdanmark'!H$3:H$504,"&lt;0"),0))</f>
        <v>0</v>
      </c>
      <c r="J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forbrug'!J$3,'Forbrug af biomasse'!$B$2:$B$425,$F280)</f>
        <v>0</v>
      </c>
      <c r="K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forbrug'!K$3,'Forbrug af biomasse'!$B$2:$B$425,$F280)</f>
        <v>0</v>
      </c>
      <c r="L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forbrug'!L$3,'Forbrug af biomasse'!$B$2:$B$425,$F280)</f>
        <v>0</v>
      </c>
      <c r="M280" s="94">
        <f>IF(A280&lt;&gt;"Biogas",SUMIFS('Forbrug af biomasse'!$E$2:$E$425,'Forbrug af biomasse'!$C$2:$C$425,'Resultat-Produktion &amp; forbrug'!$A280,'Forbrug af biomasse'!$D$2:$D$425,'Resultat-Produktion &amp; forbrug'!$E280,'Forbrug af biomasse'!$A$2:$A$425,'Resultat-Produktion &amp; forbrug'!M$3,'Forbrug af biomasse'!$B$2:$B$425,$F280),G280)</f>
        <v>0</v>
      </c>
      <c r="N280" s="94">
        <f>SUMIFS('Forbrug af biomasse'!E:E,'Forbrug af biomasse'!C:C,'Resultat-Produktion &amp; forbrug'!$A280,'Forbrug af biomasse'!D:D,'Resultat-Produktion &amp; forbrug'!$E280,'Forbrug af biomasse'!G:G,1,'Forbrug af biomasse'!B:B,$F280)</f>
        <v>0</v>
      </c>
      <c r="O280" s="179">
        <f t="shared" ca="1" si="69"/>
        <v>75897.681598305295</v>
      </c>
      <c r="P280" s="94">
        <f t="shared" si="98"/>
        <v>0</v>
      </c>
      <c r="Q280" s="180">
        <f t="shared" si="70"/>
        <v>0</v>
      </c>
      <c r="R280">
        <f>IFERROR(VLOOKUP(A280,[1]Energiindhold!$A$2:$C$11,3,FALSE),IFERROR(VLOOKUP(A280,[1]Biogasudbytte!$A$2:$B$18,2,FALSE)*[1]Energiindhold!$C$10,0))*P280</f>
        <v>0</v>
      </c>
      <c r="S280">
        <f>IF(A280&lt;&gt;"Biogas",IFERROR(VLOOKUP(A280,[1]Biogasudbytte!$A$2:$B$18,2,FALSE)*[1]Energiindhold!$C$10,0)*K280*IFERROR(VLOOKUP(A280,Biogasanlæg!$F$3:$G$8,2,FALSE),1)+IFERROR(VLOOKUP(A280,[1]Energiindhold!$A$2:$C$11,3,FALSE),0)*M280+IF(E280&lt;&gt;År1,R280,0),0)</f>
        <v>0</v>
      </c>
      <c r="T280">
        <f>IFERROR(VLOOKUP(A280,[1]Biogasudbytte!$A$2:$B$18,2,FALSE)*[1]Energiindhold!$C$10,0)*K280*IFERROR(VLOOKUP(A280,Biogasanlæg!$F$3:$G$8,2,FALSE),1)</f>
        <v>0</v>
      </c>
      <c r="U280" s="170">
        <f t="shared" si="71"/>
        <v>0</v>
      </c>
      <c r="V280" s="169">
        <f>P280*IFERROR(VLOOKUP(A280,[1]Tørstofindhold!A$2:B$24,2,FALSE),0)</f>
        <v>0</v>
      </c>
      <c r="W280">
        <f>IF(E280=År1,Q280,SUM(P280,Q280))*IFERROR(VLOOKUP(A280,[1]Tørstofindhold!A$2:B$24,2,FALSE),0)</f>
        <v>0</v>
      </c>
      <c r="X280">
        <f>K280*IFERROR(VLOOKUP(A280,[1]Tørstofindhold!A$2:B$24,2,FALSE),0)</f>
        <v>0</v>
      </c>
      <c r="Y280" s="170">
        <f t="shared" si="72"/>
        <v>0</v>
      </c>
      <c r="Z280">
        <f t="shared" ca="1" si="99"/>
        <v>0</v>
      </c>
      <c r="AA280">
        <f t="shared" ca="1" si="100"/>
        <v>1</v>
      </c>
      <c r="AB280" s="94">
        <f t="shared" ca="1" si="86"/>
        <v>75897.681598305295</v>
      </c>
      <c r="AC280">
        <f ca="1">AB280*D280*10000*VLOOKUP(A280,[1]kcal!$A$2:$C$49,3,FALSE)/1000000000000</f>
        <v>0</v>
      </c>
    </row>
    <row r="281" spans="1:29" x14ac:dyDescent="0.25">
      <c r="A281" s="171" t="str">
        <f t="shared" si="96"/>
        <v>Rapsolie</v>
      </c>
      <c r="B281" s="171" t="str">
        <f t="shared" si="97"/>
        <v>Rapsolie</v>
      </c>
      <c r="C281" s="171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71">
        <f t="shared" si="82"/>
        <v>1</v>
      </c>
      <c r="E281" s="171">
        <f t="shared" si="81"/>
        <v>2050</v>
      </c>
      <c r="F281" t="s">
        <v>24</v>
      </c>
      <c r="G281" s="94">
        <f>IF(F281="Vestdanmark",SUMIFS(IF(E281=År1,'Resultater - Vestdanmark'!H$3:H$504,IF(E281=År2,'Resultater - Vestdanmark'!I$3:I$504,'Resultater - Vestdanmark'!J$3:J$504)),'Resultater - Vestdanmark'!$F$3:$F$504,$A281,IF(E281=År1,'Resultater - Vestdanmark'!H$3:H$504,IF(E281=År2,'Resultater - Vestdanmark'!I$3:I$504,'Resultater - Vestdanmark'!J$3:J$504)),"&gt;0"),SUMIFS(IF(E281=År1,'Resultater - Østdanmark'!H$3:H$504,IF(E281=År2,'Resultater - Østdanmark'!I$3:I$504,'Resultater - Østdanmark'!J$3:J$504)),'Resultater - Østdanmark'!$F$3:$F$504,$A281,IF(E281=År1,'Resultater - Østdanmark'!H$3:H$504,IF(E281=År2,'Resultater - Østdanmark'!I$3:I$504,'Resultater - Østdanmark'!J$3:J$504)),"&gt;0"))</f>
        <v>64013.646347353635</v>
      </c>
      <c r="H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forbrug'!H$3,'Forbrug af biomasse'!$B$2:$B$425,$F281)</f>
        <v>0</v>
      </c>
      <c r="I281">
        <f>IF(F281="Vestdanmark",-IF(A281="Halm",SUMIFS(IF(E281=År1,'Resultater - Vestdanmark'!H$3:H$504,IF(E281=År2,'Resultater - Vestdanmark'!I$3:I$504,'Resultater - Vestdanmark'!J$3:J$504)),'Resultater - Vestdanmark'!$F$3:$F$504,$A281,'Resultater - Vestdanmark'!H$3:H$504,"&lt;0"),0),-IF(A281="Halm",SUMIFS(IF(E281=År1,'Resultater - Østdanmark'!H$3:H$504,IF(E281=År2,'Resultater - Østdanmark'!I$3:I$504,'Resultater - Østdanmark'!J$3:J$504)),'Resultater - Østdanmark'!$F$3:$F$504,$A281,'Resultater - Østdanmark'!H$3:H$504,"&lt;0"),0))</f>
        <v>0</v>
      </c>
      <c r="J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forbrug'!J$3,'Forbrug af biomasse'!$B$2:$B$425,$F281)</f>
        <v>0</v>
      </c>
      <c r="K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forbrug'!K$3,'Forbrug af biomasse'!$B$2:$B$425,$F281)</f>
        <v>0</v>
      </c>
      <c r="L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forbrug'!L$3,'Forbrug af biomasse'!$B$2:$B$425,$F281)</f>
        <v>0</v>
      </c>
      <c r="M281" s="94">
        <f>IF(A281&lt;&gt;"Biogas",SUMIFS('Forbrug af biomasse'!$E$2:$E$425,'Forbrug af biomasse'!$C$2:$C$425,'Resultat-Produktion &amp; forbrug'!$A281,'Forbrug af biomasse'!$D$2:$D$425,'Resultat-Produktion &amp; forbrug'!$E281,'Forbrug af biomasse'!$A$2:$A$425,'Resultat-Produktion &amp; forbrug'!M$3,'Forbrug af biomasse'!$B$2:$B$425,$F281),G281)</f>
        <v>64013.646347353635</v>
      </c>
      <c r="N281" s="94">
        <f>SUMIFS('Forbrug af biomasse'!E:E,'Forbrug af biomasse'!C:C,'Resultat-Produktion &amp; forbrug'!$A281,'Forbrug af biomasse'!D:D,'Resultat-Produktion &amp; forbrug'!$E281,'Forbrug af biomasse'!G:G,1,'Forbrug af biomasse'!B:B,$F281)</f>
        <v>0</v>
      </c>
      <c r="O281" s="179">
        <f t="shared" si="69"/>
        <v>0</v>
      </c>
      <c r="P281" s="94">
        <f t="shared" si="98"/>
        <v>0</v>
      </c>
      <c r="Q281" s="180">
        <f t="shared" si="70"/>
        <v>64013.646347353635</v>
      </c>
      <c r="R281">
        <f>IFERROR(VLOOKUP(A281,[1]Energiindhold!$A$2:$C$11,3,FALSE),IFERROR(VLOOKUP(A281,[1]Biogasudbytte!$A$2:$B$18,2,FALSE)*[1]Energiindhold!$C$10,0))*P281</f>
        <v>0</v>
      </c>
      <c r="S281">
        <f>IF(A281&lt;&gt;"Biogas",IFERROR(VLOOKUP(A281,[1]Biogasudbytte!$A$2:$B$18,2,FALSE)*[1]Energiindhold!$C$10,0)*K281*IFERROR(VLOOKUP(A281,Biogasanlæg!$F$3:$G$8,2,FALSE),1)+IFERROR(VLOOKUP(A281,[1]Energiindhold!$A$2:$C$11,3,FALSE),0)*M281+IF(E281&lt;&gt;År1,R281,0),0)</f>
        <v>2.240477622157377</v>
      </c>
      <c r="T281">
        <f>IFERROR(VLOOKUP(A281,[1]Biogasudbytte!$A$2:$B$18,2,FALSE)*[1]Energiindhold!$C$10,0)*K281*IFERROR(VLOOKUP(A281,Biogasanlæg!$F$3:$G$8,2,FALSE),1)</f>
        <v>0</v>
      </c>
      <c r="U281" s="170">
        <f t="shared" si="71"/>
        <v>2.240477622157377</v>
      </c>
      <c r="V281" s="169">
        <f>P281*IFERROR(VLOOKUP(A281,[1]Tørstofindhold!A$2:B$24,2,FALSE),0)</f>
        <v>0</v>
      </c>
      <c r="W281">
        <f>IF(E281=År1,Q281,SUM(P281,Q281))*IFERROR(VLOOKUP(A281,[1]Tørstofindhold!A$2:B$24,2,FALSE),0)</f>
        <v>0</v>
      </c>
      <c r="X281">
        <f>K281*IFERROR(VLOOKUP(A281,[1]Tørstofindhold!A$2:B$24,2,FALSE),0)</f>
        <v>0</v>
      </c>
      <c r="Y281" s="170">
        <f t="shared" si="72"/>
        <v>0</v>
      </c>
      <c r="Z281">
        <f t="shared" si="99"/>
        <v>0</v>
      </c>
      <c r="AA281">
        <f t="shared" si="100"/>
        <v>0</v>
      </c>
      <c r="AB281" s="94">
        <f t="shared" si="86"/>
        <v>64013.646347353635</v>
      </c>
      <c r="AC281">
        <f>AB281*D281*10000*VLOOKUP(A281,[1]kcal!$A$2:$C$49,3,FALSE)/1000000000000</f>
        <v>0.57612281712618274</v>
      </c>
    </row>
    <row r="282" spans="1:29" x14ac:dyDescent="0.25">
      <c r="A282" s="171" t="str">
        <f t="shared" si="96"/>
        <v>Roer</v>
      </c>
      <c r="B282" s="171" t="str">
        <f t="shared" si="97"/>
        <v>Græs og urter</v>
      </c>
      <c r="C282" s="171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1</v>
      </c>
      <c r="D282" s="171">
        <f t="shared" si="82"/>
        <v>1</v>
      </c>
      <c r="E282" s="171">
        <f t="shared" si="81"/>
        <v>2050</v>
      </c>
      <c r="F282" t="s">
        <v>24</v>
      </c>
      <c r="G282" s="94">
        <f>IF(F282="Vestdanmark",SUMIFS(IF(E282=År1,'Resultater - Vestdanmark'!H$3:H$504,IF(E282=År2,'Resultater - Vestdanmark'!I$3:I$504,'Resultater - Vestdanmark'!J$3:J$504)),'Resultater - Vestdanmark'!$F$3:$F$504,$A282,IF(E282=År1,'Resultater - Vestdanmark'!H$3:H$504,IF(E282=År2,'Resultater - Vestdanmark'!I$3:I$504,'Resultater - Vestdanmark'!J$3:J$504)),"&gt;0"),SUMIFS(IF(E282=År1,'Resultater - Østdanmark'!H$3:H$504,IF(E282=År2,'Resultater - Østdanmark'!I$3:I$504,'Resultater - Østdanmark'!J$3:J$504)),'Resultater - Østdanmark'!$F$3:$F$504,$A282,IF(E282=År1,'Resultater - Østdanmark'!H$3:H$504,IF(E282=År2,'Resultater - Østdanmark'!I$3:I$504,'Resultater - Østdanmark'!J$3:J$504)),"&gt;0"))</f>
        <v>2337477.1247217245</v>
      </c>
      <c r="H282" s="94">
        <f ca="1">SUMIFS('Forbrug af biomasse'!$E$2:$E$425,'Forbrug af biomasse'!$C$2:$C$425,'Resultat-Produktion &amp; forbrug'!$A282,'Forbrug af biomasse'!$D$2:$D$425,'Resultat-Produktion &amp; forbrug'!$E282,'Forbrug af biomasse'!$A$2:$A$425,'Resultat-Produktion &amp; forbrug'!H$3,'Forbrug af biomasse'!$B$2:$B$425,$F282)</f>
        <v>94778.655771754129</v>
      </c>
      <c r="I282">
        <f>IF(F282="Vestdanmark",-IF(A282="Halm",SUMIFS(IF(E282=År1,'Resultater - Vestdanmark'!H$3:H$504,IF(E282=År2,'Resultater - Vestdanmark'!I$3:I$504,'Resultater - Vestdanmark'!J$3:J$504)),'Resultater - Vestdanmark'!$F$3:$F$504,$A282,'Resultater - Vestdanmark'!H$3:H$504,"&lt;0"),0),-IF(A282="Halm",SUMIFS(IF(E282=År1,'Resultater - Østdanmark'!H$3:H$504,IF(E282=År2,'Resultater - Østdanmark'!I$3:I$504,'Resultater - Østdanmark'!J$3:J$504)),'Resultater - Østdanmark'!$F$3:$F$504,$A282,'Resultater - Østdanmark'!H$3:H$504,"&lt;0"),0))</f>
        <v>0</v>
      </c>
      <c r="J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forbrug'!J$3,'Forbrug af biomasse'!$B$2:$B$425,$F282)</f>
        <v>0</v>
      </c>
      <c r="K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forbrug'!K$3,'Forbrug af biomasse'!$B$2:$B$425,$F282)</f>
        <v>0</v>
      </c>
      <c r="L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forbrug'!L$3,'Forbrug af biomasse'!$B$2:$B$425,$F282)</f>
        <v>0</v>
      </c>
      <c r="M282" s="94">
        <f>IF(A282&lt;&gt;"Biogas",SUMIFS('Forbrug af biomasse'!$E$2:$E$425,'Forbrug af biomasse'!$C$2:$C$425,'Resultat-Produktion &amp; forbrug'!$A282,'Forbrug af biomasse'!$D$2:$D$425,'Resultat-Produktion &amp; forbrug'!$E282,'Forbrug af biomasse'!$A$2:$A$425,'Resultat-Produktion &amp; forbrug'!M$3,'Forbrug af biomasse'!$B$2:$B$425,$F282),G282)</f>
        <v>0</v>
      </c>
      <c r="N282" s="94">
        <f>SUMIFS('Forbrug af biomasse'!E:E,'Forbrug af biomasse'!C:C,'Resultat-Produktion &amp; forbrug'!$A282,'Forbrug af biomasse'!D:D,'Resultat-Produktion &amp; forbrug'!$E282,'Forbrug af biomasse'!G:G,1,'Forbrug af biomasse'!B:B,$F282)</f>
        <v>0</v>
      </c>
      <c r="O282" s="179">
        <f t="shared" ca="1" si="69"/>
        <v>2242698.4689499703</v>
      </c>
      <c r="P282" s="94">
        <f t="shared" ca="1" si="98"/>
        <v>1830597.0172306281</v>
      </c>
      <c r="Q282" s="180">
        <f t="shared" si="70"/>
        <v>0</v>
      </c>
      <c r="R282">
        <f ca="1">IFERROR(VLOOKUP(A282,[1]Energiindhold!$A$2:$C$11,3,FALSE),IFERROR(VLOOKUP(A282,[1]Biogasudbytte!$A$2:$B$18,2,FALSE)*[1]Energiindhold!$C$10,0))*P282</f>
        <v>4.9683135286446136</v>
      </c>
      <c r="S282">
        <f ca="1">IF(A282&lt;&gt;"Biogas",IFERROR(VLOOKUP(A282,[1]Biogasudbytte!$A$2:$B$18,2,FALSE)*[1]Energiindhold!$C$10,0)*K282*IFERROR(VLOOKUP(A282,Biogasanlæg!$F$3:$G$8,2,FALSE),1)+IFERROR(VLOOKUP(A282,[1]Energiindhold!$A$2:$C$11,3,FALSE),0)*M282+IF(E282&lt;&gt;År1,R282,0),0)</f>
        <v>4.9683135286446136</v>
      </c>
      <c r="T282">
        <f>IFERROR(VLOOKUP(A282,[1]Biogasudbytte!$A$2:$B$18,2,FALSE)*[1]Energiindhold!$C$10,0)*K282*IFERROR(VLOOKUP(A282,Biogasanlæg!$F$3:$G$8,2,FALSE),1)</f>
        <v>0</v>
      </c>
      <c r="U282" s="170">
        <f t="shared" ca="1" si="71"/>
        <v>4.9683135286446136</v>
      </c>
      <c r="V282" s="169">
        <f ca="1">P282*IFERROR(VLOOKUP(A282,[1]Tørstofindhold!A$2:B$24,2,FALSE),0)</f>
        <v>366119.40344612562</v>
      </c>
      <c r="W282">
        <f ca="1">IF(E282=År1,Q282,SUM(P282,Q282))*IFERROR(VLOOKUP(A282,[1]Tørstofindhold!A$2:B$24,2,FALSE),0)</f>
        <v>366119.40344612562</v>
      </c>
      <c r="X282">
        <f>K282*IFERROR(VLOOKUP(A282,[1]Tørstofindhold!A$2:B$24,2,FALSE),0)</f>
        <v>0</v>
      </c>
      <c r="Y282" s="170">
        <f t="shared" ca="1" si="72"/>
        <v>366119.40344612562</v>
      </c>
      <c r="Z282">
        <f t="shared" ca="1" si="99"/>
        <v>0</v>
      </c>
      <c r="AA282">
        <f t="shared" ca="1" si="100"/>
        <v>1</v>
      </c>
      <c r="AB282" s="94">
        <f t="shared" ca="1" si="86"/>
        <v>2242698.4689499703</v>
      </c>
      <c r="AC282">
        <f ca="1">AB282*D282*10000*VLOOKUP(A282,[1]kcal!$A$2:$C$49,3,FALSE)/1000000000000</f>
        <v>0.6728095406849911</v>
      </c>
    </row>
    <row r="283" spans="1:29" x14ac:dyDescent="0.25">
      <c r="A283" s="171" t="str">
        <f t="shared" si="96"/>
        <v>Slagteriaffald til andet</v>
      </c>
      <c r="B283" s="171" t="str">
        <f t="shared" si="97"/>
        <v/>
      </c>
      <c r="C283" s="171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71">
        <f t="shared" si="82"/>
        <v>0</v>
      </c>
      <c r="E283" s="171">
        <f t="shared" ref="E283:E291" si="101">År3</f>
        <v>2050</v>
      </c>
      <c r="F283" t="s">
        <v>24</v>
      </c>
      <c r="G283" s="94">
        <f ca="1">IF(F283="Vestdanmark",SUMIFS(IF(E283=År1,'Resultater - Vestdanmark'!H$3:H$504,IF(E283=År2,'Resultater - Vestdanmark'!I$3:I$504,'Resultater - Vestdanmark'!J$3:J$504)),'Resultater - Vestdanmark'!$F$3:$F$504,$A283,IF(E283=År1,'Resultater - Vestdanmark'!H$3:H$504,IF(E283=År2,'Resultater - Vestdanmark'!I$3:I$504,'Resultater - Vestdanmark'!J$3:J$504)),"&gt;0"),SUMIFS(IF(E283=År1,'Resultater - Østdanmark'!H$3:H$504,IF(E283=År2,'Resultater - Østdanmark'!I$3:I$504,'Resultater - Østdanmark'!J$3:J$504)),'Resultater - Østdanmark'!$F$3:$F$504,$A283,IF(E283=År1,'Resultater - Østdanmark'!H$3:H$504,IF(E283=År2,'Resultater - Østdanmark'!I$3:I$504,'Resultater - Østdanmark'!J$3:J$504)),"&gt;0"))</f>
        <v>20186.20419193256</v>
      </c>
      <c r="H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forbrug'!H$3,'Forbrug af biomasse'!$B$2:$B$425,$F283)</f>
        <v>0</v>
      </c>
      <c r="I283">
        <f>IF(F283="Vestdanmark",-IF(A283="Halm",SUMIFS(IF(E283=År1,'Resultater - Vestdanmark'!H$3:H$504,IF(E283=År2,'Resultater - Vestdanmark'!I$3:I$504,'Resultater - Vestdanmark'!J$3:J$504)),'Resultater - Vestdanmark'!$F$3:$F$504,$A283,'Resultater - Vestdanmark'!H$3:H$504,"&lt;0"),0),-IF(A283="Halm",SUMIFS(IF(E283=År1,'Resultater - Østdanmark'!H$3:H$504,IF(E283=År2,'Resultater - Østdanmark'!I$3:I$504,'Resultater - Østdanmark'!J$3:J$504)),'Resultater - Østdanmark'!$F$3:$F$504,$A283,'Resultater - Østdanmark'!H$3:H$504,"&lt;0"),0))</f>
        <v>0</v>
      </c>
      <c r="J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forbrug'!J$3,'Forbrug af biomasse'!$B$2:$B$425,$F283)</f>
        <v>0</v>
      </c>
      <c r="K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forbrug'!K$3,'Forbrug af biomasse'!$B$2:$B$425,$F283)</f>
        <v>0</v>
      </c>
      <c r="L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forbrug'!L$3,'Forbrug af biomasse'!$B$2:$B$425,$F283)</f>
        <v>0</v>
      </c>
      <c r="M283" s="94">
        <f>IF(A283&lt;&gt;"Biogas",SUMIFS('Forbrug af biomasse'!$E$2:$E$425,'Forbrug af biomasse'!$C$2:$C$425,'Resultat-Produktion &amp; forbrug'!$A283,'Forbrug af biomasse'!$D$2:$D$425,'Resultat-Produktion &amp; forbrug'!$E283,'Forbrug af biomasse'!$A$2:$A$425,'Resultat-Produktion &amp; forbrug'!M$3,'Forbrug af biomasse'!$B$2:$B$425,$F283),G283)</f>
        <v>0</v>
      </c>
      <c r="N283" s="94">
        <f>SUMIFS('Forbrug af biomasse'!E:E,'Forbrug af biomasse'!C:C,'Resultat-Produktion &amp; forbrug'!$A283,'Forbrug af biomasse'!D:D,'Resultat-Produktion &amp; forbrug'!$E283,'Forbrug af biomasse'!G:G,1,'Forbrug af biomasse'!B:B,$F283)</f>
        <v>0</v>
      </c>
      <c r="O283" s="179">
        <f t="shared" ref="O283:O291" ca="1" si="102">G283-SUM(H283:N283)</f>
        <v>20186.20419193256</v>
      </c>
      <c r="P283" s="94">
        <f t="shared" si="98"/>
        <v>0</v>
      </c>
      <c r="Q283" s="180">
        <f t="shared" ref="Q283:Q291" si="103">SUM(K283,M283)</f>
        <v>0</v>
      </c>
      <c r="R283">
        <f>IFERROR(VLOOKUP(A283,[1]Energiindhold!$A$2:$C$11,3,FALSE),IFERROR(VLOOKUP(A283,[1]Biogasudbytte!$A$2:$B$18,2,FALSE)*[1]Energiindhold!$C$10,0))*P283</f>
        <v>0</v>
      </c>
      <c r="S283">
        <f>IF(A283&lt;&gt;"Biogas",IFERROR(VLOOKUP(A283,[1]Biogasudbytte!$A$2:$B$18,2,FALSE)*[1]Energiindhold!$C$10,0)*K283*IFERROR(VLOOKUP(A283,Biogasanlæg!$F$3:$G$8,2,FALSE),1)+IFERROR(VLOOKUP(A283,[1]Energiindhold!$A$2:$C$11,3,FALSE),0)*M283+IF(E283&lt;&gt;År1,R283,0),0)</f>
        <v>0</v>
      </c>
      <c r="T283">
        <f>IFERROR(VLOOKUP(A283,[1]Biogasudbytte!$A$2:$B$18,2,FALSE)*[1]Energiindhold!$C$10,0)*K283*IFERROR(VLOOKUP(A283,Biogasanlæg!$F$3:$G$8,2,FALSE),1)</f>
        <v>0</v>
      </c>
      <c r="U283" s="170">
        <f t="shared" ref="U283:U291" si="104">S283-T283</f>
        <v>0</v>
      </c>
      <c r="V283" s="169">
        <f>P283*IFERROR(VLOOKUP(A283,[1]Tørstofindhold!A$2:B$24,2,FALSE),0)</f>
        <v>0</v>
      </c>
      <c r="W283">
        <f>IF(E283=År1,Q283,SUM(P283,Q283))*IFERROR(VLOOKUP(A283,[1]Tørstofindhold!A$2:B$24,2,FALSE),0)</f>
        <v>0</v>
      </c>
      <c r="X283">
        <f>K283*IFERROR(VLOOKUP(A283,[1]Tørstofindhold!A$2:B$24,2,FALSE),0)</f>
        <v>0</v>
      </c>
      <c r="Y283" s="170">
        <f t="shared" ref="Y283:Y291" si="105">W283-X283</f>
        <v>0</v>
      </c>
      <c r="Z283">
        <f t="shared" ca="1" si="99"/>
        <v>0</v>
      </c>
      <c r="AA283">
        <f t="shared" ca="1" si="100"/>
        <v>1</v>
      </c>
      <c r="AB283" s="94">
        <f t="shared" ca="1" si="86"/>
        <v>20186.20419193256</v>
      </c>
      <c r="AC283">
        <f ca="1">AB283*D283*10000*VLOOKUP(A283,[1]kcal!$A$2:$C$49,3,FALSE)/1000000000000</f>
        <v>0</v>
      </c>
    </row>
    <row r="284" spans="1:29" x14ac:dyDescent="0.25">
      <c r="A284" s="171" t="str">
        <f t="shared" si="96"/>
        <v>Slagteriaffald til foder</v>
      </c>
      <c r="B284" s="171" t="str">
        <f t="shared" si="97"/>
        <v/>
      </c>
      <c r="C284" s="171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0</v>
      </c>
      <c r="D284" s="171">
        <f t="shared" si="82"/>
        <v>0</v>
      </c>
      <c r="E284" s="171">
        <f t="shared" si="101"/>
        <v>2050</v>
      </c>
      <c r="F284" t="s">
        <v>24</v>
      </c>
      <c r="G284" s="94">
        <f ca="1">IF(F284="Vestdanmark",SUMIFS(IF(E284=År1,'Resultater - Vestdanmark'!H$3:H$504,IF(E284=År2,'Resultater - Vestdanmark'!I$3:I$504,'Resultater - Vestdanmark'!J$3:J$504)),'Resultater - Vestdanmark'!$F$3:$F$504,$A284,IF(E284=År1,'Resultater - Vestdanmark'!H$3:H$504,IF(E284=År2,'Resultater - Vestdanmark'!I$3:I$504,'Resultater - Vestdanmark'!J$3:J$504)),"&gt;0"),SUMIFS(IF(E284=År1,'Resultater - Østdanmark'!H$3:H$504,IF(E284=År2,'Resultater - Østdanmark'!I$3:I$504,'Resultater - Østdanmark'!J$3:J$504)),'Resultater - Østdanmark'!$F$3:$F$504,$A284,IF(E284=År1,'Resultater - Østdanmark'!H$3:H$504,IF(E284=År2,'Resultater - Østdanmark'!I$3:I$504,'Resultater - Østdanmark'!J$3:J$504)),"&gt;0"))</f>
        <v>16053.966219959522</v>
      </c>
      <c r="H284" s="94">
        <f ca="1">SUMIFS('Forbrug af biomasse'!$E$2:$E$425,'Forbrug af biomasse'!$C$2:$C$425,'Resultat-Produktion &amp; forbrug'!$A284,'Forbrug af biomasse'!$D$2:$D$425,'Resultat-Produktion &amp; forbrug'!$E284,'Forbrug af biomasse'!$A$2:$A$425,'Resultat-Produktion &amp; forbrug'!H$3,'Forbrug af biomasse'!$B$2:$B$425,$F284)</f>
        <v>4441.1723684315039</v>
      </c>
      <c r="I284">
        <f>IF(F284="Vestdanmark",-IF(A284="Halm",SUMIFS(IF(E284=År1,'Resultater - Vestdanmark'!H$3:H$504,IF(E284=År2,'Resultater - Vestdanmark'!I$3:I$504,'Resultater - Vestdanmark'!J$3:J$504)),'Resultater - Vestdanmark'!$F$3:$F$504,$A284,'Resultater - Vestdanmark'!H$3:H$504,"&lt;0"),0),-IF(A284="Halm",SUMIFS(IF(E284=År1,'Resultater - Østdanmark'!H$3:H$504,IF(E284=År2,'Resultater - Østdanmark'!I$3:I$504,'Resultater - Østdanmark'!J$3:J$504)),'Resultater - Østdanmark'!$F$3:$F$504,$A284,'Resultater - Østdanmark'!H$3:H$504,"&lt;0"),0))</f>
        <v>0</v>
      </c>
      <c r="J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forbrug'!J$3,'Forbrug af biomasse'!$B$2:$B$425,$F284)</f>
        <v>0</v>
      </c>
      <c r="K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forbrug'!K$3,'Forbrug af biomasse'!$B$2:$B$425,$F284)</f>
        <v>0</v>
      </c>
      <c r="L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forbrug'!L$3,'Forbrug af biomasse'!$B$2:$B$425,$F284)</f>
        <v>0</v>
      </c>
      <c r="M284" s="94">
        <f>IF(A284&lt;&gt;"Biogas",SUMIFS('Forbrug af biomasse'!$E$2:$E$425,'Forbrug af biomasse'!$C$2:$C$425,'Resultat-Produktion &amp; forbrug'!$A284,'Forbrug af biomasse'!$D$2:$D$425,'Resultat-Produktion &amp; forbrug'!$E284,'Forbrug af biomasse'!$A$2:$A$425,'Resultat-Produktion &amp; forbrug'!M$3,'Forbrug af biomasse'!$B$2:$B$425,$F284),G284)</f>
        <v>0</v>
      </c>
      <c r="N284" s="94">
        <f>SUMIFS('Forbrug af biomasse'!E:E,'Forbrug af biomasse'!C:C,'Resultat-Produktion &amp; forbrug'!$A284,'Forbrug af biomasse'!D:D,'Resultat-Produktion &amp; forbrug'!$E284,'Forbrug af biomasse'!G:G,1,'Forbrug af biomasse'!B:B,$F284)</f>
        <v>0</v>
      </c>
      <c r="O284" s="179">
        <f t="shared" ca="1" si="102"/>
        <v>11612.793851528018</v>
      </c>
      <c r="P284" s="94">
        <f t="shared" si="98"/>
        <v>0</v>
      </c>
      <c r="Q284" s="180">
        <f t="shared" si="103"/>
        <v>0</v>
      </c>
      <c r="R284">
        <f>IFERROR(VLOOKUP(A284,[1]Energiindhold!$A$2:$C$11,3,FALSE),IFERROR(VLOOKUP(A284,[1]Biogasudbytte!$A$2:$B$18,2,FALSE)*[1]Energiindhold!$C$10,0))*P284</f>
        <v>0</v>
      </c>
      <c r="S284">
        <f>IF(A284&lt;&gt;"Biogas",IFERROR(VLOOKUP(A284,[1]Biogasudbytte!$A$2:$B$18,2,FALSE)*[1]Energiindhold!$C$10,0)*K284*IFERROR(VLOOKUP(A284,Biogasanlæg!$F$3:$G$8,2,FALSE),1)+IFERROR(VLOOKUP(A284,[1]Energiindhold!$A$2:$C$11,3,FALSE),0)*M284+IF(E284&lt;&gt;År1,R284,0),0)</f>
        <v>0</v>
      </c>
      <c r="T284">
        <f>IFERROR(VLOOKUP(A284,[1]Biogasudbytte!$A$2:$B$18,2,FALSE)*[1]Energiindhold!$C$10,0)*K284*IFERROR(VLOOKUP(A284,Biogasanlæg!$F$3:$G$8,2,FALSE),1)</f>
        <v>0</v>
      </c>
      <c r="U284" s="170">
        <f t="shared" si="104"/>
        <v>0</v>
      </c>
      <c r="V284" s="169">
        <f>P284*IFERROR(VLOOKUP(A284,[1]Tørstofindhold!A$2:B$24,2,FALSE),0)</f>
        <v>0</v>
      </c>
      <c r="W284">
        <f>IF(E284=År1,Q284,SUM(P284,Q284))*IFERROR(VLOOKUP(A284,[1]Tørstofindhold!A$2:B$24,2,FALSE),0)</f>
        <v>0</v>
      </c>
      <c r="X284">
        <f>K284*IFERROR(VLOOKUP(A284,[1]Tørstofindhold!A$2:B$24,2,FALSE),0)</f>
        <v>0</v>
      </c>
      <c r="Y284" s="170">
        <f t="shared" si="105"/>
        <v>0</v>
      </c>
      <c r="Z284">
        <f t="shared" ca="1" si="99"/>
        <v>0</v>
      </c>
      <c r="AA284">
        <f t="shared" ca="1" si="100"/>
        <v>1</v>
      </c>
      <c r="AB284" s="94">
        <f t="shared" ca="1" si="86"/>
        <v>11612.793851528018</v>
      </c>
      <c r="AC284">
        <f ca="1">AB284*D284*10000*VLOOKUP(A284,[1]kcal!$A$2:$C$49,3,FALSE)/1000000000000</f>
        <v>0</v>
      </c>
    </row>
    <row r="285" spans="1:29" x14ac:dyDescent="0.25">
      <c r="A285" s="171" t="str">
        <f t="shared" si="96"/>
        <v>Spildevandsslam</v>
      </c>
      <c r="B285" s="171" t="str">
        <f t="shared" si="97"/>
        <v>Bionedbrydeligt affald</v>
      </c>
      <c r="C285" s="171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71">
        <f t="shared" si="82"/>
        <v>0</v>
      </c>
      <c r="E285" s="171">
        <f t="shared" si="101"/>
        <v>2050</v>
      </c>
      <c r="F285" t="s">
        <v>24</v>
      </c>
      <c r="G285" s="94">
        <f ca="1">IF(F285="Vestdanmark",SUMIFS(IF(E285=År1,'Resultater - Vestdanmark'!H$3:H$504,IF(E285=År2,'Resultater - Vestdanmark'!I$3:I$504,'Resultater - Vestdanmark'!J$3:J$504)),'Resultater - Vestdanmark'!$F$3:$F$504,$A285,IF(E285=År1,'Resultater - Vestdanmark'!H$3:H$504,IF(E285=År2,'Resultater - Vestdanmark'!I$3:I$504,'Resultater - Vestdanmark'!J$3:J$504)),"&gt;0"),SUMIFS(IF(E285=År1,'Resultater - Østdanmark'!H$3:H$504,IF(E285=År2,'Resultater - Østdanmark'!I$3:I$504,'Resultater - Østdanmark'!J$3:J$504)),'Resultater - Østdanmark'!$F$3:$F$504,$A285,IF(E285=År1,'Resultater - Østdanmark'!H$3:H$504,IF(E285=År2,'Resultater - Østdanmark'!I$3:I$504,'Resultater - Østdanmark'!J$3:J$504)),"&gt;0"))</f>
        <v>3500281.4918378997</v>
      </c>
      <c r="H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forbrug'!H$3,'Forbrug af biomasse'!$B$2:$B$425,$F285)</f>
        <v>0</v>
      </c>
      <c r="I285">
        <f>IF(F285="Vestdanmark",-IF(A285="Halm",SUMIFS(IF(E285=År1,'Resultater - Vestdanmark'!H$3:H$504,IF(E285=År2,'Resultater - Vestdanmark'!I$3:I$504,'Resultater - Vestdanmark'!J$3:J$504)),'Resultater - Vestdanmark'!$F$3:$F$504,$A285,'Resultater - Vestdanmark'!H$3:H$504,"&lt;0"),0),-IF(A285="Halm",SUMIFS(IF(E285=År1,'Resultater - Østdanmark'!H$3:H$504,IF(E285=År2,'Resultater - Østdanmark'!I$3:I$504,'Resultater - Østdanmark'!J$3:J$504)),'Resultater - Østdanmark'!$F$3:$F$504,$A285,'Resultater - Østdanmark'!H$3:H$504,"&lt;0"),0))</f>
        <v>0</v>
      </c>
      <c r="J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forbrug'!J$3,'Forbrug af biomasse'!$B$2:$B$425,$F285)</f>
        <v>0</v>
      </c>
      <c r="K285" s="94">
        <f ca="1">SUMIFS('Forbrug af biomasse'!$E$2:$E$425,'Forbrug af biomasse'!$C$2:$C$425,'Resultat-Produktion &amp; forbrug'!$A285,'Forbrug af biomasse'!$D$2:$D$425,'Resultat-Produktion &amp; forbrug'!$E285,'Forbrug af biomasse'!$A$2:$A$425,'Resultat-Produktion &amp; forbrug'!K$3,'Forbrug af biomasse'!$B$2:$B$425,$F285)</f>
        <v>3150253.3426541099</v>
      </c>
      <c r="L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forbrug'!L$3,'Forbrug af biomasse'!$B$2:$B$425,$F285)</f>
        <v>0</v>
      </c>
      <c r="M285" s="94">
        <f>IF(A285&lt;&gt;"Biogas",SUMIFS('Forbrug af biomasse'!$E$2:$E$425,'Forbrug af biomasse'!$C$2:$C$425,'Resultat-Produktion &amp; forbrug'!$A285,'Forbrug af biomasse'!$D$2:$D$425,'Resultat-Produktion &amp; forbrug'!$E285,'Forbrug af biomasse'!$A$2:$A$425,'Resultat-Produktion &amp; forbrug'!M$3,'Forbrug af biomasse'!$B$2:$B$425,$F285),G285)</f>
        <v>0</v>
      </c>
      <c r="N285" s="94">
        <f>SUMIFS('Forbrug af biomasse'!E:E,'Forbrug af biomasse'!C:C,'Resultat-Produktion &amp; forbrug'!$A285,'Forbrug af biomasse'!D:D,'Resultat-Produktion &amp; forbrug'!$E285,'Forbrug af biomasse'!G:G,1,'Forbrug af biomasse'!B:B,$F285)</f>
        <v>0</v>
      </c>
      <c r="O285" s="179">
        <f t="shared" ca="1" si="102"/>
        <v>350028.14918378973</v>
      </c>
      <c r="P285" s="94">
        <f t="shared" ca="1" si="98"/>
        <v>350028.14918378973</v>
      </c>
      <c r="Q285" s="180">
        <f t="shared" ca="1" si="103"/>
        <v>3150253.3426541099</v>
      </c>
      <c r="R285">
        <f ca="1">IFERROR(VLOOKUP(A285,[1]Energiindhold!$A$2:$C$11,3,FALSE),IFERROR(VLOOKUP(A285,[1]Biogasudbytte!$A$2:$B$18,2,FALSE)*[1]Energiindhold!$C$10,0))*P285</f>
        <v>0.17466754672420293</v>
      </c>
      <c r="S285">
        <f ca="1">IF(A285&lt;&gt;"Biogas",IFERROR(VLOOKUP(A285,[1]Biogasudbytte!$A$2:$B$18,2,FALSE)*[1]Energiindhold!$C$10,0)*K285*IFERROR(VLOOKUP(A285,Biogasanlæg!$F$3:$G$8,2,FALSE),1)+IFERROR(VLOOKUP(A285,[1]Energiindhold!$A$2:$C$11,3,FALSE),0)*M285+IF(E285&lt;&gt;År1,R285,0),0)</f>
        <v>1.7466754672420306</v>
      </c>
      <c r="T285">
        <f ca="1">IFERROR(VLOOKUP(A285,[1]Biogasudbytte!$A$2:$B$18,2,FALSE)*[1]Energiindhold!$C$10,0)*K285*IFERROR(VLOOKUP(A285,Biogasanlæg!$F$3:$G$8,2,FALSE),1)</f>
        <v>1.5720079205178277</v>
      </c>
      <c r="U285" s="170">
        <f t="shared" ca="1" si="104"/>
        <v>0.17466754672420293</v>
      </c>
      <c r="V285" s="169">
        <f ca="1">P285*IFERROR(VLOOKUP(A285,[1]Tørstofindhold!A$2:B$24,2,FALSE),0)</f>
        <v>21001.688951027383</v>
      </c>
      <c r="W285">
        <f ca="1">IF(E285=År1,Q285,SUM(P285,Q285))*IFERROR(VLOOKUP(A285,[1]Tørstofindhold!A$2:B$24,2,FALSE),0)</f>
        <v>210016.88951027396</v>
      </c>
      <c r="X285">
        <f ca="1">K285*IFERROR(VLOOKUP(A285,[1]Tørstofindhold!A$2:B$24,2,FALSE),0)</f>
        <v>189015.20055924659</v>
      </c>
      <c r="Y285" s="170">
        <f t="shared" ca="1" si="105"/>
        <v>21001.688951027376</v>
      </c>
      <c r="Z285">
        <f t="shared" ca="1" si="99"/>
        <v>0</v>
      </c>
      <c r="AA285">
        <f t="shared" ca="1" si="100"/>
        <v>1</v>
      </c>
      <c r="AB285" s="94">
        <f t="shared" ca="1" si="86"/>
        <v>350028.14918378973</v>
      </c>
      <c r="AC285">
        <f ca="1">AB285*D285*10000*VLOOKUP(A285,[1]kcal!$A$2:$C$49,3,FALSE)/1000000000000</f>
        <v>0</v>
      </c>
    </row>
    <row r="286" spans="1:29" x14ac:dyDescent="0.25">
      <c r="A286" s="171" t="str">
        <f t="shared" si="96"/>
        <v>Svinegylle</v>
      </c>
      <c r="B286" s="171" t="str">
        <f t="shared" si="97"/>
        <v>Husdyrgødning</v>
      </c>
      <c r="C286" s="171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1</v>
      </c>
      <c r="D286" s="171">
        <f t="shared" si="82"/>
        <v>0</v>
      </c>
      <c r="E286" s="171">
        <f t="shared" si="101"/>
        <v>2050</v>
      </c>
      <c r="F286" t="s">
        <v>24</v>
      </c>
      <c r="G286" s="94">
        <f>IF(F286="Vestdanmark",SUMIFS(IF(E286=År1,'Resultater - Vestdanmark'!H$3:H$504,IF(E286=År2,'Resultater - Vestdanmark'!I$3:I$504,'Resultater - Vestdanmark'!J$3:J$504)),'Resultater - Vestdanmark'!$F$3:$F$504,$A286,IF(E286=År1,'Resultater - Vestdanmark'!H$3:H$504,IF(E286=År2,'Resultater - Vestdanmark'!I$3:I$504,'Resultater - Vestdanmark'!J$3:J$504)),"&gt;0"),SUMIFS(IF(E286=År1,'Resultater - Østdanmark'!H$3:H$504,IF(E286=År2,'Resultater - Østdanmark'!I$3:I$504,'Resultater - Østdanmark'!J$3:J$504)),'Resultater - Østdanmark'!$F$3:$F$504,$A286,IF(E286=År1,'Resultater - Østdanmark'!H$3:H$504,IF(E286=År2,'Resultater - Østdanmark'!I$3:I$504,'Resultater - Østdanmark'!J$3:J$504)),"&gt;0"))</f>
        <v>1882077.697473543</v>
      </c>
      <c r="H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forbrug'!H$3,'Forbrug af biomasse'!$B$2:$B$425,$F286)</f>
        <v>0</v>
      </c>
      <c r="I286">
        <f>IF(F286="Vestdanmark",-IF(A286="Halm",SUMIFS(IF(E286=År1,'Resultater - Vestdanmark'!H$3:H$504,IF(E286=År2,'Resultater - Vestdanmark'!I$3:I$504,'Resultater - Vestdanmark'!J$3:J$504)),'Resultater - Vestdanmark'!$F$3:$F$504,$A286,'Resultater - Vestdanmark'!H$3:H$504,"&lt;0"),0),-IF(A286="Halm",SUMIFS(IF(E286=År1,'Resultater - Østdanmark'!H$3:H$504,IF(E286=År2,'Resultater - Østdanmark'!I$3:I$504,'Resultater - Østdanmark'!J$3:J$504)),'Resultater - Østdanmark'!$F$3:$F$504,$A286,'Resultater - Østdanmark'!H$3:H$504,"&lt;0"),0))</f>
        <v>0</v>
      </c>
      <c r="J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forbrug'!J$3,'Forbrug af biomasse'!$B$2:$B$425,$F286)</f>
        <v>0</v>
      </c>
      <c r="K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forbrug'!K$3,'Forbrug af biomasse'!$B$2:$B$425,$F286)</f>
        <v>1693869.9277261887</v>
      </c>
      <c r="L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forbrug'!L$3,'Forbrug af biomasse'!$B$2:$B$425,$F286)</f>
        <v>188207.76974735426</v>
      </c>
      <c r="M286" s="94">
        <f>IF(A286&lt;&gt;"Biogas",SUMIFS('Forbrug af biomasse'!$E$2:$E$425,'Forbrug af biomasse'!$C$2:$C$425,'Resultat-Produktion &amp; forbrug'!$A286,'Forbrug af biomasse'!$D$2:$D$425,'Resultat-Produktion &amp; forbrug'!$E286,'Forbrug af biomasse'!$A$2:$A$425,'Resultat-Produktion &amp; forbrug'!M$3,'Forbrug af biomasse'!$B$2:$B$425,$F286),G286)</f>
        <v>0</v>
      </c>
      <c r="N286" s="94">
        <f>SUMIFS('Forbrug af biomasse'!E:E,'Forbrug af biomasse'!C:C,'Resultat-Produktion &amp; forbrug'!$A286,'Forbrug af biomasse'!D:D,'Resultat-Produktion &amp; forbrug'!$E286,'Forbrug af biomasse'!G:G,1,'Forbrug af biomasse'!B:B,$F286)</f>
        <v>0</v>
      </c>
      <c r="O286" s="179">
        <f t="shared" si="102"/>
        <v>0</v>
      </c>
      <c r="P286" s="94">
        <f t="shared" si="98"/>
        <v>0</v>
      </c>
      <c r="Q286" s="180">
        <f t="shared" si="103"/>
        <v>1693869.9277261887</v>
      </c>
      <c r="R286">
        <f>IFERROR(VLOOKUP(A286,[1]Energiindhold!$A$2:$C$11,3,FALSE),IFERROR(VLOOKUP(A286,[1]Biogasudbytte!$A$2:$B$18,2,FALSE)*[1]Energiindhold!$C$10,0))*P286</f>
        <v>0</v>
      </c>
      <c r="S286">
        <f>IF(A286&lt;&gt;"Biogas",IFERROR(VLOOKUP(A286,[1]Biogasudbytte!$A$2:$B$18,2,FALSE)*[1]Energiindhold!$C$10,0)*K286*IFERROR(VLOOKUP(A286,Biogasanlæg!$F$3:$G$8,2,FALSE),1)+IFERROR(VLOOKUP(A286,[1]Energiindhold!$A$2:$C$11,3,FALSE),0)*M286+IF(E286&lt;&gt;År1,R286,0),0)</f>
        <v>0.72971916486444222</v>
      </c>
      <c r="T286">
        <f>IFERROR(VLOOKUP(A286,[1]Biogasudbytte!$A$2:$B$18,2,FALSE)*[1]Energiindhold!$C$10,0)*K286*IFERROR(VLOOKUP(A286,Biogasanlæg!$F$3:$G$8,2,FALSE),1)</f>
        <v>0.72971916486444222</v>
      </c>
      <c r="U286" s="170">
        <f t="shared" si="104"/>
        <v>0</v>
      </c>
      <c r="V286" s="169">
        <f>P286*IFERROR(VLOOKUP(A286,[1]Tørstofindhold!A$2:B$24,2,FALSE),0)</f>
        <v>0</v>
      </c>
      <c r="W286">
        <f>IF(E286=År1,Q286,SUM(P286,Q286))*IFERROR(VLOOKUP(A286,[1]Tørstofindhold!A$2:B$24,2,FALSE),0)</f>
        <v>84693.496386309445</v>
      </c>
      <c r="X286">
        <f>K286*IFERROR(VLOOKUP(A286,[1]Tørstofindhold!A$2:B$24,2,FALSE),0)</f>
        <v>84693.496386309445</v>
      </c>
      <c r="Y286" s="170">
        <f t="shared" si="105"/>
        <v>0</v>
      </c>
      <c r="Z286">
        <f t="shared" si="99"/>
        <v>0</v>
      </c>
      <c r="AA286">
        <f t="shared" si="100"/>
        <v>0</v>
      </c>
      <c r="AB286" s="94">
        <f t="shared" si="86"/>
        <v>0</v>
      </c>
      <c r="AC286">
        <f>AB286*D286*10000*VLOOKUP(A286,[1]kcal!$A$2:$C$49,3,FALSE)/1000000000000</f>
        <v>0</v>
      </c>
    </row>
    <row r="287" spans="1:29" x14ac:dyDescent="0.25">
      <c r="A287" s="171" t="str">
        <f t="shared" si="96"/>
        <v>Svinekød</v>
      </c>
      <c r="B287" s="171" t="str">
        <f t="shared" si="97"/>
        <v/>
      </c>
      <c r="C287" s="171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0</v>
      </c>
      <c r="D287" s="171">
        <f t="shared" si="82"/>
        <v>1</v>
      </c>
      <c r="E287" s="171">
        <f t="shared" si="101"/>
        <v>2050</v>
      </c>
      <c r="F287" t="s">
        <v>24</v>
      </c>
      <c r="G287" s="94">
        <f>IF(F287="Vestdanmark",SUMIFS(IF(E287=År1,'Resultater - Vestdanmark'!H$3:H$504,IF(E287=År2,'Resultater - Vestdanmark'!I$3:I$504,'Resultater - Vestdanmark'!J$3:J$504)),'Resultater - Vestdanmark'!$F$3:$F$504,$A287,IF(E287=År1,'Resultater - Vestdanmark'!H$3:H$504,IF(E287=År2,'Resultater - Vestdanmark'!I$3:I$504,'Resultater - Vestdanmark'!J$3:J$504)),"&gt;0"),SUMIFS(IF(E287=År1,'Resultater - Østdanmark'!H$3:H$504,IF(E287=År2,'Resultater - Østdanmark'!I$3:I$504,'Resultater - Østdanmark'!J$3:J$504)),'Resultater - Østdanmark'!$F$3:$F$504,$A287,IF(E287=År1,'Resultater - Østdanmark'!H$3:H$504,IF(E287=År2,'Resultater - Østdanmark'!I$3:I$504,'Resultater - Østdanmark'!J$3:J$504)),"&gt;0"))</f>
        <v>174765.59603194657</v>
      </c>
      <c r="H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forbrug'!H$3,'Forbrug af biomasse'!$B$2:$B$425,$F287)</f>
        <v>0</v>
      </c>
      <c r="I287">
        <f>IF(F287="Vestdanmark",-IF(A287="Halm",SUMIFS(IF(E287=År1,'Resultater - Vestdanmark'!H$3:H$504,IF(E287=År2,'Resultater - Vestdanmark'!I$3:I$504,'Resultater - Vestdanmark'!J$3:J$504)),'Resultater - Vestdanmark'!$F$3:$F$504,$A287,'Resultater - Vestdanmark'!H$3:H$504,"&lt;0"),0),-IF(A287="Halm",SUMIFS(IF(E287=År1,'Resultater - Østdanmark'!H$3:H$504,IF(E287=År2,'Resultater - Østdanmark'!I$3:I$504,'Resultater - Østdanmark'!J$3:J$504)),'Resultater - Østdanmark'!$F$3:$F$504,$A287,'Resultater - Østdanmark'!H$3:H$504,"&lt;0"),0))</f>
        <v>0</v>
      </c>
      <c r="J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forbrug'!J$3,'Forbrug af biomasse'!$B$2:$B$425,$F287)</f>
        <v>110474.29755686472</v>
      </c>
      <c r="K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forbrug'!K$3,'Forbrug af biomasse'!$B$2:$B$425,$F287)</f>
        <v>0</v>
      </c>
      <c r="L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forbrug'!L$3,'Forbrug af biomasse'!$B$2:$B$425,$F287)</f>
        <v>0</v>
      </c>
      <c r="M287" s="94">
        <f>IF(A287&lt;&gt;"Biogas",SUMIFS('Forbrug af biomasse'!$E$2:$E$425,'Forbrug af biomasse'!$C$2:$C$425,'Resultat-Produktion &amp; forbrug'!$A287,'Forbrug af biomasse'!$D$2:$D$425,'Resultat-Produktion &amp; forbrug'!$E287,'Forbrug af biomasse'!$A$2:$A$425,'Resultat-Produktion &amp; forbrug'!M$3,'Forbrug af biomasse'!$B$2:$B$425,$F287),G287)</f>
        <v>0</v>
      </c>
      <c r="N287" s="94">
        <f>SUMIFS('Forbrug af biomasse'!E:E,'Forbrug af biomasse'!C:C,'Resultat-Produktion &amp; forbrug'!$A287,'Forbrug af biomasse'!D:D,'Resultat-Produktion &amp; forbrug'!$E287,'Forbrug af biomasse'!G:G,1,'Forbrug af biomasse'!B:B,$F287)</f>
        <v>0</v>
      </c>
      <c r="O287" s="179">
        <f t="shared" si="102"/>
        <v>64291.298475081843</v>
      </c>
      <c r="P287" s="94">
        <f t="shared" si="98"/>
        <v>0</v>
      </c>
      <c r="Q287" s="180">
        <f t="shared" si="103"/>
        <v>0</v>
      </c>
      <c r="R287">
        <f>IFERROR(VLOOKUP(A287,[1]Energiindhold!$A$2:$C$11,3,FALSE),IFERROR(VLOOKUP(A287,[1]Biogasudbytte!$A$2:$B$18,2,FALSE)*[1]Energiindhold!$C$10,0))*P287</f>
        <v>0</v>
      </c>
      <c r="S287">
        <f>IF(A287&lt;&gt;"Biogas",IFERROR(VLOOKUP(A287,[1]Biogasudbytte!$A$2:$B$18,2,FALSE)*[1]Energiindhold!$C$10,0)*K287*IFERROR(VLOOKUP(A287,Biogasanlæg!$F$3:$G$8,2,FALSE),1)+IFERROR(VLOOKUP(A287,[1]Energiindhold!$A$2:$C$11,3,FALSE),0)*M287+IF(E287&lt;&gt;År1,R287,0),0)</f>
        <v>0</v>
      </c>
      <c r="T287">
        <f>IFERROR(VLOOKUP(A287,[1]Biogasudbytte!$A$2:$B$18,2,FALSE)*[1]Energiindhold!$C$10,0)*K287*IFERROR(VLOOKUP(A287,Biogasanlæg!$F$3:$G$8,2,FALSE),1)</f>
        <v>0</v>
      </c>
      <c r="U287" s="170">
        <f t="shared" si="104"/>
        <v>0</v>
      </c>
      <c r="V287" s="169">
        <f>P287*IFERROR(VLOOKUP(A287,[1]Tørstofindhold!A$2:B$24,2,FALSE),0)</f>
        <v>0</v>
      </c>
      <c r="W287">
        <f>IF(E287=År1,Q287,SUM(P287,Q287))*IFERROR(VLOOKUP(A287,[1]Tørstofindhold!A$2:B$24,2,FALSE),0)</f>
        <v>0</v>
      </c>
      <c r="X287">
        <f>K287*IFERROR(VLOOKUP(A287,[1]Tørstofindhold!A$2:B$24,2,FALSE),0)</f>
        <v>0</v>
      </c>
      <c r="Y287" s="170">
        <f t="shared" si="105"/>
        <v>0</v>
      </c>
      <c r="Z287">
        <f t="shared" si="99"/>
        <v>0</v>
      </c>
      <c r="AA287">
        <f t="shared" si="100"/>
        <v>1</v>
      </c>
      <c r="AB287" s="94">
        <f t="shared" si="86"/>
        <v>174765.59603194657</v>
      </c>
      <c r="AC287">
        <f>AB287*D287*10000*VLOOKUP(A287,[1]kcal!$A$2:$C$49,3,FALSE)/1000000000000</f>
        <v>0.3407929122622958</v>
      </c>
    </row>
    <row r="288" spans="1:29" x14ac:dyDescent="0.25">
      <c r="A288" s="171" t="str">
        <f t="shared" si="96"/>
        <v>Tang</v>
      </c>
      <c r="B288" s="171" t="str">
        <f t="shared" si="97"/>
        <v>Havbiomasse</v>
      </c>
      <c r="C288" s="171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71">
        <f t="shared" si="82"/>
        <v>1</v>
      </c>
      <c r="E288" s="171">
        <f t="shared" si="101"/>
        <v>2050</v>
      </c>
      <c r="F288" t="s">
        <v>24</v>
      </c>
      <c r="G288" s="94">
        <f>IF(F288="Vestdanmark",SUMIFS(IF(E288=År1,'Resultater - Vestdanmark'!H$3:H$504,IF(E288=År2,'Resultater - Vestdanmark'!I$3:I$504,'Resultater - Vestdanmark'!J$3:J$504)),'Resultater - Vestdanmark'!$F$3:$F$504,$A288,IF(E288=År1,'Resultater - Vestdanmark'!H$3:H$504,IF(E288=År2,'Resultater - Vestdanmark'!I$3:I$504,'Resultater - Vestdanmark'!J$3:J$504)),"&gt;0"),SUMIFS(IF(E288=År1,'Resultater - Østdanmark'!H$3:H$504,IF(E288=År2,'Resultater - Østdanmark'!I$3:I$504,'Resultater - Østdanmark'!J$3:J$504)),'Resultater - Østdanmark'!$F$3:$F$504,$A288,IF(E288=År1,'Resultater - Østdanmark'!H$3:H$504,IF(E288=År2,'Resultater - Østdanmark'!I$3:I$504,'Resultater - Østdanmark'!J$3:J$504)),"&gt;0"))</f>
        <v>0</v>
      </c>
      <c r="H288" s="94">
        <f ca="1">SUMIFS('Forbrug af biomasse'!$E$2:$E$425,'Forbrug af biomasse'!$C$2:$C$425,'Resultat-Produktion &amp; forbrug'!$A288,'Forbrug af biomasse'!$D$2:$D$425,'Resultat-Produktion &amp; forbrug'!$E288,'Forbrug af biomasse'!$A$2:$A$425,'Resultat-Produktion &amp; forbrug'!H$3,'Forbrug af biomasse'!$B$2:$B$425,$F288)</f>
        <v>0</v>
      </c>
      <c r="I288">
        <f>IF(F288="Vestdanmark",-IF(A288="Halm",SUMIFS(IF(E288=År1,'Resultater - Vestdanmark'!H$3:H$504,IF(E288=År2,'Resultater - Vestdanmark'!I$3:I$504,'Resultater - Vestdanmark'!J$3:J$504)),'Resultater - Vestdanmark'!$F$3:$F$504,$A288,'Resultater - Vestdanmark'!H$3:H$504,"&lt;0"),0),-IF(A288="Halm",SUMIFS(IF(E288=År1,'Resultater - Østdanmark'!H$3:H$504,IF(E288=År2,'Resultater - Østdanmark'!I$3:I$504,'Resultater - Østdanmark'!J$3:J$504)),'Resultater - Østdanmark'!$F$3:$F$504,$A288,'Resultater - Østdanmark'!H$3:H$504,"&lt;0"),0))</f>
        <v>0</v>
      </c>
      <c r="J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forbrug'!J$3,'Forbrug af biomasse'!$B$2:$B$425,$F288)</f>
        <v>0</v>
      </c>
      <c r="K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forbrug'!K$3,'Forbrug af biomasse'!$B$2:$B$425,$F288)</f>
        <v>0</v>
      </c>
      <c r="L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forbrug'!L$3,'Forbrug af biomasse'!$B$2:$B$425,$F288)</f>
        <v>0</v>
      </c>
      <c r="M288" s="94">
        <f>IF(A288&lt;&gt;"Biogas",SUMIFS('Forbrug af biomasse'!$E$2:$E$425,'Forbrug af biomasse'!$C$2:$C$425,'Resultat-Produktion &amp; forbrug'!$A288,'Forbrug af biomasse'!$D$2:$D$425,'Resultat-Produktion &amp; forbrug'!$E288,'Forbrug af biomasse'!$A$2:$A$425,'Resultat-Produktion &amp; forbrug'!M$3,'Forbrug af biomasse'!$B$2:$B$425,$F288),G288)</f>
        <v>0</v>
      </c>
      <c r="N288" s="94">
        <f>SUMIFS('Forbrug af biomasse'!E:E,'Forbrug af biomasse'!C:C,'Resultat-Produktion &amp; forbrug'!$A288,'Forbrug af biomasse'!D:D,'Resultat-Produktion &amp; forbrug'!$E288,'Forbrug af biomasse'!G:G,1,'Forbrug af biomasse'!B:B,$F288)</f>
        <v>0</v>
      </c>
      <c r="O288" s="179">
        <f t="shared" ca="1" si="102"/>
        <v>0</v>
      </c>
      <c r="P288" s="94">
        <f t="shared" ca="1" si="98"/>
        <v>0</v>
      </c>
      <c r="Q288" s="180">
        <f t="shared" si="103"/>
        <v>0</v>
      </c>
      <c r="R288">
        <f ca="1">IFERROR(VLOOKUP(A288,[1]Energiindhold!$A$2:$C$11,3,FALSE),IFERROR(VLOOKUP(A288,[1]Biogasudbytte!$A$2:$B$18,2,FALSE)*[1]Energiindhold!$C$10,0))*P288</f>
        <v>0</v>
      </c>
      <c r="S288">
        <f ca="1">IF(A288&lt;&gt;"Biogas",IFERROR(VLOOKUP(A288,[1]Biogasudbytte!$A$2:$B$18,2,FALSE)*[1]Energiindhold!$C$10,0)*K288*IFERROR(VLOOKUP(A288,Biogasanlæg!$F$3:$G$8,2,FALSE),1)+IFERROR(VLOOKUP(A288,[1]Energiindhold!$A$2:$C$11,3,FALSE),0)*M288+IF(E288&lt;&gt;År1,R288,0),0)</f>
        <v>0</v>
      </c>
      <c r="T288">
        <f>IFERROR(VLOOKUP(A288,[1]Biogasudbytte!$A$2:$B$18,2,FALSE)*[1]Energiindhold!$C$10,0)*K288*IFERROR(VLOOKUP(A288,Biogasanlæg!$F$3:$G$8,2,FALSE),1)</f>
        <v>0</v>
      </c>
      <c r="U288" s="170">
        <f t="shared" ca="1" si="104"/>
        <v>0</v>
      </c>
      <c r="V288" s="169">
        <f ca="1">P288*IFERROR(VLOOKUP(A288,[1]Tørstofindhold!A$2:B$24,2,FALSE),0)</f>
        <v>0</v>
      </c>
      <c r="W288">
        <f ca="1">IF(E288=År1,Q288,SUM(P288,Q288))*IFERROR(VLOOKUP(A288,[1]Tørstofindhold!A$2:B$24,2,FALSE),0)</f>
        <v>0</v>
      </c>
      <c r="X288">
        <f>K288*IFERROR(VLOOKUP(A288,[1]Tørstofindhold!A$2:B$24,2,FALSE),0)</f>
        <v>0</v>
      </c>
      <c r="Y288" s="170">
        <f t="shared" ca="1" si="105"/>
        <v>0</v>
      </c>
      <c r="Z288">
        <f t="shared" ca="1" si="99"/>
        <v>0</v>
      </c>
      <c r="AA288">
        <f t="shared" ca="1" si="100"/>
        <v>1</v>
      </c>
      <c r="AB288" s="94">
        <f t="shared" ca="1" si="86"/>
        <v>0</v>
      </c>
      <c r="AC288">
        <f ca="1">AB288*D288*10000*VLOOKUP(A288,[1]kcal!$A$2:$C$49,3,FALSE)/1000000000000</f>
        <v>0</v>
      </c>
    </row>
    <row r="289" spans="1:29" x14ac:dyDescent="0.25">
      <c r="A289" s="171" t="str">
        <f t="shared" si="96"/>
        <v>Total til biogas</v>
      </c>
      <c r="B289" s="171" t="str">
        <f t="shared" si="97"/>
        <v/>
      </c>
      <c r="C289" s="171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71">
        <f t="shared" si="82"/>
        <v>0</v>
      </c>
      <c r="E289" s="171">
        <f t="shared" si="101"/>
        <v>2050</v>
      </c>
      <c r="F289" t="s">
        <v>24</v>
      </c>
      <c r="G289" s="94">
        <f>IF(F289="Vestdanmark",SUMIFS(IF(E289=År1,'Resultater - Vestdanmark'!H$3:H$504,IF(E289=År2,'Resultater - Vestdanmark'!I$3:I$504,'Resultater - Vestdanmark'!J$3:J$504)),'Resultater - Vestdanmark'!$F$3:$F$504,$A289,IF(E289=År1,'Resultater - Vestdanmark'!H$3:H$504,IF(E289=År2,'Resultater - Vestdanmark'!I$3:I$504,'Resultater - Vestdanmark'!J$3:J$504)),"&gt;0"),SUMIFS(IF(E289=År1,'Resultater - Østdanmark'!H$3:H$504,IF(E289=År2,'Resultater - Østdanmark'!I$3:I$504,'Resultater - Østdanmark'!J$3:J$504)),'Resultater - Østdanmark'!$F$3:$F$504,$A289,IF(E289=År1,'Resultater - Østdanmark'!H$3:H$504,IF(E289=År2,'Resultater - Østdanmark'!I$3:I$504,'Resultater - Østdanmark'!J$3:J$504)),"&gt;0"))</f>
        <v>0</v>
      </c>
      <c r="H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forbrug'!H$3,'Forbrug af biomasse'!$B$2:$B$425,$F289)</f>
        <v>0</v>
      </c>
      <c r="I289">
        <f>IF(F289="Vestdanmark",-IF(A289="Halm",SUMIFS(IF(E289=År1,'Resultater - Vestdanmark'!H$3:H$504,IF(E289=År2,'Resultater - Vestdanmark'!I$3:I$504,'Resultater - Vestdanmark'!J$3:J$504)),'Resultater - Vestdanmark'!$F$3:$F$504,$A289,'Resultater - Vestdanmark'!H$3:H$504,"&lt;0"),0),-IF(A289="Halm",SUMIFS(IF(E289=År1,'Resultater - Østdanmark'!H$3:H$504,IF(E289=År2,'Resultater - Østdanmark'!I$3:I$504,'Resultater - Østdanmark'!J$3:J$504)),'Resultater - Østdanmark'!$F$3:$F$504,$A289,'Resultater - Østdanmark'!H$3:H$504,"&lt;0"),0))</f>
        <v>0</v>
      </c>
      <c r="J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forbrug'!J$3,'Forbrug af biomasse'!$B$2:$B$425,$F289)</f>
        <v>0</v>
      </c>
      <c r="K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forbrug'!K$3,'Forbrug af biomasse'!$B$2:$B$425,$F289)</f>
        <v>0</v>
      </c>
      <c r="L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forbrug'!L$3,'Forbrug af biomasse'!$B$2:$B$425,$F289)</f>
        <v>0</v>
      </c>
      <c r="M289" s="94">
        <f>IF(A289&lt;&gt;"Biogas",SUMIFS('Forbrug af biomasse'!$E$2:$E$425,'Forbrug af biomasse'!$C$2:$C$425,'Resultat-Produktion &amp; forbrug'!$A289,'Forbrug af biomasse'!$D$2:$D$425,'Resultat-Produktion &amp; forbrug'!$E289,'Forbrug af biomasse'!$A$2:$A$425,'Resultat-Produktion &amp; forbrug'!M$3,'Forbrug af biomasse'!$B$2:$B$425,$F289),G289)</f>
        <v>0</v>
      </c>
      <c r="N289" s="94">
        <f>SUMIFS('Forbrug af biomasse'!E:E,'Forbrug af biomasse'!C:C,'Resultat-Produktion &amp; forbrug'!$A289,'Forbrug af biomasse'!D:D,'Resultat-Produktion &amp; forbrug'!$E289,'Forbrug af biomasse'!G:G,1,'Forbrug af biomasse'!B:B,$F289)</f>
        <v>0</v>
      </c>
      <c r="O289" s="179">
        <f t="shared" si="102"/>
        <v>0</v>
      </c>
      <c r="P289" s="94">
        <f t="shared" si="98"/>
        <v>0</v>
      </c>
      <c r="Q289" s="180">
        <f t="shared" si="103"/>
        <v>0</v>
      </c>
      <c r="R289">
        <f>IFERROR(VLOOKUP(A289,[1]Energiindhold!$A$2:$C$11,3,FALSE),IFERROR(VLOOKUP(A289,[1]Biogasudbytte!$A$2:$B$18,2,FALSE)*[1]Energiindhold!$C$10,0))*P289</f>
        <v>0</v>
      </c>
      <c r="S289">
        <f>IF(A289&lt;&gt;"Biogas",IFERROR(VLOOKUP(A289,[1]Biogasudbytte!$A$2:$B$18,2,FALSE)*[1]Energiindhold!$C$10,0)*K289*IFERROR(VLOOKUP(A289,Biogasanlæg!$F$3:$G$8,2,FALSE),1)+IFERROR(VLOOKUP(A289,[1]Energiindhold!$A$2:$C$11,3,FALSE),0)*M289+IF(E289&lt;&gt;År1,R289,0),0)</f>
        <v>0</v>
      </c>
      <c r="T289">
        <f>IFERROR(VLOOKUP(A289,[1]Biogasudbytte!$A$2:$B$18,2,FALSE)*[1]Energiindhold!$C$10,0)*K289*IFERROR(VLOOKUP(A289,Biogasanlæg!$F$3:$G$8,2,FALSE),1)</f>
        <v>0</v>
      </c>
      <c r="U289" s="170">
        <f t="shared" si="104"/>
        <v>0</v>
      </c>
      <c r="V289" s="169">
        <f>P289*IFERROR(VLOOKUP(A289,[1]Tørstofindhold!A$2:B$24,2,FALSE),0)</f>
        <v>0</v>
      </c>
      <c r="W289">
        <f>IF(E289=År1,Q289,SUM(P289,Q289))*IFERROR(VLOOKUP(A289,[1]Tørstofindhold!A$2:B$24,2,FALSE),0)</f>
        <v>0</v>
      </c>
      <c r="X289">
        <f>K289*IFERROR(VLOOKUP(A289,[1]Tørstofindhold!A$2:B$24,2,FALSE),0)</f>
        <v>0</v>
      </c>
      <c r="Y289" s="170">
        <f t="shared" si="105"/>
        <v>0</v>
      </c>
      <c r="Z289">
        <f t="shared" si="99"/>
        <v>0</v>
      </c>
      <c r="AA289">
        <f t="shared" si="100"/>
        <v>0</v>
      </c>
      <c r="AB289" s="94">
        <f t="shared" si="86"/>
        <v>0</v>
      </c>
      <c r="AC289">
        <f>AB289*D289*10000*VLOOKUP(A289,[1]kcal!$A$2:$C$49,3,FALSE)/1000000000000</f>
        <v>0</v>
      </c>
    </row>
    <row r="290" spans="1:29" x14ac:dyDescent="0.25">
      <c r="A290" s="171" t="str">
        <f t="shared" si="96"/>
        <v>Træ til energi</v>
      </c>
      <c r="B290" s="171" t="str">
        <f t="shared" si="97"/>
        <v>Vedmasse</v>
      </c>
      <c r="C290" s="171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1</v>
      </c>
      <c r="D290" s="171">
        <f t="shared" si="82"/>
        <v>0</v>
      </c>
      <c r="E290" s="171">
        <f t="shared" si="101"/>
        <v>2050</v>
      </c>
      <c r="F290" t="s">
        <v>24</v>
      </c>
      <c r="G290" s="94">
        <f ca="1">IF(F290="Vestdanmark",SUMIFS(IF(E290=År1,'Resultater - Vestdanmark'!H$3:H$504,IF(E290=År2,'Resultater - Vestdanmark'!I$3:I$504,'Resultater - Vestdanmark'!J$3:J$504)),'Resultater - Vestdanmark'!$F$3:$F$504,$A290,IF(E290=År1,'Resultater - Vestdanmark'!H$3:H$504,IF(E290=År2,'Resultater - Vestdanmark'!I$3:I$504,'Resultater - Vestdanmark'!J$3:J$504)),"&gt;0"),SUMIFS(IF(E290=År1,'Resultater - Østdanmark'!H$3:H$504,IF(E290=År2,'Resultater - Østdanmark'!I$3:I$504,'Resultater - Østdanmark'!J$3:J$504)),'Resultater - Østdanmark'!$F$3:$F$504,$A290,IF(E290=År1,'Resultater - Østdanmark'!H$3:H$504,IF(E290=År2,'Resultater - Østdanmark'!I$3:I$504,'Resultater - Østdanmark'!J$3:J$504)),"&gt;0"))</f>
        <v>641761.08642399055</v>
      </c>
      <c r="H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forbrug'!H$3,'Forbrug af biomasse'!$B$2:$B$425,$F290)</f>
        <v>0</v>
      </c>
      <c r="I290">
        <f>IF(F290="Vestdanmark",-IF(A290="Halm",SUMIFS(IF(E290=År1,'Resultater - Vestdanmark'!H$3:H$504,IF(E290=År2,'Resultater - Vestdanmark'!I$3:I$504,'Resultater - Vestdanmark'!J$3:J$504)),'Resultater - Vestdanmark'!$F$3:$F$504,$A290,'Resultater - Vestdanmark'!H$3:H$504,"&lt;0"),0),-IF(A290="Halm",SUMIFS(IF(E290=År1,'Resultater - Østdanmark'!H$3:H$504,IF(E290=År2,'Resultater - Østdanmark'!I$3:I$504,'Resultater - Østdanmark'!J$3:J$504)),'Resultater - Østdanmark'!$F$3:$F$504,$A290,'Resultater - Østdanmark'!H$3:H$504,"&lt;0"),0))</f>
        <v>0</v>
      </c>
      <c r="J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forbrug'!J$3,'Forbrug af biomasse'!$B$2:$B$425,$F290)</f>
        <v>0</v>
      </c>
      <c r="K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forbrug'!K$3,'Forbrug af biomasse'!$B$2:$B$425,$F290)</f>
        <v>0</v>
      </c>
      <c r="L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forbrug'!L$3,'Forbrug af biomasse'!$B$2:$B$425,$F290)</f>
        <v>0</v>
      </c>
      <c r="M290" s="94">
        <f ca="1">IF(A290&lt;&gt;"Biogas",SUMIFS('Forbrug af biomasse'!$E$2:$E$425,'Forbrug af biomasse'!$C$2:$C$425,'Resultat-Produktion &amp; forbrug'!$A290,'Forbrug af biomasse'!$D$2:$D$425,'Resultat-Produktion &amp; forbrug'!$E290,'Forbrug af biomasse'!$A$2:$A$425,'Resultat-Produktion &amp; forbrug'!M$3,'Forbrug af biomasse'!$B$2:$B$425,$F290),G290)</f>
        <v>641761.08642399055</v>
      </c>
      <c r="N290" s="94">
        <f>SUMIFS('Forbrug af biomasse'!E:E,'Forbrug af biomasse'!C:C,'Resultat-Produktion &amp; forbrug'!$A290,'Forbrug af biomasse'!D:D,'Resultat-Produktion &amp; forbrug'!$E290,'Forbrug af biomasse'!G:G,1,'Forbrug af biomasse'!B:B,$F290)</f>
        <v>0</v>
      </c>
      <c r="O290" s="179">
        <f t="shared" ca="1" si="102"/>
        <v>0</v>
      </c>
      <c r="P290" s="94">
        <f t="shared" ca="1" si="98"/>
        <v>0</v>
      </c>
      <c r="Q290" s="180">
        <f t="shared" ca="1" si="103"/>
        <v>641761.08642399055</v>
      </c>
      <c r="R290">
        <f ca="1">IFERROR(VLOOKUP(A290,[1]Energiindhold!$A$2:$C$11,3,FALSE),IFERROR(VLOOKUP(A290,[1]Biogasudbytte!$A$2:$B$18,2,FALSE)*[1]Energiindhold!$C$10,0))*P290</f>
        <v>0</v>
      </c>
      <c r="S290">
        <f ca="1">IF(A290&lt;&gt;"Biogas",IFERROR(VLOOKUP(A290,[1]Biogasudbytte!$A$2:$B$18,2,FALSE)*[1]Energiindhold!$C$10,0)*K290*IFERROR(VLOOKUP(A290,Biogasanlæg!$F$3:$G$8,2,FALSE),1)+IFERROR(VLOOKUP(A290,[1]Energiindhold!$A$2:$C$11,3,FALSE),0)*M290+IF(E290&lt;&gt;År1,R290,0),0)</f>
        <v>9.3014085239225324</v>
      </c>
      <c r="T290">
        <f>IFERROR(VLOOKUP(A290,[1]Biogasudbytte!$A$2:$B$18,2,FALSE)*[1]Energiindhold!$C$10,0)*K290*IFERROR(VLOOKUP(A290,Biogasanlæg!$F$3:$G$8,2,FALSE),1)</f>
        <v>0</v>
      </c>
      <c r="U290" s="170">
        <f t="shared" ca="1" si="104"/>
        <v>9.3014085239225324</v>
      </c>
      <c r="V290" s="169">
        <f ca="1">P290*IFERROR(VLOOKUP(A290,[1]Tørstofindhold!A$2:B$24,2,FALSE),0)</f>
        <v>0</v>
      </c>
      <c r="W290">
        <f ca="1">IF(E290=År1,Q290,SUM(P290,Q290))*IFERROR(VLOOKUP(A290,[1]Tørstofindhold!A$2:B$24,2,FALSE),0)</f>
        <v>317404.33732719865</v>
      </c>
      <c r="X290">
        <f>K290*IFERROR(VLOOKUP(A290,[1]Tørstofindhold!A$2:B$24,2,FALSE),0)</f>
        <v>0</v>
      </c>
      <c r="Y290" s="170">
        <f t="shared" ca="1" si="105"/>
        <v>317404.33732719865</v>
      </c>
      <c r="Z290">
        <f t="shared" ca="1" si="99"/>
        <v>0</v>
      </c>
      <c r="AA290">
        <f t="shared" ca="1" si="100"/>
        <v>0</v>
      </c>
      <c r="AB290" s="94">
        <f t="shared" ca="1" si="86"/>
        <v>641761.08642399055</v>
      </c>
      <c r="AC290">
        <f ca="1">AB290*D290*10000*VLOOKUP(A290,[1]kcal!$A$2:$C$49,3,FALSE)/1000000000000</f>
        <v>0</v>
      </c>
    </row>
    <row r="291" spans="1:29" ht="15.75" thickBot="1" x14ac:dyDescent="0.3">
      <c r="A291" s="171" t="str">
        <f t="shared" si="96"/>
        <v>Træmaterialer</v>
      </c>
      <c r="B291" s="171" t="str">
        <f t="shared" si="97"/>
        <v/>
      </c>
      <c r="C291" s="171">
        <f>IF(COUNTIFS('Resultater - Danmark'!$D$3:$D$504,'Resultat-Produktion &amp; forbrug'!A291,'Resultater - Danmark'!$A$3:$A$504,"Til energi")+COUNTIFS('Resultater - Danmark'!$D$3:$D$504,'Resultat-Produktion &amp; forbrug'!A291,'Resultater - Danmark'!$A$3:$A$504,"Biogasanlæg")&gt;0,1,0)</f>
        <v>0</v>
      </c>
      <c r="D291" s="171">
        <f t="shared" si="82"/>
        <v>0</v>
      </c>
      <c r="E291" s="171">
        <f t="shared" si="101"/>
        <v>2050</v>
      </c>
      <c r="F291" t="s">
        <v>24</v>
      </c>
      <c r="G291" s="94">
        <f ca="1">IF(F291="Vestdanmark",SUMIFS(IF(E291=År1,'Resultater - Vestdanmark'!H$3:H$504,IF(E291=År2,'Resultater - Vestdanmark'!I$3:I$504,'Resultater - Vestdanmark'!J$3:J$504)),'Resultater - Vestdanmark'!$F$3:$F$504,$A291,IF(E291=År1,'Resultater - Vestdanmark'!H$3:H$504,IF(E291=År2,'Resultater - Vestdanmark'!I$3:I$504,'Resultater - Vestdanmark'!J$3:J$504)),"&gt;0"),SUMIFS(IF(E291=År1,'Resultater - Østdanmark'!H$3:H$504,IF(E291=År2,'Resultater - Østdanmark'!I$3:I$504,'Resultater - Østdanmark'!J$3:J$504)),'Resultater - Østdanmark'!$F$3:$F$504,$A291,IF(E291=År1,'Resultater - Østdanmark'!H$3:H$504,IF(E291=År2,'Resultater - Østdanmark'!I$3:I$504,'Resultater - Østdanmark'!J$3:J$504)),"&gt;0"))</f>
        <v>183690.80267816613</v>
      </c>
      <c r="H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forbrug'!H$3,'Forbrug af biomasse'!$B$2:$B$425,$F291)</f>
        <v>0</v>
      </c>
      <c r="I291">
        <f>IF(F291="Vestdanmark",-IF(A291="Halm",SUMIFS(IF(E291=År1,'Resultater - Vestdanmark'!H$3:H$504,IF(E291=År2,'Resultater - Vestdanmark'!I$3:I$504,'Resultater - Vestdanmark'!J$3:J$504)),'Resultater - Vestdanmark'!$F$3:$F$504,$A291,'Resultater - Vestdanmark'!H$3:H$504,"&lt;0"),0),-IF(A291="Halm",SUMIFS(IF(E291=År1,'Resultater - Østdanmark'!H$3:H$504,IF(E291=År2,'Resultater - Østdanmark'!I$3:I$504,'Resultater - Østdanmark'!J$3:J$504)),'Resultater - Østdanmark'!$F$3:$F$504,$A291,'Resultater - Østdanmark'!H$3:H$504,"&lt;0"),0))</f>
        <v>0</v>
      </c>
      <c r="J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forbrug'!J$3,'Forbrug af biomasse'!$B$2:$B$425,$F291)</f>
        <v>0</v>
      </c>
      <c r="K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forbrug'!K$3,'Forbrug af biomasse'!$B$2:$B$425,$F291)</f>
        <v>0</v>
      </c>
      <c r="L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forbrug'!L$3,'Forbrug af biomasse'!$B$2:$B$425,$F291)</f>
        <v>0</v>
      </c>
      <c r="M291" s="94">
        <f>IF(A291&lt;&gt;"Biogas",SUMIFS('Forbrug af biomasse'!$E$2:$E$425,'Forbrug af biomasse'!$C$2:$C$425,'Resultat-Produktion &amp; forbrug'!$A291,'Forbrug af biomasse'!$D$2:$D$425,'Resultat-Produktion &amp; forbrug'!$E291,'Forbrug af biomasse'!$A$2:$A$425,'Resultat-Produktion &amp; forbrug'!M$3,'Forbrug af biomasse'!$B$2:$B$425,$F291),G291)</f>
        <v>0</v>
      </c>
      <c r="N291" s="94">
        <f ca="1">SUMIFS('Forbrug af biomasse'!E:E,'Forbrug af biomasse'!C:C,'Resultat-Produktion &amp; forbrug'!$A291,'Forbrug af biomasse'!D:D,'Resultat-Produktion &amp; forbrug'!$E291,'Forbrug af biomasse'!G:G,1,'Forbrug af biomasse'!B:B,$F291)</f>
        <v>183690.80267816613</v>
      </c>
      <c r="O291" s="181">
        <f t="shared" ca="1" si="102"/>
        <v>0</v>
      </c>
      <c r="P291" s="182">
        <f t="shared" si="98"/>
        <v>0</v>
      </c>
      <c r="Q291" s="183">
        <f t="shared" si="103"/>
        <v>0</v>
      </c>
      <c r="R291" s="173">
        <f>IFERROR(VLOOKUP(A291,[1]Energiindhold!$A$2:$C$11,3,FALSE),IFERROR(VLOOKUP(A291,[1]Biogasudbytte!$A$2:$B$18,2,FALSE)*[1]Energiindhold!$C$10,0))*P291</f>
        <v>0</v>
      </c>
      <c r="S291" s="173">
        <f>IF(A291&lt;&gt;"Biogas",IFERROR(VLOOKUP(A291,[1]Biogasudbytte!$A$2:$B$18,2,FALSE)*[1]Energiindhold!$C$10,0)*K291*IFERROR(VLOOKUP(A291,Biogasanlæg!$F$3:$G$8,2,FALSE),1)+IFERROR(VLOOKUP(A291,[1]Energiindhold!$A$2:$C$11,3,FALSE),0)*M291+IF(E291&lt;&gt;År1,R291,0),0)</f>
        <v>0</v>
      </c>
      <c r="T291" s="173">
        <f>IFERROR(VLOOKUP(A291,[1]Biogasudbytte!$A$2:$B$18,2,FALSE)*[1]Energiindhold!$C$10,0)*K291*IFERROR(VLOOKUP(A291,Biogasanlæg!$F$3:$G$8,2,FALSE),1)</f>
        <v>0</v>
      </c>
      <c r="U291" s="174">
        <f t="shared" si="104"/>
        <v>0</v>
      </c>
      <c r="V291" s="172">
        <f>P291*IFERROR(VLOOKUP(A291,[1]Tørstofindhold!A$2:B$24,2,FALSE),0)</f>
        <v>0</v>
      </c>
      <c r="W291" s="173">
        <f>IF(E291=År1,Q291,SUM(P291,Q291))*IFERROR(VLOOKUP(A291,[1]Tørstofindhold!A$2:B$24,2,FALSE),0)</f>
        <v>0</v>
      </c>
      <c r="X291" s="173">
        <f>K291*IFERROR(VLOOKUP(A291,[1]Tørstofindhold!A$2:B$24,2,FALSE),0)</f>
        <v>0</v>
      </c>
      <c r="Y291" s="174">
        <f t="shared" si="105"/>
        <v>0</v>
      </c>
      <c r="Z291">
        <f t="shared" ca="1" si="99"/>
        <v>0</v>
      </c>
      <c r="AA291">
        <f t="shared" ca="1" si="100"/>
        <v>0</v>
      </c>
      <c r="AB291" s="94">
        <f t="shared" ca="1" si="86"/>
        <v>183690.80267816613</v>
      </c>
      <c r="AC291">
        <f ca="1">AB291*D291*10000*VLOOKUP(A291,[1]kcal!$A$2:$C$49,3,FALSE)/1000000000000</f>
        <v>0</v>
      </c>
    </row>
  </sheetData>
  <mergeCells count="6">
    <mergeCell ref="AB1:AC1"/>
    <mergeCell ref="R1:U1"/>
    <mergeCell ref="V1:Y1"/>
    <mergeCell ref="A1:C1"/>
    <mergeCell ref="G1:N1"/>
    <mergeCell ref="O1:Q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FCE3-890A-4384-B45F-B3CAB4E5864E}">
  <sheetPr codeName="Sheet37">
    <tabColor rgb="FFFF0000"/>
  </sheetPr>
  <dimension ref="A1:AH147"/>
  <sheetViews>
    <sheetView zoomScale="106" workbookViewId="0">
      <pane xSplit="6" ySplit="3" topLeftCell="X4" activePane="bottomRight" state="frozen"/>
      <selection pane="topRight" activeCell="F1" sqref="F1"/>
      <selection pane="bottomLeft" activeCell="A3" sqref="A3"/>
      <selection pane="bottomRight" activeCell="AF1" sqref="AF1"/>
    </sheetView>
  </sheetViews>
  <sheetFormatPr defaultColWidth="18" defaultRowHeight="15" x14ac:dyDescent="0.25"/>
  <cols>
    <col min="1" max="2" width="18.140625" bestFit="1" customWidth="1"/>
    <col min="3" max="3" width="18.140625" customWidth="1"/>
    <col min="4" max="4" width="8.140625" bestFit="1" customWidth="1"/>
    <col min="5" max="5" width="8.140625" customWidth="1"/>
    <col min="6" max="6" width="7.85546875" customWidth="1"/>
    <col min="7" max="7" width="14.28515625" bestFit="1" customWidth="1"/>
    <col min="8" max="9" width="12" bestFit="1" customWidth="1"/>
    <col min="10" max="10" width="9.140625" bestFit="1" customWidth="1"/>
    <col min="11" max="12" width="9.7109375" bestFit="1" customWidth="1"/>
    <col min="13" max="13" width="12" bestFit="1" customWidth="1"/>
    <col min="14" max="14" width="20.140625" bestFit="1" customWidth="1"/>
    <col min="15" max="15" width="26.42578125" bestFit="1" customWidth="1"/>
    <col min="16" max="16" width="21.42578125" bestFit="1" customWidth="1"/>
    <col min="17" max="17" width="20.5703125" bestFit="1" customWidth="1"/>
    <col min="18" max="18" width="20.28515625" bestFit="1" customWidth="1"/>
    <col min="19" max="19" width="19.85546875" bestFit="1" customWidth="1"/>
    <col min="20" max="20" width="18.5703125" bestFit="1" customWidth="1"/>
    <col min="21" max="21" width="23.7109375" bestFit="1" customWidth="1"/>
    <col min="22" max="22" width="24" bestFit="1" customWidth="1"/>
    <col min="23" max="23" width="23.42578125" bestFit="1" customWidth="1"/>
    <col min="24" max="24" width="22.28515625" bestFit="1" customWidth="1"/>
    <col min="25" max="25" width="27.42578125" bestFit="1" customWidth="1"/>
    <col min="27" max="27" width="23.28515625" bestFit="1" customWidth="1"/>
    <col min="28" max="28" width="4.28515625" style="341" customWidth="1"/>
  </cols>
  <sheetData>
    <row r="1" spans="1:32" ht="15.75" thickTop="1" x14ac:dyDescent="0.25">
      <c r="A1" s="428" t="s">
        <v>248</v>
      </c>
      <c r="B1" s="428"/>
      <c r="C1" s="428"/>
      <c r="D1" s="428"/>
      <c r="E1" s="393"/>
      <c r="G1" s="429" t="s">
        <v>250</v>
      </c>
      <c r="H1" s="429"/>
      <c r="I1" s="429"/>
      <c r="J1" s="429"/>
      <c r="K1" s="429"/>
      <c r="L1" s="429"/>
      <c r="M1" s="429"/>
      <c r="N1" s="430"/>
      <c r="O1" s="431" t="s">
        <v>251</v>
      </c>
      <c r="P1" s="432"/>
      <c r="Q1" s="433"/>
      <c r="R1" s="425" t="s">
        <v>122</v>
      </c>
      <c r="S1" s="425"/>
      <c r="T1" s="425"/>
      <c r="U1" s="426"/>
      <c r="V1" s="427" t="s">
        <v>229</v>
      </c>
      <c r="W1" s="425"/>
      <c r="X1" s="425"/>
      <c r="Y1" s="426"/>
      <c r="AC1" s="424" t="s">
        <v>337</v>
      </c>
      <c r="AD1" s="424"/>
      <c r="AE1">
        <f>År1</f>
        <v>2019</v>
      </c>
      <c r="AF1">
        <f ca="1">SUMIF($F$4:$F$147,$AE1,AD$4:AD$147)</f>
        <v>19.960490719951657</v>
      </c>
    </row>
    <row r="2" spans="1:32" x14ac:dyDescent="0.25">
      <c r="A2" s="393"/>
      <c r="B2" s="393"/>
      <c r="C2" s="393"/>
      <c r="D2" s="393"/>
      <c r="E2" s="393"/>
      <c r="G2" s="394"/>
      <c r="H2" s="394">
        <v>1</v>
      </c>
      <c r="I2" s="394">
        <v>1</v>
      </c>
      <c r="J2" s="394">
        <v>0</v>
      </c>
      <c r="K2" s="394">
        <v>1</v>
      </c>
      <c r="L2" s="394">
        <v>1</v>
      </c>
      <c r="M2" s="394">
        <v>0</v>
      </c>
      <c r="N2" s="394">
        <v>0</v>
      </c>
      <c r="O2" s="395"/>
      <c r="P2" s="396"/>
      <c r="Q2" s="397"/>
      <c r="R2" s="396"/>
      <c r="S2" s="396"/>
      <c r="T2" s="396"/>
      <c r="U2" s="398"/>
      <c r="V2" s="399"/>
      <c r="W2" s="396"/>
      <c r="X2" s="396"/>
      <c r="Y2" s="398"/>
      <c r="AE2">
        <f>År2</f>
        <v>2030</v>
      </c>
      <c r="AF2">
        <f ca="1">SUMIF($F$4:$F$147,$AE2,AD$4:AD$147)</f>
        <v>21.088956515607077</v>
      </c>
    </row>
    <row r="3" spans="1:32" x14ac:dyDescent="0.25">
      <c r="A3" s="91" t="s">
        <v>128</v>
      </c>
      <c r="B3" s="91" t="s">
        <v>311</v>
      </c>
      <c r="C3" s="91" t="s">
        <v>342</v>
      </c>
      <c r="D3" s="91" t="s">
        <v>129</v>
      </c>
      <c r="E3" s="91" t="s">
        <v>339</v>
      </c>
      <c r="F3" s="91" t="s">
        <v>58</v>
      </c>
      <c r="G3" s="91" t="s">
        <v>132</v>
      </c>
      <c r="H3" s="91" t="s">
        <v>112</v>
      </c>
      <c r="I3" s="91" t="s">
        <v>124</v>
      </c>
      <c r="J3" s="91" t="s">
        <v>127</v>
      </c>
      <c r="K3" s="91" t="s">
        <v>109</v>
      </c>
      <c r="L3" s="91" t="s">
        <v>114</v>
      </c>
      <c r="M3" s="91" t="s">
        <v>120</v>
      </c>
      <c r="N3" s="91" t="s">
        <v>223</v>
      </c>
      <c r="O3" s="177" t="s">
        <v>249</v>
      </c>
      <c r="P3" s="91" t="s">
        <v>130</v>
      </c>
      <c r="Q3" s="178" t="s">
        <v>190</v>
      </c>
      <c r="R3" s="91" t="s">
        <v>131</v>
      </c>
      <c r="S3" s="91" t="s">
        <v>232</v>
      </c>
      <c r="T3" s="91" t="s">
        <v>233</v>
      </c>
      <c r="U3" s="176" t="s">
        <v>284</v>
      </c>
      <c r="V3" s="175" t="s">
        <v>235</v>
      </c>
      <c r="W3" s="91" t="s">
        <v>234</v>
      </c>
      <c r="X3" s="91" t="s">
        <v>236</v>
      </c>
      <c r="Y3" s="176" t="s">
        <v>283</v>
      </c>
      <c r="Z3" s="91" t="s">
        <v>278</v>
      </c>
      <c r="AA3" s="91" t="s">
        <v>300</v>
      </c>
      <c r="AB3" s="400" t="str">
        <f>""</f>
        <v/>
      </c>
      <c r="AC3" s="91" t="s">
        <v>338</v>
      </c>
      <c r="AD3" s="91" t="s">
        <v>340</v>
      </c>
      <c r="AE3">
        <f>År3</f>
        <v>2050</v>
      </c>
      <c r="AF3">
        <f ca="1">SUMIF($F$4:$F$147,$AE3,AD$4:AD$147)</f>
        <v>21.592419108386821</v>
      </c>
    </row>
    <row r="4" spans="1:32" x14ac:dyDescent="0.25">
      <c r="A4" s="171" t="s">
        <v>15</v>
      </c>
      <c r="B4" s="171"/>
      <c r="C4" s="171" t="str">
        <f>IFERROR(VLOOKUP(A4,'Kategorisering af kcal'!$J$2:$K$18,2,FALSE),"")</f>
        <v>Æg</v>
      </c>
      <c r="D4" s="171">
        <f>IF(COUNTIFS('Resultater - Danmark'!$D$3:$D$504,'Produktion &amp; forbrug'!A4,'Resultater - Danmark'!$A$3:$A$504,"Til energi")+COUNTIFS('Resultater - Danmark'!$D$3:$D$504,'Produktion &amp; forbrug'!A4,'Resultater - Danmark'!$A$3:$A$504,"Biogasanlæg")&gt;0,1,0)</f>
        <v>0</v>
      </c>
      <c r="E4" s="171">
        <v>1</v>
      </c>
      <c r="F4" s="171">
        <f>År1</f>
        <v>2019</v>
      </c>
      <c r="G4" s="94">
        <f ca="1">SUMIFS('Resultat-Produktion &amp; forbrug'!G$4:G$291,'Resultat-Produktion &amp; forbrug'!$A$4:$A$291,'Produktion &amp; forbrug'!$A4,'Resultat-Produktion &amp; forbrug'!$E$4:$E$291,'Produktion &amp; forbrug'!$F4)</f>
        <v>235000</v>
      </c>
      <c r="H4" s="94">
        <f>SUMIFS('Resultat-Produktion &amp; forbrug'!H$4:H$291,'Resultat-Produktion &amp; forbrug'!$A$4:$A$291,'Produktion &amp; forbrug'!$A4,'Resultat-Produktion &amp; forbrug'!$E$4:$E$291,'Produktion &amp; forbrug'!$F4)</f>
        <v>0</v>
      </c>
      <c r="I4" s="94">
        <f>SUMIFS('Resultat-Produktion &amp; forbrug'!I$4:I$291,'Resultat-Produktion &amp; forbrug'!$A$4:$A$291,'Produktion &amp; forbrug'!$A4,'Resultat-Produktion &amp; forbrug'!$E$4:$E$291,'Produktion &amp; forbrug'!$F4)</f>
        <v>0</v>
      </c>
      <c r="J4" s="94">
        <f>SUMIFS('Resultat-Produktion &amp; forbrug'!J$4:J$291,'Resultat-Produktion &amp; forbrug'!$A$4:$A$291,'Produktion &amp; forbrug'!$A4,'Resultat-Produktion &amp; forbrug'!$E$4:$E$291,'Produktion &amp; forbrug'!$F4)</f>
        <v>58403.100598004137</v>
      </c>
      <c r="K4" s="94">
        <f>SUMIFS('Resultat-Produktion &amp; forbrug'!K$4:K$291,'Resultat-Produktion &amp; forbrug'!$A$4:$A$291,'Produktion &amp; forbrug'!$A4,'Resultat-Produktion &amp; forbrug'!$E$4:$E$291,'Produktion &amp; forbrug'!$F4)</f>
        <v>0</v>
      </c>
      <c r="L4" s="94">
        <f>SUMIFS('Resultat-Produktion &amp; forbrug'!L$4:L$291,'Resultat-Produktion &amp; forbrug'!$A$4:$A$291,'Produktion &amp; forbrug'!$A4,'Resultat-Produktion &amp; forbrug'!$E$4:$E$291,'Produktion &amp; forbrug'!$F4)</f>
        <v>0</v>
      </c>
      <c r="M4" s="94">
        <f>SUMIFS('Resultat-Produktion &amp; forbrug'!M$4:M$291,'Resultat-Produktion &amp; forbrug'!$A$4:$A$291,'Produktion &amp; forbrug'!$A4,'Resultat-Produktion &amp; forbrug'!$E$4:$E$291,'Produktion &amp; forbrug'!$F4)</f>
        <v>0</v>
      </c>
      <c r="N4" s="94">
        <f>SUMIFS('Resultat-Produktion &amp; forbrug'!N$4:N$291,'Resultat-Produktion &amp; forbrug'!$A$4:$A$291,'Produktion &amp; forbrug'!$A4,'Resultat-Produktion &amp; forbrug'!$E$4:$E$291,'Produktion &amp; forbrug'!$F4)</f>
        <v>0</v>
      </c>
      <c r="O4" s="179">
        <f ca="1">G4-SUM(H4:N4)</f>
        <v>176596.89940199588</v>
      </c>
      <c r="P4" s="94">
        <f>IF(D4=1,MAX(O4,0),0)</f>
        <v>0</v>
      </c>
      <c r="Q4" s="180">
        <f>SUM(K4,M4)</f>
        <v>0</v>
      </c>
      <c r="R4">
        <f>IFERROR(VLOOKUP(A4,[1]Energiindhold!$A$2:$C$11,3,FALSE),IFERROR(VLOOKUP(A4,[1]Biogasudbytte!$A$2:$B$18,2,FALSE)*[1]Energiindhold!$C$10,0))*P4</f>
        <v>0</v>
      </c>
      <c r="S4">
        <f>IF(A4&lt;&gt;"Biogas",IFERROR(VLOOKUP(A4,[1]Biogasudbytte!$A$2:$B$18,2,FALSE)*[1]Energiindhold!$C$10,0)*K4*IFERROR(VLOOKUP(A4,Biogasanlæg!$F$3:$G$8,2,FALSE),1)+IFERROR(VLOOKUP(A4,[1]Energiindhold!$A$2:$C$11,3,FALSE),0)*M4+IF(F4&lt;&gt;År1,R4,0),0)</f>
        <v>0</v>
      </c>
      <c r="T4">
        <f>IFERROR(VLOOKUP(A4,[1]Biogasudbytte!$A$2:$B$18,2,FALSE)*[1]Energiindhold!$C$10,0)*K4*IFERROR(VLOOKUP(A4,Biogasanlæg!$F$3:$G$8,2,FALSE),1)</f>
        <v>0</v>
      </c>
      <c r="U4" s="170">
        <f>S4-T4</f>
        <v>0</v>
      </c>
      <c r="V4" s="169">
        <f>P4*IFERROR(VLOOKUP(A4,[1]Tørstofindhold!A$2:B$24,2,FALSE),0)</f>
        <v>0</v>
      </c>
      <c r="W4">
        <f>IF(F4=År1,Q4,SUM(P4,Q4))*IFERROR(VLOOKUP(A4,[1]Tørstofindhold!A$2:B$24,2,FALSE),0)</f>
        <v>0</v>
      </c>
      <c r="X4">
        <f>K4*IFERROR(VLOOKUP(A4,[1]Tørstofindhold!A$2:B$24,2,FALSE),0)</f>
        <v>0</v>
      </c>
      <c r="Y4" s="170">
        <f>W4-X4</f>
        <v>0</v>
      </c>
      <c r="Z4">
        <f t="shared" ref="Z4:Z35" ca="1" si="0">IF(SUMIFS($O$4:$O$147,$A$4:$A$147,A4,$F$4:$F$147,F4)&lt;0,1,0)</f>
        <v>0</v>
      </c>
      <c r="AA4">
        <f t="shared" ref="AA4:AA35" ca="1" si="1">IF(SUMIFS($O$4:$O$147,$A$4:$A$147,A4,$F$4:$F$147,F4)&gt;0,1,0)</f>
        <v>1</v>
      </c>
      <c r="AC4" s="94">
        <f ca="1">G4-SUMPRODUCT($H$2:$N$2,H4:N4)</f>
        <v>235000</v>
      </c>
      <c r="AD4">
        <f ca="1">AC4*E4*10000*VLOOKUP(A4,[1]kcal!$A$2:$C$49,3,FALSE)/1000000000000</f>
        <v>0.32429999999999998</v>
      </c>
    </row>
    <row r="5" spans="1:32" x14ac:dyDescent="0.25">
      <c r="A5" s="171" t="s">
        <v>49</v>
      </c>
      <c r="B5" s="171"/>
      <c r="C5" s="171" t="str">
        <f>IFERROR(VLOOKUP(A5,'Kategorisering af kcal'!$J$2:$K$18,2,FALSE),"")</f>
        <v>Bælgsæd</v>
      </c>
      <c r="D5" s="171">
        <f>IF(COUNTIFS('Resultater - Danmark'!$D$3:$D$504,'Produktion &amp; forbrug'!A5,'Resultater - Danmark'!$A$3:$A$504,"Til energi")+COUNTIFS('Resultater - Danmark'!$D$3:$D$504,'Produktion &amp; forbrug'!A5,'Resultater - Danmark'!$A$3:$A$504,"Biogasanlæg")&gt;0,1,0)</f>
        <v>0</v>
      </c>
      <c r="E5" s="171">
        <v>1</v>
      </c>
      <c r="F5" s="171">
        <f t="shared" ref="F4:F51" si="2">År1</f>
        <v>2019</v>
      </c>
      <c r="G5" s="94">
        <f>SUMIFS('Resultat-Produktion &amp; forbrug'!G$4:G$291,'Resultat-Produktion &amp; forbrug'!$A$4:$A$291,'Produktion &amp; forbrug'!$A5,'Resultat-Produktion &amp; forbrug'!$E$4:$E$291,'Produktion &amp; forbrug'!$F5)</f>
        <v>285369.85676311865</v>
      </c>
      <c r="H5" s="94">
        <f ca="1">SUMIFS('Resultat-Produktion &amp; forbrug'!H$4:H$291,'Resultat-Produktion &amp; forbrug'!$A$4:$A$291,'Produktion &amp; forbrug'!$A5,'Resultat-Produktion &amp; forbrug'!$E$4:$E$291,'Produktion &amp; forbrug'!$F5)</f>
        <v>72415.092228932088</v>
      </c>
      <c r="I5" s="94">
        <f>SUMIFS('Resultat-Produktion &amp; forbrug'!I$4:I$291,'Resultat-Produktion &amp; forbrug'!$A$4:$A$291,'Produktion &amp; forbrug'!$A5,'Resultat-Produktion &amp; forbrug'!$E$4:$E$291,'Produktion &amp; forbrug'!$F5)</f>
        <v>0</v>
      </c>
      <c r="J5" s="94">
        <f>SUMIFS('Resultat-Produktion &amp; forbrug'!J$4:J$291,'Resultat-Produktion &amp; forbrug'!$A$4:$A$291,'Produktion &amp; forbrug'!$A5,'Resultat-Produktion &amp; forbrug'!$E$4:$E$291,'Produktion &amp; forbrug'!$F5)</f>
        <v>0</v>
      </c>
      <c r="K5" s="94">
        <f>SUMIFS('Resultat-Produktion &amp; forbrug'!K$4:K$291,'Resultat-Produktion &amp; forbrug'!$A$4:$A$291,'Produktion &amp; forbrug'!$A5,'Resultat-Produktion &amp; forbrug'!$E$4:$E$291,'Produktion &amp; forbrug'!$F5)</f>
        <v>0</v>
      </c>
      <c r="L5" s="94">
        <f>SUMIFS('Resultat-Produktion &amp; forbrug'!L$4:L$291,'Resultat-Produktion &amp; forbrug'!$A$4:$A$291,'Produktion &amp; forbrug'!$A5,'Resultat-Produktion &amp; forbrug'!$E$4:$E$291,'Produktion &amp; forbrug'!$F5)</f>
        <v>0</v>
      </c>
      <c r="M5" s="94">
        <f>SUMIFS('Resultat-Produktion &amp; forbrug'!M$4:M$291,'Resultat-Produktion &amp; forbrug'!$A$4:$A$291,'Produktion &amp; forbrug'!$A5,'Resultat-Produktion &amp; forbrug'!$E$4:$E$291,'Produktion &amp; forbrug'!$F5)</f>
        <v>0</v>
      </c>
      <c r="N5" s="94">
        <f>SUMIFS('Resultat-Produktion &amp; forbrug'!N$4:N$291,'Resultat-Produktion &amp; forbrug'!$A$4:$A$291,'Produktion &amp; forbrug'!$A5,'Resultat-Produktion &amp; forbrug'!$E$4:$E$291,'Produktion &amp; forbrug'!$F5)</f>
        <v>0</v>
      </c>
      <c r="O5" s="179">
        <f t="shared" ref="O5:O68" ca="1" si="3">G5-SUM(H5:N5)</f>
        <v>212954.76453418657</v>
      </c>
      <c r="P5" s="94">
        <f t="shared" ref="P5:P68" si="4">IF(D5=1,MAX(O5,0),0)</f>
        <v>0</v>
      </c>
      <c r="Q5" s="180">
        <f t="shared" ref="Q5:Q68" si="5">SUM(K5,M5)</f>
        <v>0</v>
      </c>
      <c r="R5">
        <f>IFERROR(VLOOKUP(A5,[1]Energiindhold!$A$2:$C$11,3,FALSE),IFERROR(VLOOKUP(A5,[1]Biogasudbytte!$A$2:$B$18,2,FALSE)*[1]Energiindhold!$C$10,0))*P5</f>
        <v>0</v>
      </c>
      <c r="S5">
        <f>IF(A5&lt;&gt;"Biogas",IFERROR(VLOOKUP(A5,[1]Biogasudbytte!$A$2:$B$18,2,FALSE)*[1]Energiindhold!$C$10,0)*K5*IFERROR(VLOOKUP(A5,Biogasanlæg!$F$3:$G$8,2,FALSE),1)+IFERROR(VLOOKUP(A5,[1]Energiindhold!$A$2:$C$11,3,FALSE),0)*M5+IF(F5&lt;&gt;År1,R5,0),0)</f>
        <v>0</v>
      </c>
      <c r="T5">
        <f>IFERROR(VLOOKUP(A5,[1]Biogasudbytte!$A$2:$B$18,2,FALSE)*[1]Energiindhold!$C$10,0)*K5*IFERROR(VLOOKUP(A5,Biogasanlæg!$F$3:$G$8,2,FALSE),1)</f>
        <v>0</v>
      </c>
      <c r="U5" s="170">
        <f t="shared" ref="U5:U68" si="6">S5-T5</f>
        <v>0</v>
      </c>
      <c r="V5" s="169">
        <f>P5*IFERROR(VLOOKUP(A5,[1]Tørstofindhold!A$2:B$24,2,FALSE),0)</f>
        <v>0</v>
      </c>
      <c r="W5">
        <f>IF(F5=År1,Q5,SUM(P5,Q5))*IFERROR(VLOOKUP(A5,[1]Tørstofindhold!A$2:B$24,2,FALSE),0)</f>
        <v>0</v>
      </c>
      <c r="X5">
        <f>K5*IFERROR(VLOOKUP(A5,[1]Tørstofindhold!A$2:B$24,2,FALSE),0)</f>
        <v>0</v>
      </c>
      <c r="Y5" s="170">
        <f t="shared" ref="Y5:Y68" si="7">W5-X5</f>
        <v>0</v>
      </c>
      <c r="Z5">
        <f t="shared" ca="1" si="0"/>
        <v>0</v>
      </c>
      <c r="AA5">
        <f t="shared" ca="1" si="1"/>
        <v>1</v>
      </c>
      <c r="AC5" s="94">
        <f t="shared" ref="AC5:AC68" ca="1" si="8">G5-SUMPRODUCT($H$2:$N$2,H5:N5)</f>
        <v>212954.76453418657</v>
      </c>
      <c r="AD5">
        <f ca="1">AC5*E5*10000*VLOOKUP(A5,[1]kcal!$A$2:$C$49,3,FALSE)/1000000000000</f>
        <v>1.4789708396899257</v>
      </c>
    </row>
    <row r="6" spans="1:32" x14ac:dyDescent="0.25">
      <c r="A6" s="171" t="s">
        <v>102</v>
      </c>
      <c r="B6" s="171" t="s">
        <v>230</v>
      </c>
      <c r="C6" s="171" t="str">
        <f>IFERROR(VLOOKUP(A6,'Kategorisering af kcal'!$J$2:$K$18,2,FALSE),"")</f>
        <v/>
      </c>
      <c r="D6" s="171">
        <f>IF(COUNTIFS('Resultater - Danmark'!$D$3:$D$504,'Produktion &amp; forbrug'!A6,'Resultater - Danmark'!$A$3:$A$504,"Til energi")+COUNTIFS('Resultater - Danmark'!$D$3:$D$504,'Produktion &amp; forbrug'!A6,'Resultater - Danmark'!$A$3:$A$504,"Biogasanlæg")&gt;0,1,0)</f>
        <v>1</v>
      </c>
      <c r="E6" s="171">
        <v>0</v>
      </c>
      <c r="F6" s="171">
        <f t="shared" si="2"/>
        <v>2019</v>
      </c>
      <c r="G6" s="94">
        <f ca="1">SUMIFS('Resultat-Produktion &amp; forbrug'!G$4:G$291,'Resultat-Produktion &amp; forbrug'!$A$4:$A$291,'Produktion &amp; forbrug'!$A6,'Resultat-Produktion &amp; forbrug'!$E$4:$E$291,'Produktion &amp; forbrug'!$F6)</f>
        <v>358674.32551850227</v>
      </c>
      <c r="H6" s="94">
        <f>SUMIFS('Resultat-Produktion &amp; forbrug'!H$4:H$291,'Resultat-Produktion &amp; forbrug'!$A$4:$A$291,'Produktion &amp; forbrug'!$A6,'Resultat-Produktion &amp; forbrug'!$E$4:$E$291,'Produktion &amp; forbrug'!$F6)</f>
        <v>0</v>
      </c>
      <c r="I6" s="94">
        <f>SUMIFS('Resultat-Produktion &amp; forbrug'!I$4:I$291,'Resultat-Produktion &amp; forbrug'!$A$4:$A$291,'Produktion &amp; forbrug'!$A6,'Resultat-Produktion &amp; forbrug'!$E$4:$E$291,'Produktion &amp; forbrug'!$F6)</f>
        <v>0</v>
      </c>
      <c r="J6" s="94">
        <f>SUMIFS('Resultat-Produktion &amp; forbrug'!J$4:J$291,'Resultat-Produktion &amp; forbrug'!$A$4:$A$291,'Produktion &amp; forbrug'!$A6,'Resultat-Produktion &amp; forbrug'!$E$4:$E$291,'Produktion &amp; forbrug'!$F6)</f>
        <v>0</v>
      </c>
      <c r="K6" s="94">
        <f ca="1">SUMIFS('Resultat-Produktion &amp; forbrug'!K$4:K$291,'Resultat-Produktion &amp; forbrug'!$A$4:$A$291,'Produktion &amp; forbrug'!$A6,'Resultat-Produktion &amp; forbrug'!$E$4:$E$291,'Produktion &amp; forbrug'!$F6)</f>
        <v>729134</v>
      </c>
      <c r="L6" s="94">
        <f>SUMIFS('Resultat-Produktion &amp; forbrug'!L$4:L$291,'Resultat-Produktion &amp; forbrug'!$A$4:$A$291,'Produktion &amp; forbrug'!$A6,'Resultat-Produktion &amp; forbrug'!$E$4:$E$291,'Produktion &amp; forbrug'!$F6)</f>
        <v>0</v>
      </c>
      <c r="M6" s="94">
        <f ca="1">SUMIFS('Resultat-Produktion &amp; forbrug'!M$4:M$291,'Resultat-Produktion &amp; forbrug'!$A$4:$A$291,'Produktion &amp; forbrug'!$A6,'Resultat-Produktion &amp; forbrug'!$E$4:$E$291,'Produktion &amp; forbrug'!$F6)</f>
        <v>0</v>
      </c>
      <c r="N6" s="94">
        <f ca="1">SUMIFS('Resultat-Produktion &amp; forbrug'!N$4:N$291,'Resultat-Produktion &amp; forbrug'!$A$4:$A$291,'Produktion &amp; forbrug'!$A6,'Resultat-Produktion &amp; forbrug'!$E$4:$E$291,'Produktion &amp; forbrug'!$F6)</f>
        <v>0</v>
      </c>
      <c r="O6" s="179">
        <f t="shared" ca="1" si="3"/>
        <v>-370459.67448149773</v>
      </c>
      <c r="P6" s="94">
        <f t="shared" ca="1" si="4"/>
        <v>0</v>
      </c>
      <c r="Q6" s="180">
        <f t="shared" ca="1" si="5"/>
        <v>729134</v>
      </c>
      <c r="R6">
        <f ca="1">IFERROR(VLOOKUP(A6,[1]Energiindhold!$A$2:$C$11,3,FALSE),IFERROR(VLOOKUP(A6,[1]Biogasudbytte!$A$2:$B$18,2,FALSE)*[1]Energiindhold!$C$10,0))*P6</f>
        <v>0</v>
      </c>
      <c r="S6">
        <f ca="1">IF(A6&lt;&gt;"Biogas",IFERROR(VLOOKUP(A6,[1]Biogasudbytte!$A$2:$B$18,2,FALSE)*[1]Energiindhold!$C$10,0)*K6*IFERROR(VLOOKUP(A6,Biogasanlæg!$F$3:$G$8,2,FALSE),1)+IFERROR(VLOOKUP(A6,[1]Energiindhold!$A$2:$C$11,3,FALSE),0)*M6+IF(F6&lt;&gt;År1,R6,0),0)</f>
        <v>2.4840939159400004</v>
      </c>
      <c r="T6">
        <f ca="1">IFERROR(VLOOKUP(A6,[1]Biogasudbytte!$A$2:$B$18,2,FALSE)*[1]Energiindhold!$C$10,0)*K6*IFERROR(VLOOKUP(A6,Biogasanlæg!$F$3:$G$8,2,FALSE),1)</f>
        <v>2.4840939159400004</v>
      </c>
      <c r="U6" s="170">
        <f t="shared" ca="1" si="6"/>
        <v>0</v>
      </c>
      <c r="V6" s="169">
        <f ca="1">P6*IFERROR(VLOOKUP(A6,[1]Tørstofindhold!A$2:B$24,2,FALSE),0)</f>
        <v>0</v>
      </c>
      <c r="W6">
        <f ca="1">IF(F6=År1,Q6,SUM(P6,Q6))*IFERROR(VLOOKUP(A6,[1]Tørstofindhold!A$2:B$24,2,FALSE),0)</f>
        <v>204157.52000000002</v>
      </c>
      <c r="X6">
        <f ca="1">K6*IFERROR(VLOOKUP(A6,[1]Tørstofindhold!A$2:B$24,2,FALSE),0)</f>
        <v>204157.52000000002</v>
      </c>
      <c r="Y6" s="170">
        <f t="shared" ca="1" si="7"/>
        <v>0</v>
      </c>
      <c r="Z6">
        <f t="shared" ca="1" si="0"/>
        <v>1</v>
      </c>
      <c r="AA6">
        <f t="shared" ca="1" si="1"/>
        <v>0</v>
      </c>
      <c r="AC6" s="94">
        <f t="shared" ca="1" si="8"/>
        <v>-370459.67448149773</v>
      </c>
      <c r="AD6">
        <f ca="1">AC6*E6*10000*VLOOKUP(A6,[1]kcal!$A$2:$C$49,3,FALSE)/1000000000000</f>
        <v>0</v>
      </c>
    </row>
    <row r="7" spans="1:32" x14ac:dyDescent="0.25">
      <c r="A7" s="171" t="s">
        <v>109</v>
      </c>
      <c r="B7" s="171"/>
      <c r="C7" s="171" t="str">
        <f>IFERROR(VLOOKUP(A7,'Kategorisering af kcal'!$J$2:$K$18,2,FALSE),"")</f>
        <v/>
      </c>
      <c r="D7" s="171">
        <f>IF(COUNTIFS('Resultater - Danmark'!$D$3:$D$504,'Produktion &amp; forbrug'!A7,'Resultater - Danmark'!$A$3:$A$504,"Til energi")+COUNTIFS('Resultater - Danmark'!$D$3:$D$504,'Produktion &amp; forbrug'!A7,'Resultater - Danmark'!$A$3:$A$504,"Biogasanlæg")&gt;0,1,0)</f>
        <v>1</v>
      </c>
      <c r="E7" s="171">
        <v>0</v>
      </c>
      <c r="F7" s="171">
        <f t="shared" si="2"/>
        <v>2019</v>
      </c>
      <c r="G7" s="94">
        <f ca="1">SUMIFS('Resultat-Produktion &amp; forbrug'!G$4:G$291,'Resultat-Produktion &amp; forbrug'!$A$4:$A$291,'Produktion &amp; forbrug'!$A7,'Resultat-Produktion &amp; forbrug'!$E$4:$E$291,'Produktion &amp; forbrug'!$F7)</f>
        <v>462837288.84999996</v>
      </c>
      <c r="H7" s="94">
        <f>SUMIFS('Resultat-Produktion &amp; forbrug'!H$4:H$291,'Resultat-Produktion &amp; forbrug'!$A$4:$A$291,'Produktion &amp; forbrug'!$A7,'Resultat-Produktion &amp; forbrug'!$E$4:$E$291,'Produktion &amp; forbrug'!$F7)</f>
        <v>0</v>
      </c>
      <c r="I7" s="94">
        <f>SUMIFS('Resultat-Produktion &amp; forbrug'!I$4:I$291,'Resultat-Produktion &amp; forbrug'!$A$4:$A$291,'Produktion &amp; forbrug'!$A7,'Resultat-Produktion &amp; forbrug'!$E$4:$E$291,'Produktion &amp; forbrug'!$F7)</f>
        <v>0</v>
      </c>
      <c r="J7" s="94">
        <f>SUMIFS('Resultat-Produktion &amp; forbrug'!J$4:J$291,'Resultat-Produktion &amp; forbrug'!$A$4:$A$291,'Produktion &amp; forbrug'!$A7,'Resultat-Produktion &amp; forbrug'!$E$4:$E$291,'Produktion &amp; forbrug'!$F7)</f>
        <v>0</v>
      </c>
      <c r="K7" s="94">
        <f>SUMIFS('Resultat-Produktion &amp; forbrug'!K$4:K$291,'Resultat-Produktion &amp; forbrug'!$A$4:$A$291,'Produktion &amp; forbrug'!$A7,'Resultat-Produktion &amp; forbrug'!$E$4:$E$291,'Produktion &amp; forbrug'!$F7)</f>
        <v>0</v>
      </c>
      <c r="L7" s="94">
        <f>SUMIFS('Resultat-Produktion &amp; forbrug'!L$4:L$291,'Resultat-Produktion &amp; forbrug'!$A$4:$A$291,'Produktion &amp; forbrug'!$A7,'Resultat-Produktion &amp; forbrug'!$E$4:$E$291,'Produktion &amp; forbrug'!$F7)</f>
        <v>0</v>
      </c>
      <c r="M7" s="94">
        <f ca="1">SUMIFS('Resultat-Produktion &amp; forbrug'!M$4:M$291,'Resultat-Produktion &amp; forbrug'!$A$4:$A$291,'Produktion &amp; forbrug'!$A7,'Resultat-Produktion &amp; forbrug'!$E$4:$E$291,'Produktion &amp; forbrug'!$F7)</f>
        <v>462837288.84999996</v>
      </c>
      <c r="N7" s="94">
        <f>SUMIFS('Resultat-Produktion &amp; forbrug'!N$4:N$291,'Resultat-Produktion &amp; forbrug'!$A$4:$A$291,'Produktion &amp; forbrug'!$A7,'Resultat-Produktion &amp; forbrug'!$E$4:$E$291,'Produktion &amp; forbrug'!$F7)</f>
        <v>0</v>
      </c>
      <c r="O7" s="179">
        <f t="shared" ca="1" si="3"/>
        <v>0</v>
      </c>
      <c r="P7" s="94">
        <f t="shared" ca="1" si="4"/>
        <v>0</v>
      </c>
      <c r="Q7" s="180">
        <f t="shared" ca="1" si="5"/>
        <v>462837288.84999996</v>
      </c>
      <c r="R7">
        <f ca="1">IFERROR(VLOOKUP(A7,[1]Energiindhold!$A$2:$C$11,3,FALSE),IFERROR(VLOOKUP(A7,[1]Biogasudbytte!$A$2:$B$18,2,FALSE)*[1]Energiindhold!$C$10,0))*P7</f>
        <v>0</v>
      </c>
      <c r="S7">
        <f>IF(A7&lt;&gt;"Biogas",IFERROR(VLOOKUP(A7,[1]Biogasudbytte!$A$2:$B$18,2,FALSE)*[1]Energiindhold!$C$10,0)*K7*IFERROR(VLOOKUP(A7,Biogasanlæg!$F$3:$G$8,2,FALSE),1)+IFERROR(VLOOKUP(A7,[1]Energiindhold!$A$2:$C$11,3,FALSE),0)*M7+IF(F7&lt;&gt;År1,R7,0),0)</f>
        <v>0</v>
      </c>
      <c r="T7">
        <f>IFERROR(VLOOKUP(A7,[1]Biogasudbytte!$A$2:$B$18,2,FALSE)*[1]Energiindhold!$C$10,0)*K7*IFERROR(VLOOKUP(A7,Biogasanlæg!$F$3:$G$8,2,FALSE),1)</f>
        <v>0</v>
      </c>
      <c r="U7" s="170">
        <f t="shared" si="6"/>
        <v>0</v>
      </c>
      <c r="V7" s="169">
        <f ca="1">P7*IFERROR(VLOOKUP(A7,[1]Tørstofindhold!A$2:B$24,2,FALSE),0)</f>
        <v>0</v>
      </c>
      <c r="W7">
        <f ca="1">IF(F7=År1,Q7,SUM(P7,Q7))*IFERROR(VLOOKUP(A7,[1]Tørstofindhold!A$2:B$24,2,FALSE),0)</f>
        <v>0</v>
      </c>
      <c r="X7">
        <f>K7*IFERROR(VLOOKUP(A7,[1]Tørstofindhold!A$2:B$24,2,FALSE),0)</f>
        <v>0</v>
      </c>
      <c r="Y7" s="170">
        <f t="shared" ca="1" si="7"/>
        <v>0</v>
      </c>
      <c r="Z7">
        <f t="shared" ca="1" si="0"/>
        <v>0</v>
      </c>
      <c r="AA7">
        <f t="shared" ca="1" si="1"/>
        <v>0</v>
      </c>
      <c r="AC7" s="94">
        <f t="shared" ca="1" si="8"/>
        <v>462837288.84999996</v>
      </c>
      <c r="AD7">
        <f ca="1">AC7*E7*10000*VLOOKUP(A7,[1]kcal!$A$2:$C$49,3,FALSE)/1000000000000</f>
        <v>0</v>
      </c>
    </row>
    <row r="8" spans="1:32" x14ac:dyDescent="0.25">
      <c r="A8" s="171" t="s">
        <v>110</v>
      </c>
      <c r="B8" s="171"/>
      <c r="C8" s="171" t="str">
        <f>IFERROR(VLOOKUP(A8,'Kategorisering af kcal'!$J$2:$K$18,2,FALSE),"")</f>
        <v/>
      </c>
      <c r="D8" s="171">
        <f>IF(COUNTIFS('Resultater - Danmark'!$D$3:$D$504,'Produktion &amp; forbrug'!A8,'Resultater - Danmark'!$A$3:$A$504,"Til energi")+COUNTIFS('Resultater - Danmark'!$D$3:$D$504,'Produktion &amp; forbrug'!A8,'Resultater - Danmark'!$A$3:$A$504,"Biogasanlæg")&gt;0,1,0)</f>
        <v>0</v>
      </c>
      <c r="E8" s="171">
        <v>0</v>
      </c>
      <c r="F8" s="171">
        <f t="shared" si="2"/>
        <v>2019</v>
      </c>
      <c r="G8" s="94">
        <f ca="1">SUMIFS('Resultat-Produktion &amp; forbrug'!G$4:G$291,'Resultat-Produktion &amp; forbrug'!$A$4:$A$291,'Produktion &amp; forbrug'!$A8,'Resultat-Produktion &amp; forbrug'!$E$4:$E$291,'Produktion &amp; forbrug'!$F8)</f>
        <v>12034020.807749998</v>
      </c>
      <c r="H8" s="94">
        <f>SUMIFS('Resultat-Produktion &amp; forbrug'!H$4:H$291,'Resultat-Produktion &amp; forbrug'!$A$4:$A$291,'Produktion &amp; forbrug'!$A8,'Resultat-Produktion &amp; forbrug'!$E$4:$E$291,'Produktion &amp; forbrug'!$F8)</f>
        <v>0</v>
      </c>
      <c r="I8" s="94">
        <f>SUMIFS('Resultat-Produktion &amp; forbrug'!I$4:I$291,'Resultat-Produktion &amp; forbrug'!$A$4:$A$291,'Produktion &amp; forbrug'!$A8,'Resultat-Produktion &amp; forbrug'!$E$4:$E$291,'Produktion &amp; forbrug'!$F8)</f>
        <v>0</v>
      </c>
      <c r="J8" s="94">
        <f>SUMIFS('Resultat-Produktion &amp; forbrug'!J$4:J$291,'Resultat-Produktion &amp; forbrug'!$A$4:$A$291,'Produktion &amp; forbrug'!$A8,'Resultat-Produktion &amp; forbrug'!$E$4:$E$291,'Produktion &amp; forbrug'!$F8)</f>
        <v>0</v>
      </c>
      <c r="K8" s="94">
        <f>SUMIFS('Resultat-Produktion &amp; forbrug'!K$4:K$291,'Resultat-Produktion &amp; forbrug'!$A$4:$A$291,'Produktion &amp; forbrug'!$A8,'Resultat-Produktion &amp; forbrug'!$E$4:$E$291,'Produktion &amp; forbrug'!$F8)</f>
        <v>0</v>
      </c>
      <c r="L8" s="94">
        <f ca="1">SUMIFS('Resultat-Produktion &amp; forbrug'!L$4:L$291,'Resultat-Produktion &amp; forbrug'!$A$4:$A$291,'Produktion &amp; forbrug'!$A8,'Resultat-Produktion &amp; forbrug'!$E$4:$E$291,'Produktion &amp; forbrug'!$F8)</f>
        <v>8803491.7355084848</v>
      </c>
      <c r="M8" s="94">
        <f>SUMIFS('Resultat-Produktion &amp; forbrug'!M$4:M$291,'Resultat-Produktion &amp; forbrug'!$A$4:$A$291,'Produktion &amp; forbrug'!$A8,'Resultat-Produktion &amp; forbrug'!$E$4:$E$291,'Produktion &amp; forbrug'!$F8)</f>
        <v>0</v>
      </c>
      <c r="N8" s="94">
        <f>SUMIFS('Resultat-Produktion &amp; forbrug'!N$4:N$291,'Resultat-Produktion &amp; forbrug'!$A$4:$A$291,'Produktion &amp; forbrug'!$A8,'Resultat-Produktion &amp; forbrug'!$E$4:$E$291,'Produktion &amp; forbrug'!$F8)</f>
        <v>0</v>
      </c>
      <c r="O8" s="179">
        <f t="shared" ca="1" si="3"/>
        <v>3230529.0722415131</v>
      </c>
      <c r="P8" s="94">
        <f t="shared" si="4"/>
        <v>0</v>
      </c>
      <c r="Q8" s="180">
        <f t="shared" si="5"/>
        <v>0</v>
      </c>
      <c r="R8">
        <f>IFERROR(VLOOKUP(A8,[1]Energiindhold!$A$2:$C$11,3,FALSE),IFERROR(VLOOKUP(A8,[1]Biogasudbytte!$A$2:$B$18,2,FALSE)*[1]Energiindhold!$C$10,0))*P8</f>
        <v>0</v>
      </c>
      <c r="S8">
        <f>IF(A8&lt;&gt;"Biogas",IFERROR(VLOOKUP(A8,[1]Biogasudbytte!$A$2:$B$18,2,FALSE)*[1]Energiindhold!$C$10,0)*K8*IFERROR(VLOOKUP(A8,Biogasanlæg!$F$3:$G$8,2,FALSE),1)+IFERROR(VLOOKUP(A8,[1]Energiindhold!$A$2:$C$11,3,FALSE),0)*M8+IF(F8&lt;&gt;År1,R8,0),0)</f>
        <v>0</v>
      </c>
      <c r="T8">
        <f>IFERROR(VLOOKUP(A8,[1]Biogasudbytte!$A$2:$B$18,2,FALSE)*[1]Energiindhold!$C$10,0)*K8*IFERROR(VLOOKUP(A8,Biogasanlæg!$F$3:$G$8,2,FALSE),1)</f>
        <v>0</v>
      </c>
      <c r="U8" s="170">
        <f t="shared" si="6"/>
        <v>0</v>
      </c>
      <c r="V8" s="169">
        <f>P8*IFERROR(VLOOKUP(A8,[1]Tørstofindhold!A$2:B$24,2,FALSE),0)</f>
        <v>0</v>
      </c>
      <c r="W8">
        <f>IF(F8=År1,Q8,SUM(P8,Q8))*IFERROR(VLOOKUP(A8,[1]Tørstofindhold!A$2:B$24,2,FALSE),0)</f>
        <v>0</v>
      </c>
      <c r="X8">
        <f>K8*IFERROR(VLOOKUP(A8,[1]Tørstofindhold!A$2:B$24,2,FALSE),0)</f>
        <v>0</v>
      </c>
      <c r="Y8" s="170">
        <f t="shared" si="7"/>
        <v>0</v>
      </c>
      <c r="Z8">
        <f t="shared" ca="1" si="0"/>
        <v>0</v>
      </c>
      <c r="AA8">
        <f t="shared" ca="1" si="1"/>
        <v>1</v>
      </c>
      <c r="AC8" s="94">
        <f ca="1">G8-SUMPRODUCT($H$2:$N$2,H8:N8)</f>
        <v>3230529.0722415131</v>
      </c>
      <c r="AD8">
        <f ca="1">AC8*E8*10000*VLOOKUP(A8,[1]kcal!$A$2:$C$49,3,FALSE)/1000000000000</f>
        <v>0</v>
      </c>
    </row>
    <row r="9" spans="1:32" x14ac:dyDescent="0.25">
      <c r="A9" s="171" t="s">
        <v>208</v>
      </c>
      <c r="B9" s="171" t="s">
        <v>230</v>
      </c>
      <c r="C9" s="171" t="str">
        <f>IFERROR(VLOOKUP(A9,'Kategorisering af kcal'!$J$2:$K$18,2,FALSE),"")</f>
        <v/>
      </c>
      <c r="D9" s="171">
        <f>IF(COUNTIFS('Resultater - Danmark'!$D$3:$D$504,'Produktion &amp; forbrug'!A9,'Resultater - Danmark'!$A$3:$A$504,"Til energi")+COUNTIFS('Resultater - Danmark'!$D$3:$D$504,'Produktion &amp; forbrug'!A9,'Resultater - Danmark'!$A$3:$A$504,"Biogasanlæg")&gt;0,1,0)</f>
        <v>1</v>
      </c>
      <c r="E9" s="171">
        <v>0</v>
      </c>
      <c r="F9" s="171">
        <f t="shared" si="2"/>
        <v>2019</v>
      </c>
      <c r="G9" s="94">
        <f ca="1">SUMIFS('Resultat-Produktion &amp; forbrug'!G$4:G$291,'Resultat-Produktion &amp; forbrug'!$A$4:$A$291,'Produktion &amp; forbrug'!$A9,'Resultat-Produktion &amp; forbrug'!$E$4:$E$291,'Produktion &amp; forbrug'!$F9)</f>
        <v>0</v>
      </c>
      <c r="H9" s="94">
        <f>SUMIFS('Resultat-Produktion &amp; forbrug'!H$4:H$291,'Resultat-Produktion &amp; forbrug'!$A$4:$A$291,'Produktion &amp; forbrug'!$A9,'Resultat-Produktion &amp; forbrug'!$E$4:$E$291,'Produktion &amp; forbrug'!$F9)</f>
        <v>0</v>
      </c>
      <c r="I9" s="94">
        <f>SUMIFS('Resultat-Produktion &amp; forbrug'!I$4:I$291,'Resultat-Produktion &amp; forbrug'!$A$4:$A$291,'Produktion &amp; forbrug'!$A9,'Resultat-Produktion &amp; forbrug'!$E$4:$E$291,'Produktion &amp; forbrug'!$F9)</f>
        <v>0</v>
      </c>
      <c r="J9" s="94">
        <f>SUMIFS('Resultat-Produktion &amp; forbrug'!J$4:J$291,'Resultat-Produktion &amp; forbrug'!$A$4:$A$291,'Produktion &amp; forbrug'!$A9,'Resultat-Produktion &amp; forbrug'!$E$4:$E$291,'Produktion &amp; forbrug'!$F9)</f>
        <v>0</v>
      </c>
      <c r="K9" s="94">
        <f ca="1">SUMIFS('Resultat-Produktion &amp; forbrug'!K$4:K$291,'Resultat-Produktion &amp; forbrug'!$A$4:$A$291,'Produktion &amp; forbrug'!$A9,'Resultat-Produktion &amp; forbrug'!$E$4:$E$291,'Produktion &amp; forbrug'!$F9)</f>
        <v>0</v>
      </c>
      <c r="L9" s="94">
        <f>SUMIFS('Resultat-Produktion &amp; forbrug'!L$4:L$291,'Resultat-Produktion &amp; forbrug'!$A$4:$A$291,'Produktion &amp; forbrug'!$A9,'Resultat-Produktion &amp; forbrug'!$E$4:$E$291,'Produktion &amp; forbrug'!$F9)</f>
        <v>0</v>
      </c>
      <c r="M9" s="94">
        <f>SUMIFS('Resultat-Produktion &amp; forbrug'!M$4:M$291,'Resultat-Produktion &amp; forbrug'!$A$4:$A$291,'Produktion &amp; forbrug'!$A9,'Resultat-Produktion &amp; forbrug'!$E$4:$E$291,'Produktion &amp; forbrug'!$F9)</f>
        <v>0</v>
      </c>
      <c r="N9" s="94">
        <f>SUMIFS('Resultat-Produktion &amp; forbrug'!N$4:N$291,'Resultat-Produktion &amp; forbrug'!$A$4:$A$291,'Produktion &amp; forbrug'!$A9,'Resultat-Produktion &amp; forbrug'!$E$4:$E$291,'Produktion &amp; forbrug'!$F9)</f>
        <v>0</v>
      </c>
      <c r="O9" s="179">
        <f t="shared" ca="1" si="3"/>
        <v>0</v>
      </c>
      <c r="P9" s="94">
        <f t="shared" ca="1" si="4"/>
        <v>0</v>
      </c>
      <c r="Q9" s="180">
        <f t="shared" ca="1" si="5"/>
        <v>0</v>
      </c>
      <c r="R9">
        <f ca="1">IFERROR(VLOOKUP(A9,[1]Energiindhold!$A$2:$C$11,3,FALSE),IFERROR(VLOOKUP(A9,[1]Biogasudbytte!$A$2:$B$18,2,FALSE)*[1]Energiindhold!$C$10,0))*P9</f>
        <v>0</v>
      </c>
      <c r="S9">
        <f ca="1">IF(A9&lt;&gt;"Biogas",IFERROR(VLOOKUP(A9,[1]Biogasudbytte!$A$2:$B$18,2,FALSE)*[1]Energiindhold!$C$10,0)*K9*IFERROR(VLOOKUP(A9,Biogasanlæg!$F$3:$G$8,2,FALSE),1)+IFERROR(VLOOKUP(A9,[1]Energiindhold!$A$2:$C$11,3,FALSE),0)*M9+IF(F9&lt;&gt;År1,R9,0),0)</f>
        <v>0</v>
      </c>
      <c r="T9">
        <f ca="1">IFERROR(VLOOKUP(A9,[1]Biogasudbytte!$A$2:$B$18,2,FALSE)*[1]Energiindhold!$C$10,0)*K9*IFERROR(VLOOKUP(A9,Biogasanlæg!$F$3:$G$8,2,FALSE),1)</f>
        <v>0</v>
      </c>
      <c r="U9" s="170">
        <f t="shared" ca="1" si="6"/>
        <v>0</v>
      </c>
      <c r="V9" s="169">
        <f ca="1">P9*IFERROR(VLOOKUP(A9,[1]Tørstofindhold!A$2:B$24,2,FALSE),0)</f>
        <v>0</v>
      </c>
      <c r="W9">
        <f ca="1">IF(F9=År1,Q9,SUM(P9,Q9))*IFERROR(VLOOKUP(A9,[1]Tørstofindhold!A$2:B$24,2,FALSE),0)</f>
        <v>0</v>
      </c>
      <c r="X9">
        <f ca="1">K9*IFERROR(VLOOKUP(A9,[1]Tørstofindhold!A$2:B$24,2,FALSE),0)</f>
        <v>0</v>
      </c>
      <c r="Y9" s="170">
        <f t="shared" ca="1" si="7"/>
        <v>0</v>
      </c>
      <c r="Z9">
        <f t="shared" ca="1" si="0"/>
        <v>0</v>
      </c>
      <c r="AA9">
        <f t="shared" ca="1" si="1"/>
        <v>0</v>
      </c>
      <c r="AC9" s="94">
        <f t="shared" ca="1" si="8"/>
        <v>0</v>
      </c>
      <c r="AD9">
        <f ca="1">AC9*E9*10000*VLOOKUP(A9,[1]kcal!$A$2:$C$49,3,FALSE)/1000000000000</f>
        <v>0</v>
      </c>
    </row>
    <row r="10" spans="1:32" x14ac:dyDescent="0.25">
      <c r="A10" t="s">
        <v>101</v>
      </c>
      <c r="B10" s="171" t="s">
        <v>222</v>
      </c>
      <c r="C10" s="171" t="str">
        <f>IFERROR(VLOOKUP(A10,'Kategorisering af kcal'!$J$2:$K$18,2,FALSE),"")</f>
        <v/>
      </c>
      <c r="D10" s="171">
        <f>IF(COUNTIFS('Resultater - Danmark'!$D$3:$D$504,'Produktion &amp; forbrug'!A10,'Resultater - Danmark'!$A$3:$A$504,"Til energi")+COUNTIFS('Resultater - Danmark'!$D$3:$D$504,'Produktion &amp; forbrug'!A10,'Resultater - Danmark'!$A$3:$A$504,"Biogasanlæg")&gt;0,1,0)</f>
        <v>1</v>
      </c>
      <c r="E10" s="171">
        <v>0</v>
      </c>
      <c r="F10" s="171">
        <f t="shared" si="2"/>
        <v>2019</v>
      </c>
      <c r="G10" s="94">
        <f ca="1">SUMIFS('Resultat-Produktion &amp; forbrug'!G$4:G$291,'Resultat-Produktion &amp; forbrug'!$A$4:$A$291,'Produktion &amp; forbrug'!$A10,'Resultat-Produktion &amp; forbrug'!$E$4:$E$291,'Produktion &amp; forbrug'!$F10)</f>
        <v>2933070.0000000005</v>
      </c>
      <c r="H10" s="94">
        <f>SUMIFS('Resultat-Produktion &amp; forbrug'!H$4:H$291,'Resultat-Produktion &amp; forbrug'!$A$4:$A$291,'Produktion &amp; forbrug'!$A10,'Resultat-Produktion &amp; forbrug'!$E$4:$E$291,'Produktion &amp; forbrug'!$F10)</f>
        <v>0</v>
      </c>
      <c r="I10" s="94">
        <f>SUMIFS('Resultat-Produktion &amp; forbrug'!I$4:I$291,'Resultat-Produktion &amp; forbrug'!$A$4:$A$291,'Produktion &amp; forbrug'!$A10,'Resultat-Produktion &amp; forbrug'!$E$4:$E$291,'Produktion &amp; forbrug'!$F10)</f>
        <v>0</v>
      </c>
      <c r="J10" s="94">
        <f>SUMIFS('Resultat-Produktion &amp; forbrug'!J$4:J$291,'Resultat-Produktion &amp; forbrug'!$A$4:$A$291,'Produktion &amp; forbrug'!$A10,'Resultat-Produktion &amp; forbrug'!$E$4:$E$291,'Produktion &amp; forbrug'!$F10)</f>
        <v>0</v>
      </c>
      <c r="K10" s="94">
        <f ca="1">SUMIFS('Resultat-Produktion &amp; forbrug'!K$4:K$291,'Resultat-Produktion &amp; forbrug'!$A$4:$A$291,'Produktion &amp; forbrug'!$A10,'Resultat-Produktion &amp; forbrug'!$E$4:$E$291,'Produktion &amp; forbrug'!$F10)</f>
        <v>757087.00000000012</v>
      </c>
      <c r="L10" s="94">
        <f ca="1">SUMIFS('Resultat-Produktion &amp; forbrug'!L$4:L$291,'Resultat-Produktion &amp; forbrug'!$A$4:$A$291,'Produktion &amp; forbrug'!$A10,'Resultat-Produktion &amp; forbrug'!$E$4:$E$291,'Produktion &amp; forbrug'!$F10)</f>
        <v>823764.99285714305</v>
      </c>
      <c r="M10" s="94">
        <f>SUMIFS('Resultat-Produktion &amp; forbrug'!M$4:M$291,'Resultat-Produktion &amp; forbrug'!$A$4:$A$291,'Produktion &amp; forbrug'!$A10,'Resultat-Produktion &amp; forbrug'!$E$4:$E$291,'Produktion &amp; forbrug'!$F10)</f>
        <v>0</v>
      </c>
      <c r="N10" s="94">
        <f>SUMIFS('Resultat-Produktion &amp; forbrug'!N$4:N$291,'Resultat-Produktion &amp; forbrug'!$A$4:$A$291,'Produktion &amp; forbrug'!$A10,'Resultat-Produktion &amp; forbrug'!$E$4:$E$291,'Produktion &amp; forbrug'!$F10)</f>
        <v>0</v>
      </c>
      <c r="O10" s="179">
        <f t="shared" ca="1" si="3"/>
        <v>1352218.0071428572</v>
      </c>
      <c r="P10" s="94">
        <f t="shared" ca="1" si="4"/>
        <v>1352218.0071428572</v>
      </c>
      <c r="Q10" s="180">
        <f ca="1">SUM(K10,M10)</f>
        <v>757087.00000000012</v>
      </c>
      <c r="R10">
        <f ca="1">IFERROR(VLOOKUP(A10,[1]Energiindhold!$A$2:$C$11,3,FALSE),IFERROR(VLOOKUP(A10,[1]Biogasudbytte!$A$2:$B$18,2,FALSE)*[1]Energiindhold!$C$10,0))*P10</f>
        <v>2.9126775873857143</v>
      </c>
      <c r="S10">
        <f ca="1">IF(A10&lt;&gt;"Biogas",IFERROR(VLOOKUP(A10,[1]Biogasudbytte!$A$2:$B$18,2,FALSE)*[1]Energiindhold!$C$10,0)*K10*IFERROR(VLOOKUP(A10,Biogasanlæg!$F$3:$G$8,2,FALSE),1)+IFERROR(VLOOKUP(A10,[1]Energiindhold!$A$2:$C$11,3,FALSE),0)*M10+IF(F10&lt;&gt;År1,R10,0),0)</f>
        <v>1.6307653980000003</v>
      </c>
      <c r="T10">
        <f ca="1">IFERROR(VLOOKUP(A10,[1]Biogasudbytte!$A$2:$B$18,2,FALSE)*[1]Energiindhold!$C$10,0)*K10*IFERROR(VLOOKUP(A10,Biogasanlæg!$F$3:$G$8,2,FALSE),1)</f>
        <v>1.6307653980000003</v>
      </c>
      <c r="U10" s="170">
        <f t="shared" ca="1" si="6"/>
        <v>0</v>
      </c>
      <c r="V10" s="169">
        <f ca="1">P10*IFERROR(VLOOKUP(A10,[1]Tørstofindhold!A$2:B$24,2,FALSE),0)</f>
        <v>405665.40214285714</v>
      </c>
      <c r="W10">
        <f ca="1">IF(F10=År1,Q10,SUM(P10,Q10))*IFERROR(VLOOKUP(A10,[1]Tørstofindhold!A$2:B$24,2,FALSE),0)</f>
        <v>227126.10000000003</v>
      </c>
      <c r="X10">
        <f ca="1">K10*IFERROR(VLOOKUP(A10,[1]Tørstofindhold!A$2:B$24,2,FALSE),0)</f>
        <v>227126.10000000003</v>
      </c>
      <c r="Y10" s="170">
        <f t="shared" ca="1" si="7"/>
        <v>0</v>
      </c>
      <c r="Z10">
        <f t="shared" ca="1" si="0"/>
        <v>0</v>
      </c>
      <c r="AA10">
        <f t="shared" ca="1" si="1"/>
        <v>1</v>
      </c>
      <c r="AC10" s="94">
        <f t="shared" ca="1" si="8"/>
        <v>1352218.0071428572</v>
      </c>
      <c r="AD10">
        <f ca="1">AC10*E10*10000*VLOOKUP(A10,[1]kcal!$A$2:$C$49,3,FALSE)/1000000000000</f>
        <v>0</v>
      </c>
    </row>
    <row r="11" spans="1:32" x14ac:dyDescent="0.25">
      <c r="A11" t="s">
        <v>204</v>
      </c>
      <c r="B11" s="171"/>
      <c r="C11" s="171" t="str">
        <f>IFERROR(VLOOKUP(A11,'Kategorisering af kcal'!$J$2:$K$18,2,FALSE),"")</f>
        <v/>
      </c>
      <c r="D11" s="171">
        <f>IF(COUNTIFS('Resultater - Danmark'!$D$3:$D$504,'Produktion &amp; forbrug'!A11,'Resultater - Danmark'!$A$3:$A$504,"Til energi")+COUNTIFS('Resultater - Danmark'!$D$3:$D$504,'Produktion &amp; forbrug'!A11,'Resultater - Danmark'!$A$3:$A$504,"Biogasanlæg")&gt;0,1,0)</f>
        <v>0</v>
      </c>
      <c r="E11" s="171">
        <v>0</v>
      </c>
      <c r="F11" s="171">
        <f t="shared" si="2"/>
        <v>2019</v>
      </c>
      <c r="G11" s="94">
        <f ca="1">SUMIFS('Resultat-Produktion &amp; forbrug'!G$4:G$291,'Resultat-Produktion &amp; forbrug'!$A$4:$A$291,'Produktion &amp; forbrug'!$A11,'Resultat-Produktion &amp; forbrug'!$E$4:$E$291,'Produktion &amp; forbrug'!$F11)</f>
        <v>0</v>
      </c>
      <c r="H11" s="94">
        <f ca="1">SUMIFS('Resultat-Produktion &amp; forbrug'!H$4:H$291,'Resultat-Produktion &amp; forbrug'!$A$4:$A$291,'Produktion &amp; forbrug'!$A11,'Resultat-Produktion &amp; forbrug'!$E$4:$E$291,'Produktion &amp; forbrug'!$F11)</f>
        <v>0</v>
      </c>
      <c r="I11" s="94">
        <f>SUMIFS('Resultat-Produktion &amp; forbrug'!I$4:I$291,'Resultat-Produktion &amp; forbrug'!$A$4:$A$291,'Produktion &amp; forbrug'!$A11,'Resultat-Produktion &amp; forbrug'!$E$4:$E$291,'Produktion &amp; forbrug'!$F11)</f>
        <v>0</v>
      </c>
      <c r="J11" s="94">
        <f>SUMIFS('Resultat-Produktion &amp; forbrug'!J$4:J$291,'Resultat-Produktion &amp; forbrug'!$A$4:$A$291,'Produktion &amp; forbrug'!$A11,'Resultat-Produktion &amp; forbrug'!$E$4:$E$291,'Produktion &amp; forbrug'!$F11)</f>
        <v>0</v>
      </c>
      <c r="K11" s="94">
        <f>SUMIFS('Resultat-Produktion &amp; forbrug'!K$4:K$291,'Resultat-Produktion &amp; forbrug'!$A$4:$A$291,'Produktion &amp; forbrug'!$A11,'Resultat-Produktion &amp; forbrug'!$E$4:$E$291,'Produktion &amp; forbrug'!$F11)</f>
        <v>0</v>
      </c>
      <c r="L11" s="94">
        <f>SUMIFS('Resultat-Produktion &amp; forbrug'!L$4:L$291,'Resultat-Produktion &amp; forbrug'!$A$4:$A$291,'Produktion &amp; forbrug'!$A11,'Resultat-Produktion &amp; forbrug'!$E$4:$E$291,'Produktion &amp; forbrug'!$F11)</f>
        <v>0</v>
      </c>
      <c r="M11" s="94">
        <f>SUMIFS('Resultat-Produktion &amp; forbrug'!M$4:M$291,'Resultat-Produktion &amp; forbrug'!$A$4:$A$291,'Produktion &amp; forbrug'!$A11,'Resultat-Produktion &amp; forbrug'!$E$4:$E$291,'Produktion &amp; forbrug'!$F11)</f>
        <v>0</v>
      </c>
      <c r="N11" s="94">
        <f>SUMIFS('Resultat-Produktion &amp; forbrug'!N$4:N$291,'Resultat-Produktion &amp; forbrug'!$A$4:$A$291,'Produktion &amp; forbrug'!$A11,'Resultat-Produktion &amp; forbrug'!$E$4:$E$291,'Produktion &amp; forbrug'!$F11)</f>
        <v>0</v>
      </c>
      <c r="O11" s="179">
        <f t="shared" ca="1" si="3"/>
        <v>0</v>
      </c>
      <c r="P11" s="94">
        <f t="shared" si="4"/>
        <v>0</v>
      </c>
      <c r="Q11" s="180">
        <f t="shared" si="5"/>
        <v>0</v>
      </c>
      <c r="R11">
        <f>IFERROR(VLOOKUP(A11,[1]Energiindhold!$A$2:$C$11,3,FALSE),IFERROR(VLOOKUP(A11,[1]Biogasudbytte!$A$2:$B$18,2,FALSE)*[1]Energiindhold!$C$10,0))*P11</f>
        <v>0</v>
      </c>
      <c r="S11">
        <f>IF(A11&lt;&gt;"Biogas",IFERROR(VLOOKUP(A11,[1]Biogasudbytte!$A$2:$B$18,2,FALSE)*[1]Energiindhold!$C$10,0)*K11*IFERROR(VLOOKUP(A11,Biogasanlæg!$F$3:$G$8,2,FALSE),1)+IFERROR(VLOOKUP(A11,[1]Energiindhold!$A$2:$C$11,3,FALSE),0)*M11+IF(F11&lt;&gt;År1,R11,0),0)</f>
        <v>0</v>
      </c>
      <c r="T11">
        <f>IFERROR(VLOOKUP(A11,[1]Biogasudbytte!$A$2:$B$18,2,FALSE)*[1]Energiindhold!$C$10,0)*K11*IFERROR(VLOOKUP(A11,Biogasanlæg!$F$3:$G$8,2,FALSE),1)</f>
        <v>0</v>
      </c>
      <c r="U11" s="170">
        <f t="shared" si="6"/>
        <v>0</v>
      </c>
      <c r="V11" s="169">
        <f>P11*IFERROR(VLOOKUP(A11,[1]Tørstofindhold!A$2:B$24,2,FALSE),0)</f>
        <v>0</v>
      </c>
      <c r="W11">
        <f>IF(F11=År1,Q11,SUM(P11,Q11))*IFERROR(VLOOKUP(A11,[1]Tørstofindhold!A$2:B$24,2,FALSE),0)</f>
        <v>0</v>
      </c>
      <c r="X11">
        <f>K11*IFERROR(VLOOKUP(A11,[1]Tørstofindhold!A$2:B$24,2,FALSE),0)</f>
        <v>0</v>
      </c>
      <c r="Y11" s="170">
        <f t="shared" si="7"/>
        <v>0</v>
      </c>
      <c r="Z11">
        <f t="shared" ca="1" si="0"/>
        <v>0</v>
      </c>
      <c r="AA11">
        <f t="shared" ca="1" si="1"/>
        <v>0</v>
      </c>
      <c r="AC11" s="94">
        <f t="shared" ca="1" si="8"/>
        <v>0</v>
      </c>
      <c r="AD11">
        <f ca="1">AC11*E11*10000*VLOOKUP(A11,[1]kcal!$A$2:$C$49,3,FALSE)/1000000000000</f>
        <v>0</v>
      </c>
    </row>
    <row r="12" spans="1:32" x14ac:dyDescent="0.25">
      <c r="A12" t="s">
        <v>137</v>
      </c>
      <c r="B12" s="171" t="s">
        <v>222</v>
      </c>
      <c r="C12" s="171" t="str">
        <f>IFERROR(VLOOKUP(A12,'Kategorisering af kcal'!$J$2:$K$18,2,FALSE),"")</f>
        <v/>
      </c>
      <c r="D12" s="171">
        <f>IF(COUNTIFS('Resultater - Danmark'!$D$3:$D$504,'Produktion &amp; forbrug'!A12,'Resultater - Danmark'!$A$3:$A$504,"Til energi")+COUNTIFS('Resultater - Danmark'!$D$3:$D$504,'Produktion &amp; forbrug'!A12,'Resultater - Danmark'!$A$3:$A$504,"Biogasanlæg")&gt;0,1,0)</f>
        <v>1</v>
      </c>
      <c r="E12" s="171">
        <v>0</v>
      </c>
      <c r="F12" s="171">
        <f t="shared" si="2"/>
        <v>2019</v>
      </c>
      <c r="G12" s="94">
        <f ca="1">SUMIFS('Resultat-Produktion &amp; forbrug'!G$4:G$291,'Resultat-Produktion &amp; forbrug'!$A$4:$A$291,'Produktion &amp; forbrug'!$A12,'Resultat-Produktion &amp; forbrug'!$E$4:$E$291,'Produktion &amp; forbrug'!$F12)</f>
        <v>8883</v>
      </c>
      <c r="H12" s="94">
        <f>SUMIFS('Resultat-Produktion &amp; forbrug'!H$4:H$291,'Resultat-Produktion &amp; forbrug'!$A$4:$A$291,'Produktion &amp; forbrug'!$A12,'Resultat-Produktion &amp; forbrug'!$E$4:$E$291,'Produktion &amp; forbrug'!$F12)</f>
        <v>0</v>
      </c>
      <c r="I12" s="94">
        <f>SUMIFS('Resultat-Produktion &amp; forbrug'!I$4:I$291,'Resultat-Produktion &amp; forbrug'!$A$4:$A$291,'Produktion &amp; forbrug'!$A12,'Resultat-Produktion &amp; forbrug'!$E$4:$E$291,'Produktion &amp; forbrug'!$F12)</f>
        <v>0</v>
      </c>
      <c r="J12" s="94">
        <f>SUMIFS('Resultat-Produktion &amp; forbrug'!J$4:J$291,'Resultat-Produktion &amp; forbrug'!$A$4:$A$291,'Produktion &amp; forbrug'!$A12,'Resultat-Produktion &amp; forbrug'!$E$4:$E$291,'Produktion &amp; forbrug'!$F12)</f>
        <v>0</v>
      </c>
      <c r="K12" s="94">
        <f ca="1">SUMIFS('Resultat-Produktion &amp; forbrug'!K$4:K$291,'Resultat-Produktion &amp; forbrug'!$A$4:$A$291,'Produktion &amp; forbrug'!$A12,'Resultat-Produktion &amp; forbrug'!$E$4:$E$291,'Produktion &amp; forbrug'!$F12)</f>
        <v>4441.5</v>
      </c>
      <c r="L12" s="94">
        <f ca="1">SUMIFS('Resultat-Produktion &amp; forbrug'!L$4:L$291,'Resultat-Produktion &amp; forbrug'!$A$4:$A$291,'Produktion &amp; forbrug'!$A12,'Resultat-Produktion &amp; forbrug'!$E$4:$E$291,'Produktion &amp; forbrug'!$F12)</f>
        <v>4441.5</v>
      </c>
      <c r="M12" s="94">
        <f>SUMIFS('Resultat-Produktion &amp; forbrug'!M$4:M$291,'Resultat-Produktion &amp; forbrug'!$A$4:$A$291,'Produktion &amp; forbrug'!$A12,'Resultat-Produktion &amp; forbrug'!$E$4:$E$291,'Produktion &amp; forbrug'!$F12)</f>
        <v>0</v>
      </c>
      <c r="N12" s="94">
        <f>SUMIFS('Resultat-Produktion &amp; forbrug'!N$4:N$291,'Resultat-Produktion &amp; forbrug'!$A$4:$A$291,'Produktion &amp; forbrug'!$A12,'Resultat-Produktion &amp; forbrug'!$E$4:$E$291,'Produktion &amp; forbrug'!$F12)</f>
        <v>0</v>
      </c>
      <c r="O12" s="179">
        <f t="shared" ca="1" si="3"/>
        <v>0</v>
      </c>
      <c r="P12" s="94">
        <f t="shared" ca="1" si="4"/>
        <v>0</v>
      </c>
      <c r="Q12" s="180">
        <f t="shared" ca="1" si="5"/>
        <v>4441.5</v>
      </c>
      <c r="R12">
        <f ca="1">IFERROR(VLOOKUP(A12,[1]Energiindhold!$A$2:$C$11,3,FALSE),IFERROR(VLOOKUP(A12,[1]Biogasudbytte!$A$2:$B$18,2,FALSE)*[1]Energiindhold!$C$10,0))*P12</f>
        <v>0</v>
      </c>
      <c r="S12">
        <f ca="1">IF(A12&lt;&gt;"Biogas",IFERROR(VLOOKUP(A12,[1]Biogasudbytte!$A$2:$B$18,2,FALSE)*[1]Energiindhold!$C$10,0)*K12*IFERROR(VLOOKUP(A12,Biogasanlæg!$F$3:$G$8,2,FALSE),1)+IFERROR(VLOOKUP(A12,[1]Energiindhold!$A$2:$C$11,3,FALSE),0)*M12+IF(F12&lt;&gt;År1,R12,0),0)</f>
        <v>2.0887930350000001E-3</v>
      </c>
      <c r="T12">
        <f ca="1">IFERROR(VLOOKUP(A12,[1]Biogasudbytte!$A$2:$B$18,2,FALSE)*[1]Energiindhold!$C$10,0)*K12*IFERROR(VLOOKUP(A12,Biogasanlæg!$F$3:$G$8,2,FALSE),1)</f>
        <v>2.0887930350000001E-3</v>
      </c>
      <c r="U12" s="170">
        <f t="shared" ca="1" si="6"/>
        <v>0</v>
      </c>
      <c r="V12" s="169">
        <f ca="1">P12*IFERROR(VLOOKUP(A12,[1]Tørstofindhold!A$2:B$24,2,FALSE),0)</f>
        <v>0</v>
      </c>
      <c r="W12">
        <f ca="1">IF(F12=År1,Q12,SUM(P12,Q12))*IFERROR(VLOOKUP(A12,[1]Tørstofindhold!A$2:B$24,2,FALSE),0)</f>
        <v>279.81450000000001</v>
      </c>
      <c r="X12">
        <f ca="1">K12*IFERROR(VLOOKUP(A12,[1]Tørstofindhold!A$2:B$24,2,FALSE),0)</f>
        <v>279.81450000000001</v>
      </c>
      <c r="Y12" s="170">
        <f t="shared" ca="1" si="7"/>
        <v>0</v>
      </c>
      <c r="Z12">
        <f t="shared" ca="1" si="0"/>
        <v>0</v>
      </c>
      <c r="AA12">
        <f t="shared" ca="1" si="1"/>
        <v>0</v>
      </c>
      <c r="AC12" s="94">
        <f t="shared" ca="1" si="8"/>
        <v>0</v>
      </c>
      <c r="AD12">
        <f ca="1">AC12*E12*10000*VLOOKUP(A12,[1]kcal!$A$2:$C$49,3,FALSE)/1000000000000</f>
        <v>0</v>
      </c>
    </row>
    <row r="13" spans="1:32" x14ac:dyDescent="0.25">
      <c r="A13" t="s">
        <v>96</v>
      </c>
      <c r="B13" s="171"/>
      <c r="C13" s="171" t="str">
        <f>IFERROR(VLOOKUP(A13,'Kategorisering af kcal'!$J$2:$K$18,2,FALSE),"")</f>
        <v>Kød</v>
      </c>
      <c r="D13" s="171">
        <f>IF(COUNTIFS('Resultater - Danmark'!$D$3:$D$504,'Produktion &amp; forbrug'!A13,'Resultater - Danmark'!$A$3:$A$504,"Til energi")+COUNTIFS('Resultater - Danmark'!$D$3:$D$504,'Produktion &amp; forbrug'!A13,'Resultater - Danmark'!$A$3:$A$504,"Biogasanlæg")&gt;0,1,0)</f>
        <v>0</v>
      </c>
      <c r="E13" s="171">
        <v>1</v>
      </c>
      <c r="F13" s="171">
        <f t="shared" si="2"/>
        <v>2019</v>
      </c>
      <c r="G13" s="94">
        <f ca="1">SUMIFS('Resultat-Produktion &amp; forbrug'!G$4:G$291,'Resultat-Produktion &amp; forbrug'!$A$4:$A$291,'Produktion &amp; forbrug'!$A13,'Resultat-Produktion &amp; forbrug'!$E$4:$E$291,'Produktion &amp; forbrug'!$F13)</f>
        <v>201545.30567673693</v>
      </c>
      <c r="H13" s="94">
        <f>SUMIFS('Resultat-Produktion &amp; forbrug'!H$4:H$291,'Resultat-Produktion &amp; forbrug'!$A$4:$A$291,'Produktion &amp; forbrug'!$A13,'Resultat-Produktion &amp; forbrug'!$E$4:$E$291,'Produktion &amp; forbrug'!$F13)</f>
        <v>0</v>
      </c>
      <c r="I13" s="94">
        <f>SUMIFS('Resultat-Produktion &amp; forbrug'!I$4:I$291,'Resultat-Produktion &amp; forbrug'!$A$4:$A$291,'Produktion &amp; forbrug'!$A13,'Resultat-Produktion &amp; forbrug'!$E$4:$E$291,'Produktion &amp; forbrug'!$F13)</f>
        <v>0</v>
      </c>
      <c r="J13" s="94">
        <f>SUMIFS('Resultat-Produktion &amp; forbrug'!J$4:J$291,'Resultat-Produktion &amp; forbrug'!$A$4:$A$291,'Produktion &amp; forbrug'!$A13,'Resultat-Produktion &amp; forbrug'!$E$4:$E$291,'Produktion &amp; forbrug'!$F13)</f>
        <v>63270.025647837821</v>
      </c>
      <c r="K13" s="94">
        <f>SUMIFS('Resultat-Produktion &amp; forbrug'!K$4:K$291,'Resultat-Produktion &amp; forbrug'!$A$4:$A$291,'Produktion &amp; forbrug'!$A13,'Resultat-Produktion &amp; forbrug'!$E$4:$E$291,'Produktion &amp; forbrug'!$F13)</f>
        <v>0</v>
      </c>
      <c r="L13" s="94">
        <f>SUMIFS('Resultat-Produktion &amp; forbrug'!L$4:L$291,'Resultat-Produktion &amp; forbrug'!$A$4:$A$291,'Produktion &amp; forbrug'!$A13,'Resultat-Produktion &amp; forbrug'!$E$4:$E$291,'Produktion &amp; forbrug'!$F13)</f>
        <v>0</v>
      </c>
      <c r="M13" s="94">
        <f>SUMIFS('Resultat-Produktion &amp; forbrug'!M$4:M$291,'Resultat-Produktion &amp; forbrug'!$A$4:$A$291,'Produktion &amp; forbrug'!$A13,'Resultat-Produktion &amp; forbrug'!$E$4:$E$291,'Produktion &amp; forbrug'!$F13)</f>
        <v>0</v>
      </c>
      <c r="N13" s="94">
        <f>SUMIFS('Resultat-Produktion &amp; forbrug'!N$4:N$291,'Resultat-Produktion &amp; forbrug'!$A$4:$A$291,'Produktion &amp; forbrug'!$A13,'Resultat-Produktion &amp; forbrug'!$E$4:$E$291,'Produktion &amp; forbrug'!$F13)</f>
        <v>0</v>
      </c>
      <c r="O13" s="179">
        <f t="shared" ca="1" si="3"/>
        <v>138275.28002889911</v>
      </c>
      <c r="P13" s="94">
        <f t="shared" si="4"/>
        <v>0</v>
      </c>
      <c r="Q13" s="180">
        <f t="shared" si="5"/>
        <v>0</v>
      </c>
      <c r="R13">
        <f>IFERROR(VLOOKUP(A13,[1]Energiindhold!$A$2:$C$11,3,FALSE),IFERROR(VLOOKUP(A13,[1]Biogasudbytte!$A$2:$B$18,2,FALSE)*[1]Energiindhold!$C$10,0))*P13</f>
        <v>0</v>
      </c>
      <c r="S13">
        <f>IF(A13&lt;&gt;"Biogas",IFERROR(VLOOKUP(A13,[1]Biogasudbytte!$A$2:$B$18,2,FALSE)*[1]Energiindhold!$C$10,0)*K13*IFERROR(VLOOKUP(A13,Biogasanlæg!$F$3:$G$8,2,FALSE),1)+IFERROR(VLOOKUP(A13,[1]Energiindhold!$A$2:$C$11,3,FALSE),0)*M13+IF(F13&lt;&gt;År1,R13,0),0)</f>
        <v>0</v>
      </c>
      <c r="T13">
        <f>IFERROR(VLOOKUP(A13,[1]Biogasudbytte!$A$2:$B$18,2,FALSE)*[1]Energiindhold!$C$10,0)*K13*IFERROR(VLOOKUP(A13,Biogasanlæg!$F$3:$G$8,2,FALSE),1)</f>
        <v>0</v>
      </c>
      <c r="U13" s="170">
        <f t="shared" si="6"/>
        <v>0</v>
      </c>
      <c r="V13" s="169">
        <f>P13*IFERROR(VLOOKUP(A13,[1]Tørstofindhold!A$2:B$24,2,FALSE),0)</f>
        <v>0</v>
      </c>
      <c r="W13">
        <f>IF(F13=År1,Q13,SUM(P13,Q13))*IFERROR(VLOOKUP(A13,[1]Tørstofindhold!A$2:B$24,2,FALSE),0)</f>
        <v>0</v>
      </c>
      <c r="X13">
        <f>K13*IFERROR(VLOOKUP(A13,[1]Tørstofindhold!A$2:B$24,2,FALSE),0)</f>
        <v>0</v>
      </c>
      <c r="Y13" s="170">
        <f t="shared" si="7"/>
        <v>0</v>
      </c>
      <c r="Z13">
        <f t="shared" ca="1" si="0"/>
        <v>0</v>
      </c>
      <c r="AA13">
        <f t="shared" ca="1" si="1"/>
        <v>1</v>
      </c>
      <c r="AC13" s="94">
        <f t="shared" ca="1" si="8"/>
        <v>201545.30567673693</v>
      </c>
      <c r="AD13">
        <f ca="1">AC13*E13*10000*VLOOKUP(A13,[1]kcal!$A$2:$C$49,3,FALSE)/1000000000000</f>
        <v>0.30634886462864014</v>
      </c>
    </row>
    <row r="14" spans="1:32" x14ac:dyDescent="0.25">
      <c r="A14" t="s">
        <v>113</v>
      </c>
      <c r="B14" s="171"/>
      <c r="C14" s="171" t="str">
        <f>IFERROR(VLOOKUP(A14,'Kategorisering af kcal'!$J$2:$K$18,2,FALSE),"")</f>
        <v/>
      </c>
      <c r="D14" s="171">
        <f>IF(COUNTIFS('Resultater - Danmark'!$D$3:$D$504,'Produktion &amp; forbrug'!A14,'Resultater - Danmark'!$A$3:$A$504,"Til energi")+COUNTIFS('Resultater - Danmark'!$D$3:$D$504,'Produktion &amp; forbrug'!A14,'Resultater - Danmark'!$A$3:$A$504,"Biogasanlæg")&gt;0,1,0)</f>
        <v>0</v>
      </c>
      <c r="E14" s="171">
        <v>0</v>
      </c>
      <c r="F14" s="171">
        <f t="shared" si="2"/>
        <v>2019</v>
      </c>
      <c r="G14" s="94">
        <f>SUMIFS('Resultat-Produktion &amp; forbrug'!G$4:G$291,'Resultat-Produktion &amp; forbrug'!$A$4:$A$291,'Produktion &amp; forbrug'!$A14,'Resultat-Produktion &amp; forbrug'!$E$4:$E$291,'Produktion &amp; forbrug'!$F14)</f>
        <v>1508282.669250763</v>
      </c>
      <c r="H14" s="94">
        <f>SUMIFS('Resultat-Produktion &amp; forbrug'!H$4:H$291,'Resultat-Produktion &amp; forbrug'!$A$4:$A$291,'Produktion &amp; forbrug'!$A14,'Resultat-Produktion &amp; forbrug'!$E$4:$E$291,'Produktion &amp; forbrug'!$F14)</f>
        <v>0</v>
      </c>
      <c r="I14" s="94">
        <f>SUMIFS('Resultat-Produktion &amp; forbrug'!I$4:I$291,'Resultat-Produktion &amp; forbrug'!$A$4:$A$291,'Produktion &amp; forbrug'!$A14,'Resultat-Produktion &amp; forbrug'!$E$4:$E$291,'Produktion &amp; forbrug'!$F14)</f>
        <v>0</v>
      </c>
      <c r="J14" s="94">
        <f>SUMIFS('Resultat-Produktion &amp; forbrug'!J$4:J$291,'Resultat-Produktion &amp; forbrug'!$A$4:$A$291,'Produktion &amp; forbrug'!$A14,'Resultat-Produktion &amp; forbrug'!$E$4:$E$291,'Produktion &amp; forbrug'!$F14)</f>
        <v>0</v>
      </c>
      <c r="K14" s="94">
        <f>SUMIFS('Resultat-Produktion &amp; forbrug'!K$4:K$291,'Resultat-Produktion &amp; forbrug'!$A$4:$A$291,'Produktion &amp; forbrug'!$A14,'Resultat-Produktion &amp; forbrug'!$E$4:$E$291,'Produktion &amp; forbrug'!$F14)</f>
        <v>0</v>
      </c>
      <c r="L14" s="94">
        <f>SUMIFS('Resultat-Produktion &amp; forbrug'!L$4:L$291,'Resultat-Produktion &amp; forbrug'!$A$4:$A$291,'Produktion &amp; forbrug'!$A14,'Resultat-Produktion &amp; forbrug'!$E$4:$E$291,'Produktion &amp; forbrug'!$F14)</f>
        <v>0</v>
      </c>
      <c r="M14" s="94">
        <f>SUMIFS('Resultat-Produktion &amp; forbrug'!M$4:M$291,'Resultat-Produktion &amp; forbrug'!$A$4:$A$291,'Produktion &amp; forbrug'!$A14,'Resultat-Produktion &amp; forbrug'!$E$4:$E$291,'Produktion &amp; forbrug'!$F14)</f>
        <v>0</v>
      </c>
      <c r="N14" s="94">
        <f>SUMIFS('Resultat-Produktion &amp; forbrug'!N$4:N$291,'Resultat-Produktion &amp; forbrug'!$A$4:$A$291,'Produktion &amp; forbrug'!$A14,'Resultat-Produktion &amp; forbrug'!$E$4:$E$291,'Produktion &amp; forbrug'!$F14)</f>
        <v>0</v>
      </c>
      <c r="O14" s="179">
        <f t="shared" si="3"/>
        <v>1508282.669250763</v>
      </c>
      <c r="P14" s="94">
        <f t="shared" si="4"/>
        <v>0</v>
      </c>
      <c r="Q14" s="180">
        <f t="shared" si="5"/>
        <v>0</v>
      </c>
      <c r="R14">
        <f>IFERROR(VLOOKUP(A14,[1]Energiindhold!$A$2:$C$11,3,FALSE),IFERROR(VLOOKUP(A14,[1]Biogasudbytte!$A$2:$B$18,2,FALSE)*[1]Energiindhold!$C$10,0))*P14</f>
        <v>0</v>
      </c>
      <c r="S14">
        <f>IF(A14&lt;&gt;"Biogas",IFERROR(VLOOKUP(A14,[1]Biogasudbytte!$A$2:$B$18,2,FALSE)*[1]Energiindhold!$C$10,0)*K14*IFERROR(VLOOKUP(A14,Biogasanlæg!$F$3:$G$8,2,FALSE),1)+IFERROR(VLOOKUP(A14,[1]Energiindhold!$A$2:$C$11,3,FALSE),0)*M14+IF(F14&lt;&gt;År1,R14,0),0)</f>
        <v>0</v>
      </c>
      <c r="T14">
        <f>IFERROR(VLOOKUP(A14,[1]Biogasudbytte!$A$2:$B$18,2,FALSE)*[1]Energiindhold!$C$10,0)*K14*IFERROR(VLOOKUP(A14,Biogasanlæg!$F$3:$G$8,2,FALSE),1)</f>
        <v>0</v>
      </c>
      <c r="U14" s="170">
        <f t="shared" si="6"/>
        <v>0</v>
      </c>
      <c r="V14" s="169">
        <f>P14*IFERROR(VLOOKUP(A14,[1]Tørstofindhold!A$2:B$24,2,FALSE),0)</f>
        <v>0</v>
      </c>
      <c r="W14">
        <f>IF(F14=År1,Q14,SUM(P14,Q14))*IFERROR(VLOOKUP(A14,[1]Tørstofindhold!A$2:B$24,2,FALSE),0)</f>
        <v>0</v>
      </c>
      <c r="X14">
        <f>K14*IFERROR(VLOOKUP(A14,[1]Tørstofindhold!A$2:B$24,2,FALSE),0)</f>
        <v>0</v>
      </c>
      <c r="Y14" s="170">
        <f t="shared" si="7"/>
        <v>0</v>
      </c>
      <c r="Z14">
        <f t="shared" si="0"/>
        <v>0</v>
      </c>
      <c r="AA14">
        <f t="shared" si="1"/>
        <v>1</v>
      </c>
      <c r="AC14" s="94">
        <f t="shared" si="8"/>
        <v>1508282.669250763</v>
      </c>
      <c r="AD14">
        <f>AC14*E14*10000*VLOOKUP(A14,[1]kcal!$A$2:$C$49,3,FALSE)/1000000000000</f>
        <v>0</v>
      </c>
    </row>
    <row r="15" spans="1:32" x14ac:dyDescent="0.25">
      <c r="A15" t="s">
        <v>54</v>
      </c>
      <c r="B15" s="171"/>
      <c r="C15" s="171" t="str">
        <f>IFERROR(VLOOKUP(A15,'Kategorisering af kcal'!$J$2:$K$18,2,FALSE),"")</f>
        <v>Frugt</v>
      </c>
      <c r="D15" s="171">
        <f>IF(COUNTIFS('Resultater - Danmark'!$D$3:$D$504,'Produktion &amp; forbrug'!A15,'Resultater - Danmark'!$A$3:$A$504,"Til energi")+COUNTIFS('Resultater - Danmark'!$D$3:$D$504,'Produktion &amp; forbrug'!A15,'Resultater - Danmark'!$A$3:$A$504,"Biogasanlæg")&gt;0,1,0)</f>
        <v>0</v>
      </c>
      <c r="E15" s="171">
        <v>1</v>
      </c>
      <c r="F15" s="171">
        <f t="shared" si="2"/>
        <v>2019</v>
      </c>
      <c r="G15" s="94">
        <f>SUMIFS('Resultat-Produktion &amp; forbrug'!G$4:G$291,'Resultat-Produktion &amp; forbrug'!$A$4:$A$291,'Produktion &amp; forbrug'!$A15,'Resultat-Produktion &amp; forbrug'!$E$4:$E$291,'Produktion &amp; forbrug'!$F15)</f>
        <v>41728.949017214291</v>
      </c>
      <c r="H15" s="94">
        <f>SUMIFS('Resultat-Produktion &amp; forbrug'!H$4:H$291,'Resultat-Produktion &amp; forbrug'!$A$4:$A$291,'Produktion &amp; forbrug'!$A15,'Resultat-Produktion &amp; forbrug'!$E$4:$E$291,'Produktion &amp; forbrug'!$F15)</f>
        <v>0</v>
      </c>
      <c r="I15" s="94">
        <f>SUMIFS('Resultat-Produktion &amp; forbrug'!I$4:I$291,'Resultat-Produktion &amp; forbrug'!$A$4:$A$291,'Produktion &amp; forbrug'!$A15,'Resultat-Produktion &amp; forbrug'!$E$4:$E$291,'Produktion &amp; forbrug'!$F15)</f>
        <v>0</v>
      </c>
      <c r="J15" s="94">
        <f>SUMIFS('Resultat-Produktion &amp; forbrug'!J$4:J$291,'Resultat-Produktion &amp; forbrug'!$A$4:$A$291,'Produktion &amp; forbrug'!$A15,'Resultat-Produktion &amp; forbrug'!$E$4:$E$291,'Produktion &amp; forbrug'!$F15)</f>
        <v>462357.87973419944</v>
      </c>
      <c r="K15" s="94">
        <f>SUMIFS('Resultat-Produktion &amp; forbrug'!K$4:K$291,'Resultat-Produktion &amp; forbrug'!$A$4:$A$291,'Produktion &amp; forbrug'!$A15,'Resultat-Produktion &amp; forbrug'!$E$4:$E$291,'Produktion &amp; forbrug'!$F15)</f>
        <v>0</v>
      </c>
      <c r="L15" s="94">
        <f>SUMIFS('Resultat-Produktion &amp; forbrug'!L$4:L$291,'Resultat-Produktion &amp; forbrug'!$A$4:$A$291,'Produktion &amp; forbrug'!$A15,'Resultat-Produktion &amp; forbrug'!$E$4:$E$291,'Produktion &amp; forbrug'!$F15)</f>
        <v>0</v>
      </c>
      <c r="M15" s="94">
        <f>SUMIFS('Resultat-Produktion &amp; forbrug'!M$4:M$291,'Resultat-Produktion &amp; forbrug'!$A$4:$A$291,'Produktion &amp; forbrug'!$A15,'Resultat-Produktion &amp; forbrug'!$E$4:$E$291,'Produktion &amp; forbrug'!$F15)</f>
        <v>0</v>
      </c>
      <c r="N15" s="94">
        <f>SUMIFS('Resultat-Produktion &amp; forbrug'!N$4:N$291,'Resultat-Produktion &amp; forbrug'!$A$4:$A$291,'Produktion &amp; forbrug'!$A15,'Resultat-Produktion &amp; forbrug'!$E$4:$E$291,'Produktion &amp; forbrug'!$F15)</f>
        <v>0</v>
      </c>
      <c r="O15" s="179">
        <f t="shared" si="3"/>
        <v>-420628.93071698514</v>
      </c>
      <c r="P15" s="94">
        <f t="shared" si="4"/>
        <v>0</v>
      </c>
      <c r="Q15" s="180">
        <f t="shared" si="5"/>
        <v>0</v>
      </c>
      <c r="R15">
        <f>IFERROR(VLOOKUP(A15,[1]Energiindhold!$A$2:$C$11,3,FALSE),IFERROR(VLOOKUP(A15,[1]Biogasudbytte!$A$2:$B$18,2,FALSE)*[1]Energiindhold!$C$10,0))*P15</f>
        <v>0</v>
      </c>
      <c r="S15">
        <f>IF(A15&lt;&gt;"Biogas",IFERROR(VLOOKUP(A15,[1]Biogasudbytte!$A$2:$B$18,2,FALSE)*[1]Energiindhold!$C$10,0)*K15*IFERROR(VLOOKUP(A15,Biogasanlæg!$F$3:$G$8,2,FALSE),1)+IFERROR(VLOOKUP(A15,[1]Energiindhold!$A$2:$C$11,3,FALSE),0)*M15+IF(F15&lt;&gt;År1,R15,0),0)</f>
        <v>0</v>
      </c>
      <c r="T15">
        <f>IFERROR(VLOOKUP(A15,[1]Biogasudbytte!$A$2:$B$18,2,FALSE)*[1]Energiindhold!$C$10,0)*K15*IFERROR(VLOOKUP(A15,Biogasanlæg!$F$3:$G$8,2,FALSE),1)</f>
        <v>0</v>
      </c>
      <c r="U15" s="170">
        <f t="shared" si="6"/>
        <v>0</v>
      </c>
      <c r="V15" s="169">
        <f>P15*IFERROR(VLOOKUP(A15,[1]Tørstofindhold!A$2:B$24,2,FALSE),0)</f>
        <v>0</v>
      </c>
      <c r="W15">
        <f>IF(F15=År1,Q15,SUM(P15,Q15))*IFERROR(VLOOKUP(A15,[1]Tørstofindhold!A$2:B$24,2,FALSE),0)</f>
        <v>0</v>
      </c>
      <c r="X15">
        <f>K15*IFERROR(VLOOKUP(A15,[1]Tørstofindhold!A$2:B$24,2,FALSE),0)</f>
        <v>0</v>
      </c>
      <c r="Y15" s="170">
        <f t="shared" si="7"/>
        <v>0</v>
      </c>
      <c r="Z15">
        <f t="shared" si="0"/>
        <v>1</v>
      </c>
      <c r="AA15">
        <f t="shared" si="1"/>
        <v>0</v>
      </c>
      <c r="AC15" s="94">
        <f t="shared" si="8"/>
        <v>41728.949017214291</v>
      </c>
      <c r="AD15">
        <f>AC15*E15*10000*VLOOKUP(A15,[1]kcal!$A$2:$C$49,3,FALSE)/1000000000000</f>
        <v>2.1699053488951431E-2</v>
      </c>
    </row>
    <row r="16" spans="1:32" x14ac:dyDescent="0.25">
      <c r="A16" s="171" t="s">
        <v>158</v>
      </c>
      <c r="B16" s="171" t="s">
        <v>158</v>
      </c>
      <c r="C16" s="171" t="str">
        <f>IFERROR(VLOOKUP(A16,'Kategorisering af kcal'!$J$2:$K$18,2,FALSE),"")</f>
        <v/>
      </c>
      <c r="D16" s="171">
        <f>IF(COUNTIFS('Resultater - Danmark'!$D$3:$D$504,'Produktion &amp; forbrug'!A16,'Resultater - Danmark'!$A$3:$A$504,"Til energi")+COUNTIFS('Resultater - Danmark'!$D$3:$D$504,'Produktion &amp; forbrug'!A16,'Resultater - Danmark'!$A$3:$A$504,"Biogasanlæg")&gt;0,1,0)</f>
        <v>1</v>
      </c>
      <c r="E16" s="171">
        <v>0</v>
      </c>
      <c r="F16" s="171">
        <f t="shared" si="2"/>
        <v>2019</v>
      </c>
      <c r="G16" s="94">
        <f>SUMIFS('Resultat-Produktion &amp; forbrug'!G$4:G$291,'Resultat-Produktion &amp; forbrug'!$A$4:$A$291,'Produktion &amp; forbrug'!$A16,'Resultat-Produktion &amp; forbrug'!$E$4:$E$291,'Produktion &amp; forbrug'!$F16)</f>
        <v>0</v>
      </c>
      <c r="H16" s="94">
        <f>SUMIFS('Resultat-Produktion &amp; forbrug'!H$4:H$291,'Resultat-Produktion &amp; forbrug'!$A$4:$A$291,'Produktion &amp; forbrug'!$A16,'Resultat-Produktion &amp; forbrug'!$E$4:$E$291,'Produktion &amp; forbrug'!$F16)</f>
        <v>0</v>
      </c>
      <c r="I16" s="94">
        <f>SUMIFS('Resultat-Produktion &amp; forbrug'!I$4:I$291,'Resultat-Produktion &amp; forbrug'!$A$4:$A$291,'Produktion &amp; forbrug'!$A16,'Resultat-Produktion &amp; forbrug'!$E$4:$E$291,'Produktion &amp; forbrug'!$F16)</f>
        <v>0</v>
      </c>
      <c r="J16" s="94">
        <f>SUMIFS('Resultat-Produktion &amp; forbrug'!J$4:J$291,'Resultat-Produktion &amp; forbrug'!$A$4:$A$291,'Produktion &amp; forbrug'!$A16,'Resultat-Produktion &amp; forbrug'!$E$4:$E$291,'Produktion &amp; forbrug'!$F16)</f>
        <v>0</v>
      </c>
      <c r="K16" s="94">
        <f>SUMIFS('Resultat-Produktion &amp; forbrug'!K$4:K$291,'Resultat-Produktion &amp; forbrug'!$A$4:$A$291,'Produktion &amp; forbrug'!$A16,'Resultat-Produktion &amp; forbrug'!$E$4:$E$291,'Produktion &amp; forbrug'!$F16)</f>
        <v>142742</v>
      </c>
      <c r="L16" s="94">
        <f>SUMIFS('Resultat-Produktion &amp; forbrug'!L$4:L$291,'Resultat-Produktion &amp; forbrug'!$A$4:$A$291,'Produktion &amp; forbrug'!$A16,'Resultat-Produktion &amp; forbrug'!$E$4:$E$291,'Produktion &amp; forbrug'!$F16)</f>
        <v>0</v>
      </c>
      <c r="M16" s="94">
        <f>SUMIFS('Resultat-Produktion &amp; forbrug'!M$4:M$291,'Resultat-Produktion &amp; forbrug'!$A$4:$A$291,'Produktion &amp; forbrug'!$A16,'Resultat-Produktion &amp; forbrug'!$E$4:$E$291,'Produktion &amp; forbrug'!$F16)</f>
        <v>0</v>
      </c>
      <c r="N16" s="94">
        <f>SUMIFS('Resultat-Produktion &amp; forbrug'!N$4:N$291,'Resultat-Produktion &amp; forbrug'!$A$4:$A$291,'Produktion &amp; forbrug'!$A16,'Resultat-Produktion &amp; forbrug'!$E$4:$E$291,'Produktion &amp; forbrug'!$F16)</f>
        <v>0</v>
      </c>
      <c r="O16" s="179">
        <f t="shared" si="3"/>
        <v>-142742</v>
      </c>
      <c r="P16" s="94">
        <f t="shared" si="4"/>
        <v>0</v>
      </c>
      <c r="Q16" s="180">
        <f t="shared" si="5"/>
        <v>142742</v>
      </c>
      <c r="R16">
        <f>IFERROR(VLOOKUP(A16,[1]Energiindhold!$A$2:$C$11,3,FALSE),IFERROR(VLOOKUP(A16,[1]Biogasudbytte!$A$2:$B$18,2,FALSE)*[1]Energiindhold!$C$10,0))*P16</f>
        <v>0</v>
      </c>
      <c r="S16">
        <f>IF(A16&lt;&gt;"Biogas",IFERROR(VLOOKUP(A16,[1]Biogasudbytte!$A$2:$B$18,2,FALSE)*[1]Energiindhold!$C$10,0)*K16*IFERROR(VLOOKUP(A16,Biogasanlæg!$F$3:$G$8,2,FALSE),1)+IFERROR(VLOOKUP(A16,[1]Energiindhold!$A$2:$C$11,3,FALSE),0)*M16+IF(F16&lt;&gt;År1,R16,0),0)</f>
        <v>2.1694819870080004</v>
      </c>
      <c r="T16">
        <f>IFERROR(VLOOKUP(A16,[1]Biogasudbytte!$A$2:$B$18,2,FALSE)*[1]Energiindhold!$C$10,0)*K16*IFERROR(VLOOKUP(A16,Biogasanlæg!$F$3:$G$8,2,FALSE),1)</f>
        <v>2.1694819870080004</v>
      </c>
      <c r="U16" s="170">
        <f t="shared" si="6"/>
        <v>0</v>
      </c>
      <c r="V16" s="169">
        <f>P16*IFERROR(VLOOKUP(A16,[1]Tørstofindhold!A$2:B$24,2,FALSE),0)</f>
        <v>0</v>
      </c>
      <c r="W16">
        <f>IF(F16=År1,Q16,SUM(P16,Q16))*IFERROR(VLOOKUP(A16,[1]Tørstofindhold!A$2:B$24,2,FALSE),0)</f>
        <v>128467.8</v>
      </c>
      <c r="X16">
        <f>K16*IFERROR(VLOOKUP(A16,[1]Tørstofindhold!A$2:B$24,2,FALSE),0)</f>
        <v>128467.8</v>
      </c>
      <c r="Y16" s="170">
        <f t="shared" si="7"/>
        <v>0</v>
      </c>
      <c r="Z16">
        <f t="shared" si="0"/>
        <v>1</v>
      </c>
      <c r="AA16">
        <f t="shared" si="1"/>
        <v>0</v>
      </c>
      <c r="AC16" s="94">
        <f t="shared" si="8"/>
        <v>-142742</v>
      </c>
      <c r="AD16">
        <f>AC16*E16*10000*VLOOKUP(A16,[1]kcal!$A$2:$C$49,3,FALSE)/1000000000000</f>
        <v>0</v>
      </c>
    </row>
    <row r="17" spans="1:30" x14ac:dyDescent="0.25">
      <c r="A17" s="171" t="s">
        <v>51</v>
      </c>
      <c r="B17" s="171" t="s">
        <v>224</v>
      </c>
      <c r="C17" s="171" t="str">
        <f>IFERROR(VLOOKUP(A17,'Kategorisering af kcal'!$J$2:$K$18,2,FALSE),"")</f>
        <v/>
      </c>
      <c r="D17" s="171">
        <f>IF(COUNTIFS('Resultater - Danmark'!$D$3:$D$504,'Produktion &amp; forbrug'!A17,'Resultater - Danmark'!$A$3:$A$504,"Til energi")+COUNTIFS('Resultater - Danmark'!$D$3:$D$504,'Produktion &amp; forbrug'!A17,'Resultater - Danmark'!$A$3:$A$504,"Biogasanlæg")&gt;0,1,0)</f>
        <v>1</v>
      </c>
      <c r="E17" s="171">
        <v>0</v>
      </c>
      <c r="F17" s="171">
        <f t="shared" si="2"/>
        <v>2019</v>
      </c>
      <c r="G17" s="94">
        <f>SUMIFS('Resultat-Produktion &amp; forbrug'!G$4:G$291,'Resultat-Produktion &amp; forbrug'!$A$4:$A$291,'Produktion &amp; forbrug'!$A17,'Resultat-Produktion &amp; forbrug'!$E$4:$E$291,'Produktion &amp; forbrug'!$F17)</f>
        <v>17913006.538833313</v>
      </c>
      <c r="H17" s="94">
        <f ca="1">SUMIFS('Resultat-Produktion &amp; forbrug'!H$4:H$291,'Resultat-Produktion &amp; forbrug'!$A$4:$A$291,'Produktion &amp; forbrug'!$A17,'Resultat-Produktion &amp; forbrug'!$E$4:$E$291,'Produktion &amp; forbrug'!$F17)</f>
        <v>13739757.985270014</v>
      </c>
      <c r="I17" s="94">
        <f>SUMIFS('Resultat-Produktion &amp; forbrug'!I$4:I$291,'Resultat-Produktion &amp; forbrug'!$A$4:$A$291,'Produktion &amp; forbrug'!$A17,'Resultat-Produktion &amp; forbrug'!$E$4:$E$291,'Produktion &amp; forbrug'!$F17)</f>
        <v>0</v>
      </c>
      <c r="J17" s="94">
        <f>SUMIFS('Resultat-Produktion &amp; forbrug'!J$4:J$291,'Resultat-Produktion &amp; forbrug'!$A$4:$A$291,'Produktion &amp; forbrug'!$A17,'Resultat-Produktion &amp; forbrug'!$E$4:$E$291,'Produktion &amp; forbrug'!$F17)</f>
        <v>0</v>
      </c>
      <c r="K17" s="94">
        <f>SUMIFS('Resultat-Produktion &amp; forbrug'!K$4:K$291,'Resultat-Produktion &amp; forbrug'!$A$4:$A$291,'Produktion &amp; forbrug'!$A17,'Resultat-Produktion &amp; forbrug'!$E$4:$E$291,'Produktion &amp; forbrug'!$F17)</f>
        <v>85676.999999999956</v>
      </c>
      <c r="L17" s="94">
        <f>SUMIFS('Resultat-Produktion &amp; forbrug'!L$4:L$291,'Resultat-Produktion &amp; forbrug'!$A$4:$A$291,'Produktion &amp; forbrug'!$A17,'Resultat-Produktion &amp; forbrug'!$E$4:$E$291,'Produktion &amp; forbrug'!$F17)</f>
        <v>0</v>
      </c>
      <c r="M17" s="94">
        <f>SUMIFS('Resultat-Produktion &amp; forbrug'!M$4:M$291,'Resultat-Produktion &amp; forbrug'!$A$4:$A$291,'Produktion &amp; forbrug'!$A17,'Resultat-Produktion &amp; forbrug'!$E$4:$E$291,'Produktion &amp; forbrug'!$F17)</f>
        <v>0</v>
      </c>
      <c r="N17" s="94">
        <f ca="1">SUMIFS('Resultat-Produktion &amp; forbrug'!N$4:N$291,'Resultat-Produktion &amp; forbrug'!$A$4:$A$291,'Produktion &amp; forbrug'!$A17,'Resultat-Produktion &amp; forbrug'!$E$4:$E$291,'Produktion &amp; forbrug'!$F17)</f>
        <v>0</v>
      </c>
      <c r="O17" s="179">
        <f t="shared" ca="1" si="3"/>
        <v>4087571.5535632987</v>
      </c>
      <c r="P17" s="94">
        <f t="shared" ca="1" si="4"/>
        <v>4087571.5535632987</v>
      </c>
      <c r="Q17" s="180">
        <f t="shared" si="5"/>
        <v>85676.999999999956</v>
      </c>
      <c r="R17">
        <f ca="1">IFERROR(VLOOKUP(A17,[1]Energiindhold!$A$2:$C$11,3,FALSE),IFERROR(VLOOKUP(A17,[1]Biogasudbytte!$A$2:$B$18,2,FALSE)*[1]Energiindhold!$C$10,0))*P17</f>
        <v>7.5206207121122741</v>
      </c>
      <c r="S17">
        <f>IF(A17&lt;&gt;"Biogas",IFERROR(VLOOKUP(A17,[1]Biogasudbytte!$A$2:$B$18,2,FALSE)*[1]Energiindhold!$C$10,0)*K17*IFERROR(VLOOKUP(A17,Biogasanlæg!$F$3:$G$8,2,FALSE),1)+IFERROR(VLOOKUP(A17,[1]Energiindhold!$A$2:$C$11,3,FALSE),0)*M17+IF(F17&lt;&gt;År1,R17,0),0)</f>
        <v>0.15763497037499993</v>
      </c>
      <c r="T17">
        <f>IFERROR(VLOOKUP(A17,[1]Biogasudbytte!$A$2:$B$18,2,FALSE)*[1]Energiindhold!$C$10,0)*K17*IFERROR(VLOOKUP(A17,Biogasanlæg!$F$3:$G$8,2,FALSE),1)</f>
        <v>0.15763497037499993</v>
      </c>
      <c r="U17" s="170">
        <f t="shared" si="6"/>
        <v>0</v>
      </c>
      <c r="V17" s="169">
        <f ca="1">P17*IFERROR(VLOOKUP(A17,[1]Tørstofindhold!A$2:B$24,2,FALSE),0)</f>
        <v>1144520.0349977238</v>
      </c>
      <c r="W17">
        <f>IF(F17=År1,Q17,SUM(P17,Q17))*IFERROR(VLOOKUP(A17,[1]Tørstofindhold!A$2:B$24,2,FALSE),0)</f>
        <v>23989.55999999999</v>
      </c>
      <c r="X17">
        <f>K17*IFERROR(VLOOKUP(A17,[1]Tørstofindhold!A$2:B$24,2,FALSE),0)</f>
        <v>23989.55999999999</v>
      </c>
      <c r="Y17" s="170">
        <f t="shared" si="7"/>
        <v>0</v>
      </c>
      <c r="Z17">
        <f t="shared" ca="1" si="0"/>
        <v>0</v>
      </c>
      <c r="AA17">
        <f t="shared" ca="1" si="1"/>
        <v>1</v>
      </c>
      <c r="AC17" s="94">
        <f t="shared" ca="1" si="8"/>
        <v>4087571.5535632987</v>
      </c>
      <c r="AD17">
        <f ca="1">AC17*E17*10000*VLOOKUP(A17,[1]kcal!$A$2:$C$49,3,FALSE)/1000000000000</f>
        <v>0</v>
      </c>
    </row>
    <row r="18" spans="1:30" x14ac:dyDescent="0.25">
      <c r="A18" s="171" t="s">
        <v>203</v>
      </c>
      <c r="B18" s="171"/>
      <c r="C18" s="171" t="str">
        <f>IFERROR(VLOOKUP(A18,'Kategorisering af kcal'!$J$2:$K$18,2,FALSE),"")</f>
        <v/>
      </c>
      <c r="D18" s="171">
        <f>IF(COUNTIFS('Resultater - Danmark'!$D$3:$D$504,'Produktion &amp; forbrug'!A18,'Resultater - Danmark'!$A$3:$A$504,"Til energi")+COUNTIFS('Resultater - Danmark'!$D$3:$D$504,'Produktion &amp; forbrug'!A18,'Resultater - Danmark'!$A$3:$A$504,"Biogasanlæg")&gt;0,1,0)</f>
        <v>0</v>
      </c>
      <c r="E18" s="171">
        <v>0</v>
      </c>
      <c r="F18" s="171">
        <f t="shared" si="2"/>
        <v>2019</v>
      </c>
      <c r="G18" s="94">
        <f ca="1">SUMIFS('Resultat-Produktion &amp; forbrug'!G$4:G$291,'Resultat-Produktion &amp; forbrug'!$A$4:$A$291,'Produktion &amp; forbrug'!$A18,'Resultat-Produktion &amp; forbrug'!$E$4:$E$291,'Produktion &amp; forbrug'!$F18)</f>
        <v>0</v>
      </c>
      <c r="H18" s="94">
        <f ca="1">SUMIFS('Resultat-Produktion &amp; forbrug'!H$4:H$291,'Resultat-Produktion &amp; forbrug'!$A$4:$A$291,'Produktion &amp; forbrug'!$A18,'Resultat-Produktion &amp; forbrug'!$E$4:$E$291,'Produktion &amp; forbrug'!$F18)</f>
        <v>0</v>
      </c>
      <c r="I18" s="94">
        <f>SUMIFS('Resultat-Produktion &amp; forbrug'!I$4:I$291,'Resultat-Produktion &amp; forbrug'!$A$4:$A$291,'Produktion &amp; forbrug'!$A18,'Resultat-Produktion &amp; forbrug'!$E$4:$E$291,'Produktion &amp; forbrug'!$F18)</f>
        <v>0</v>
      </c>
      <c r="J18" s="94">
        <f>SUMIFS('Resultat-Produktion &amp; forbrug'!J$4:J$291,'Resultat-Produktion &amp; forbrug'!$A$4:$A$291,'Produktion &amp; forbrug'!$A18,'Resultat-Produktion &amp; forbrug'!$E$4:$E$291,'Produktion &amp; forbrug'!$F18)</f>
        <v>0</v>
      </c>
      <c r="K18" s="94">
        <f>SUMIFS('Resultat-Produktion &amp; forbrug'!K$4:K$291,'Resultat-Produktion &amp; forbrug'!$A$4:$A$291,'Produktion &amp; forbrug'!$A18,'Resultat-Produktion &amp; forbrug'!$E$4:$E$291,'Produktion &amp; forbrug'!$F18)</f>
        <v>0</v>
      </c>
      <c r="L18" s="94">
        <f>SUMIFS('Resultat-Produktion &amp; forbrug'!L$4:L$291,'Resultat-Produktion &amp; forbrug'!$A$4:$A$291,'Produktion &amp; forbrug'!$A18,'Resultat-Produktion &amp; forbrug'!$E$4:$E$291,'Produktion &amp; forbrug'!$F18)</f>
        <v>0</v>
      </c>
      <c r="M18" s="94">
        <f>SUMIFS('Resultat-Produktion &amp; forbrug'!M$4:M$291,'Resultat-Produktion &amp; forbrug'!$A$4:$A$291,'Produktion &amp; forbrug'!$A18,'Resultat-Produktion &amp; forbrug'!$E$4:$E$291,'Produktion &amp; forbrug'!$F18)</f>
        <v>0</v>
      </c>
      <c r="N18" s="94">
        <f>SUMIFS('Resultat-Produktion &amp; forbrug'!N$4:N$291,'Resultat-Produktion &amp; forbrug'!$A$4:$A$291,'Produktion &amp; forbrug'!$A18,'Resultat-Produktion &amp; forbrug'!$E$4:$E$291,'Produktion &amp; forbrug'!$F18)</f>
        <v>0</v>
      </c>
      <c r="O18" s="179">
        <f t="shared" ca="1" si="3"/>
        <v>0</v>
      </c>
      <c r="P18" s="94">
        <f t="shared" si="4"/>
        <v>0</v>
      </c>
      <c r="Q18" s="180">
        <f t="shared" si="5"/>
        <v>0</v>
      </c>
      <c r="R18">
        <f>IFERROR(VLOOKUP(A18,[1]Energiindhold!$A$2:$C$11,3,FALSE),IFERROR(VLOOKUP(A18,[1]Biogasudbytte!$A$2:$B$18,2,FALSE)*[1]Energiindhold!$C$10,0))*P18</f>
        <v>0</v>
      </c>
      <c r="S18">
        <f>IF(A18&lt;&gt;"Biogas",IFERROR(VLOOKUP(A18,[1]Biogasudbytte!$A$2:$B$18,2,FALSE)*[1]Energiindhold!$C$10,0)*K18*IFERROR(VLOOKUP(A18,Biogasanlæg!$F$3:$G$8,2,FALSE),1)+IFERROR(VLOOKUP(A18,[1]Energiindhold!$A$2:$C$11,3,FALSE),0)*M18+IF(F18&lt;&gt;År1,R18,0),0)</f>
        <v>0</v>
      </c>
      <c r="T18">
        <f>IFERROR(VLOOKUP(A18,[1]Biogasudbytte!$A$2:$B$18,2,FALSE)*[1]Energiindhold!$C$10,0)*K18*IFERROR(VLOOKUP(A18,Biogasanlæg!$F$3:$G$8,2,FALSE),1)</f>
        <v>0</v>
      </c>
      <c r="U18" s="170">
        <f t="shared" si="6"/>
        <v>0</v>
      </c>
      <c r="V18" s="169">
        <f>P18*IFERROR(VLOOKUP(A18,[1]Tørstofindhold!A$2:B$24,2,FALSE),0)</f>
        <v>0</v>
      </c>
      <c r="W18">
        <f>IF(F18=År1,Q18,SUM(P18,Q18))*IFERROR(VLOOKUP(A18,[1]Tørstofindhold!A$2:B$24,2,FALSE),0)</f>
        <v>0</v>
      </c>
      <c r="X18">
        <f>K18*IFERROR(VLOOKUP(A18,[1]Tørstofindhold!A$2:B$24,2,FALSE),0)</f>
        <v>0</v>
      </c>
      <c r="Y18" s="170">
        <f t="shared" si="7"/>
        <v>0</v>
      </c>
      <c r="Z18">
        <f t="shared" ca="1" si="0"/>
        <v>0</v>
      </c>
      <c r="AA18">
        <f t="shared" ca="1" si="1"/>
        <v>0</v>
      </c>
      <c r="AC18" s="94">
        <f t="shared" ca="1" si="8"/>
        <v>0</v>
      </c>
      <c r="AD18">
        <f ca="1">AC18*E18*10000*VLOOKUP(A18,[1]kcal!$A$2:$C$49,3,FALSE)/1000000000000</f>
        <v>0</v>
      </c>
    </row>
    <row r="19" spans="1:30" x14ac:dyDescent="0.25">
      <c r="A19" s="171" t="s">
        <v>6</v>
      </c>
      <c r="B19" s="171"/>
      <c r="C19" s="171" t="str">
        <f>IFERROR(VLOOKUP(A19,'Kategorisering af kcal'!$J$2:$K$18,2,FALSE),"")</f>
        <v>Grøntsager</v>
      </c>
      <c r="D19" s="171">
        <f>IF(COUNTIFS('Resultater - Danmark'!$D$3:$D$504,'Produktion &amp; forbrug'!A19,'Resultater - Danmark'!$A$3:$A$504,"Til energi")+COUNTIFS('Resultater - Danmark'!$D$3:$D$504,'Produktion &amp; forbrug'!A19,'Resultater - Danmark'!$A$3:$A$504,"Biogasanlæg")&gt;0,1,0)</f>
        <v>0</v>
      </c>
      <c r="E19" s="171">
        <v>1</v>
      </c>
      <c r="F19" s="171">
        <f t="shared" si="2"/>
        <v>2019</v>
      </c>
      <c r="G19" s="94">
        <f>SUMIFS('Resultat-Produktion &amp; forbrug'!G$4:G$291,'Resultat-Produktion &amp; forbrug'!$A$4:$A$291,'Produktion &amp; forbrug'!$A19,'Resultat-Produktion &amp; forbrug'!$E$4:$E$291,'Produktion &amp; forbrug'!$F19)</f>
        <v>280322.43675931642</v>
      </c>
      <c r="H19" s="94">
        <f>SUMIFS('Resultat-Produktion &amp; forbrug'!H$4:H$291,'Resultat-Produktion &amp; forbrug'!$A$4:$A$291,'Produktion &amp; forbrug'!$A19,'Resultat-Produktion &amp; forbrug'!$E$4:$E$291,'Produktion &amp; forbrug'!$F19)</f>
        <v>0</v>
      </c>
      <c r="I19" s="94">
        <f>SUMIFS('Resultat-Produktion &amp; forbrug'!I$4:I$291,'Resultat-Produktion &amp; forbrug'!$A$4:$A$291,'Produktion &amp; forbrug'!$A19,'Resultat-Produktion &amp; forbrug'!$E$4:$E$291,'Produktion &amp; forbrug'!$F19)</f>
        <v>0</v>
      </c>
      <c r="J19" s="94">
        <f>SUMIFS('Resultat-Produktion &amp; forbrug'!J$4:J$291,'Resultat-Produktion &amp; forbrug'!$A$4:$A$291,'Produktion &amp; forbrug'!$A19,'Resultat-Produktion &amp; forbrug'!$E$4:$E$291,'Produktion &amp; forbrug'!$F19)</f>
        <v>484259.042458451</v>
      </c>
      <c r="K19" s="94">
        <f>SUMIFS('Resultat-Produktion &amp; forbrug'!K$4:K$291,'Resultat-Produktion &amp; forbrug'!$A$4:$A$291,'Produktion &amp; forbrug'!$A19,'Resultat-Produktion &amp; forbrug'!$E$4:$E$291,'Produktion &amp; forbrug'!$F19)</f>
        <v>0</v>
      </c>
      <c r="L19" s="94">
        <f>SUMIFS('Resultat-Produktion &amp; forbrug'!L$4:L$291,'Resultat-Produktion &amp; forbrug'!$A$4:$A$291,'Produktion &amp; forbrug'!$A19,'Resultat-Produktion &amp; forbrug'!$E$4:$E$291,'Produktion &amp; forbrug'!$F19)</f>
        <v>0</v>
      </c>
      <c r="M19" s="94">
        <f>SUMIFS('Resultat-Produktion &amp; forbrug'!M$4:M$291,'Resultat-Produktion &amp; forbrug'!$A$4:$A$291,'Produktion &amp; forbrug'!$A19,'Resultat-Produktion &amp; forbrug'!$E$4:$E$291,'Produktion &amp; forbrug'!$F19)</f>
        <v>0</v>
      </c>
      <c r="N19" s="94">
        <f>SUMIFS('Resultat-Produktion &amp; forbrug'!N$4:N$291,'Resultat-Produktion &amp; forbrug'!$A$4:$A$291,'Produktion &amp; forbrug'!$A19,'Resultat-Produktion &amp; forbrug'!$E$4:$E$291,'Produktion &amp; forbrug'!$F19)</f>
        <v>0</v>
      </c>
      <c r="O19" s="179">
        <f t="shared" si="3"/>
        <v>-203936.60569913458</v>
      </c>
      <c r="P19" s="94">
        <f t="shared" si="4"/>
        <v>0</v>
      </c>
      <c r="Q19" s="180">
        <f t="shared" si="5"/>
        <v>0</v>
      </c>
      <c r="R19">
        <f>IFERROR(VLOOKUP(A19,[1]Energiindhold!$A$2:$C$11,3,FALSE),IFERROR(VLOOKUP(A19,[1]Biogasudbytte!$A$2:$B$18,2,FALSE)*[1]Energiindhold!$C$10,0))*P19</f>
        <v>0</v>
      </c>
      <c r="S19">
        <f>IF(A19&lt;&gt;"Biogas",IFERROR(VLOOKUP(A19,[1]Biogasudbytte!$A$2:$B$18,2,FALSE)*[1]Energiindhold!$C$10,0)*K19*IFERROR(VLOOKUP(A19,Biogasanlæg!$F$3:$G$8,2,FALSE),1)+IFERROR(VLOOKUP(A19,[1]Energiindhold!$A$2:$C$11,3,FALSE),0)*M19+IF(F19&lt;&gt;År1,R19,0),0)</f>
        <v>0</v>
      </c>
      <c r="T19">
        <f>IFERROR(VLOOKUP(A19,[1]Biogasudbytte!$A$2:$B$18,2,FALSE)*[1]Energiindhold!$C$10,0)*K19*IFERROR(VLOOKUP(A19,Biogasanlæg!$F$3:$G$8,2,FALSE),1)</f>
        <v>0</v>
      </c>
      <c r="U19" s="170">
        <f t="shared" si="6"/>
        <v>0</v>
      </c>
      <c r="V19" s="169">
        <f>P19*IFERROR(VLOOKUP(A19,[1]Tørstofindhold!A$2:B$24,2,FALSE),0)</f>
        <v>0</v>
      </c>
      <c r="W19">
        <f>IF(F19=År1,Q19,SUM(P19,Q19))*IFERROR(VLOOKUP(A19,[1]Tørstofindhold!A$2:B$24,2,FALSE),0)</f>
        <v>0</v>
      </c>
      <c r="X19">
        <f>K19*IFERROR(VLOOKUP(A19,[1]Tørstofindhold!A$2:B$24,2,FALSE),0)</f>
        <v>0</v>
      </c>
      <c r="Y19" s="170">
        <f t="shared" si="7"/>
        <v>0</v>
      </c>
      <c r="Z19">
        <f t="shared" si="0"/>
        <v>1</v>
      </c>
      <c r="AA19">
        <f t="shared" si="1"/>
        <v>0</v>
      </c>
      <c r="AC19" s="94">
        <f t="shared" si="8"/>
        <v>280322.43675931642</v>
      </c>
      <c r="AD19">
        <f>AC19*E19*10000*VLOOKUP(A19,[1]kcal!$A$2:$C$49,3,FALSE)/1000000000000</f>
        <v>0.10932575033613341</v>
      </c>
    </row>
    <row r="20" spans="1:30" x14ac:dyDescent="0.25">
      <c r="A20" s="171" t="s">
        <v>67</v>
      </c>
      <c r="B20" s="171" t="s">
        <v>227</v>
      </c>
      <c r="C20" s="171" t="str">
        <f>IFERROR(VLOOKUP(A20,'Kategorisering af kcal'!$J$2:$K$18,2,FALSE),"")</f>
        <v/>
      </c>
      <c r="D20" s="171">
        <f>IF(COUNTIFS('Resultater - Danmark'!$D$3:$D$504,'Produktion &amp; forbrug'!A20,'Resultater - Danmark'!$A$3:$A$504,"Til energi")+COUNTIFS('Resultater - Danmark'!$D$3:$D$504,'Produktion &amp; forbrug'!A20,'Resultater - Danmark'!$A$3:$A$504,"Biogasanlæg")&gt;0,1,0)</f>
        <v>1</v>
      </c>
      <c r="E20" s="171">
        <v>0</v>
      </c>
      <c r="F20" s="171">
        <f t="shared" si="2"/>
        <v>2019</v>
      </c>
      <c r="G20" s="94">
        <f ca="1">SUMIFS('Resultat-Produktion &amp; forbrug'!G$4:G$291,'Resultat-Produktion &amp; forbrug'!$A$4:$A$291,'Produktion &amp; forbrug'!$A20,'Resultat-Produktion &amp; forbrug'!$E$4:$E$291,'Produktion &amp; forbrug'!$F20)</f>
        <v>3671749.2907991703</v>
      </c>
      <c r="H20" s="94">
        <f ca="1">SUMIFS('Resultat-Produktion &amp; forbrug'!H$4:H$291,'Resultat-Produktion &amp; forbrug'!$A$4:$A$291,'Produktion &amp; forbrug'!$A20,'Resultat-Produktion &amp; forbrug'!$E$4:$E$291,'Produktion &amp; forbrug'!$F20)</f>
        <v>867975.34157733875</v>
      </c>
      <c r="I20" s="94">
        <f ca="1">SUMIFS('Resultat-Produktion &amp; forbrug'!I$4:I$291,'Resultat-Produktion &amp; forbrug'!$A$4:$A$291,'Produktion &amp; forbrug'!$A20,'Resultat-Produktion &amp; forbrug'!$E$4:$E$291,'Produktion &amp; forbrug'!$F20)</f>
        <v>832345.429947</v>
      </c>
      <c r="J20" s="94">
        <f>SUMIFS('Resultat-Produktion &amp; forbrug'!J$4:J$291,'Resultat-Produktion &amp; forbrug'!$A$4:$A$291,'Produktion &amp; forbrug'!$A20,'Resultat-Produktion &amp; forbrug'!$E$4:$E$291,'Produktion &amp; forbrug'!$F20)</f>
        <v>0</v>
      </c>
      <c r="K20" s="94">
        <f ca="1">SUMIFS('Resultat-Produktion &amp; forbrug'!K$4:K$291,'Resultat-Produktion &amp; forbrug'!$A$4:$A$291,'Produktion &amp; forbrug'!$A20,'Resultat-Produktion &amp; forbrug'!$E$4:$E$291,'Produktion &amp; forbrug'!$F20)</f>
        <v>75933.999999999971</v>
      </c>
      <c r="L20" s="94">
        <f>SUMIFS('Resultat-Produktion &amp; forbrug'!L$4:L$291,'Resultat-Produktion &amp; forbrug'!$A$4:$A$291,'Produktion &amp; forbrug'!$A20,'Resultat-Produktion &amp; forbrug'!$E$4:$E$291,'Produktion &amp; forbrug'!$F20)</f>
        <v>0</v>
      </c>
      <c r="M20" s="94">
        <f ca="1">SUMIFS('Resultat-Produktion &amp; forbrug'!M$4:M$291,'Resultat-Produktion &amp; forbrug'!$A$4:$A$291,'Produktion &amp; forbrug'!$A20,'Resultat-Produktion &amp; forbrug'!$E$4:$E$291,'Produktion &amp; forbrug'!$F20)</f>
        <v>1895494.5192748301</v>
      </c>
      <c r="N20" s="94">
        <f ca="1">SUMIFS('Resultat-Produktion &amp; forbrug'!N$4:N$291,'Resultat-Produktion &amp; forbrug'!$A$4:$A$291,'Produktion &amp; forbrug'!$A20,'Resultat-Produktion &amp; forbrug'!$E$4:$E$291,'Produktion &amp; forbrug'!$F20)</f>
        <v>0</v>
      </c>
      <c r="O20" s="179">
        <f t="shared" ca="1" si="3"/>
        <v>0</v>
      </c>
      <c r="P20" s="94">
        <f t="shared" ca="1" si="4"/>
        <v>0</v>
      </c>
      <c r="Q20" s="180">
        <f t="shared" ca="1" si="5"/>
        <v>1971428.5192748301</v>
      </c>
      <c r="R20">
        <f ca="1">IFERROR(VLOOKUP(A20,[1]Energiindhold!$A$2:$C$11,3,FALSE),IFERROR(VLOOKUP(A20,[1]Biogasudbytte!$A$2:$B$18,2,FALSE)*[1]Energiindhold!$C$10,0))*P20</f>
        <v>0</v>
      </c>
      <c r="S20">
        <f ca="1">IF(A20&lt;&gt;"Biogas",IFERROR(VLOOKUP(A20,[1]Biogasudbytte!$A$2:$B$18,2,FALSE)*[1]Energiindhold!$C$10,0)*K20*IFERROR(VLOOKUP(A20,Biogasanlæg!$F$3:$G$8,2,FALSE),1)+IFERROR(VLOOKUP(A20,[1]Energiindhold!$A$2:$C$11,3,FALSE),0)*M20+IF(F20&lt;&gt;År1,R20,0),0)</f>
        <v>20.029264782475234</v>
      </c>
      <c r="T20">
        <f ca="1">IFERROR(VLOOKUP(A20,[1]Biogasudbytte!$A$2:$B$18,2,FALSE)*[1]Energiindhold!$C$10,0)*K20*IFERROR(VLOOKUP(A20,Biogasanlæg!$F$3:$G$8,2,FALSE),1)</f>
        <v>0.43780051435999984</v>
      </c>
      <c r="U20" s="170">
        <f t="shared" ca="1" si="6"/>
        <v>19.591464268115235</v>
      </c>
      <c r="V20" s="169">
        <f ca="1">P20*IFERROR(VLOOKUP(A20,[1]Tørstofindhold!A$2:B$24,2,FALSE),0)</f>
        <v>0</v>
      </c>
      <c r="W20">
        <f ca="1">IF(F20=År1,Q20,SUM(P20,Q20))*IFERROR(VLOOKUP(A20,[1]Tørstofindhold!A$2:B$24,2,FALSE),0)</f>
        <v>1675714.2413836056</v>
      </c>
      <c r="X20">
        <f ca="1">K20*IFERROR(VLOOKUP(A20,[1]Tørstofindhold!A$2:B$24,2,FALSE),0)</f>
        <v>64543.899999999972</v>
      </c>
      <c r="Y20" s="170">
        <f t="shared" ca="1" si="7"/>
        <v>1611170.3413836057</v>
      </c>
      <c r="Z20">
        <f t="shared" ca="1" si="0"/>
        <v>0</v>
      </c>
      <c r="AA20">
        <f t="shared" ca="1" si="1"/>
        <v>0</v>
      </c>
      <c r="AC20" s="94">
        <f t="shared" ca="1" si="8"/>
        <v>1895494.5192748315</v>
      </c>
      <c r="AD20">
        <f ca="1">AC20*E20*10000*VLOOKUP(A20,[1]kcal!$A$2:$C$49,3,FALSE)/1000000000000</f>
        <v>0</v>
      </c>
    </row>
    <row r="21" spans="1:30" x14ac:dyDescent="0.25">
      <c r="A21" s="171" t="s">
        <v>162</v>
      </c>
      <c r="B21" s="171" t="s">
        <v>230</v>
      </c>
      <c r="C21" s="171" t="str">
        <f>IFERROR(VLOOKUP(A21,'Kategorisering af kcal'!$J$2:$K$18,2,FALSE),"")</f>
        <v/>
      </c>
      <c r="D21" s="171">
        <f>IF(COUNTIFS('Resultater - Danmark'!$D$3:$D$504,'Produktion &amp; forbrug'!A21,'Resultater - Danmark'!$A$3:$A$504,"Til energi")+COUNTIFS('Resultater - Danmark'!$D$3:$D$504,'Produktion &amp; forbrug'!A21,'Resultater - Danmark'!$A$3:$A$504,"Biogasanlæg")&gt;0,1,0)</f>
        <v>1</v>
      </c>
      <c r="E21" s="171">
        <v>0</v>
      </c>
      <c r="F21" s="171">
        <f t="shared" si="2"/>
        <v>2019</v>
      </c>
      <c r="G21" s="94">
        <f>SUMIFS('Resultat-Produktion &amp; forbrug'!G$4:G$291,'Resultat-Produktion &amp; forbrug'!$A$4:$A$291,'Produktion &amp; forbrug'!$A21,'Resultat-Produktion &amp; forbrug'!$E$4:$E$291,'Produktion &amp; forbrug'!$F21)</f>
        <v>982809</v>
      </c>
      <c r="H21" s="94">
        <f>SUMIFS('Resultat-Produktion &amp; forbrug'!H$4:H$291,'Resultat-Produktion &amp; forbrug'!$A$4:$A$291,'Produktion &amp; forbrug'!$A21,'Resultat-Produktion &amp; forbrug'!$E$4:$E$291,'Produktion &amp; forbrug'!$F21)</f>
        <v>0</v>
      </c>
      <c r="I21" s="94">
        <f>SUMIFS('Resultat-Produktion &amp; forbrug'!I$4:I$291,'Resultat-Produktion &amp; forbrug'!$A$4:$A$291,'Produktion &amp; forbrug'!$A21,'Resultat-Produktion &amp; forbrug'!$E$4:$E$291,'Produktion &amp; forbrug'!$F21)</f>
        <v>0</v>
      </c>
      <c r="J21" s="94">
        <f>SUMIFS('Resultat-Produktion &amp; forbrug'!J$4:J$291,'Resultat-Produktion &amp; forbrug'!$A$4:$A$291,'Produktion &amp; forbrug'!$A21,'Resultat-Produktion &amp; forbrug'!$E$4:$E$291,'Produktion &amp; forbrug'!$F21)</f>
        <v>0</v>
      </c>
      <c r="K21" s="94">
        <f>SUMIFS('Resultat-Produktion &amp; forbrug'!K$4:K$291,'Resultat-Produktion &amp; forbrug'!$A$4:$A$291,'Produktion &amp; forbrug'!$A21,'Resultat-Produktion &amp; forbrug'!$E$4:$E$291,'Produktion &amp; forbrug'!$F21)</f>
        <v>78</v>
      </c>
      <c r="L21" s="94">
        <f>SUMIFS('Resultat-Produktion &amp; forbrug'!L$4:L$291,'Resultat-Produktion &amp; forbrug'!$A$4:$A$291,'Produktion &amp; forbrug'!$A21,'Resultat-Produktion &amp; forbrug'!$E$4:$E$291,'Produktion &amp; forbrug'!$F21)</f>
        <v>0</v>
      </c>
      <c r="M21" s="94">
        <f>SUMIFS('Resultat-Produktion &amp; forbrug'!M$4:M$291,'Resultat-Produktion &amp; forbrug'!$A$4:$A$291,'Produktion &amp; forbrug'!$A21,'Resultat-Produktion &amp; forbrug'!$E$4:$E$291,'Produktion &amp; forbrug'!$F21)</f>
        <v>982731</v>
      </c>
      <c r="N21" s="94">
        <f>SUMIFS('Resultat-Produktion &amp; forbrug'!N$4:N$291,'Resultat-Produktion &amp; forbrug'!$A$4:$A$291,'Produktion &amp; forbrug'!$A21,'Resultat-Produktion &amp; forbrug'!$E$4:$E$291,'Produktion &amp; forbrug'!$F21)</f>
        <v>0</v>
      </c>
      <c r="O21" s="179">
        <f t="shared" si="3"/>
        <v>0</v>
      </c>
      <c r="P21" s="94">
        <f t="shared" si="4"/>
        <v>0</v>
      </c>
      <c r="Q21" s="180">
        <f t="shared" si="5"/>
        <v>982809</v>
      </c>
      <c r="R21">
        <f>IFERROR(VLOOKUP(A21,[1]Energiindhold!$A$2:$C$11,3,FALSE),IFERROR(VLOOKUP(A21,[1]Biogasudbytte!$A$2:$B$18,2,FALSE)*[1]Energiindhold!$C$10,0))*P21</f>
        <v>0</v>
      </c>
      <c r="S21">
        <f>IF(A21&lt;&gt;"Biogas",IFERROR(VLOOKUP(A21,[1]Biogasudbytte!$A$2:$B$18,2,FALSE)*[1]Energiindhold!$C$10,0)*K21*IFERROR(VLOOKUP(A21,Biogasanlæg!$F$3:$G$8,2,FALSE),1)+IFERROR(VLOOKUP(A21,[1]Energiindhold!$A$2:$C$11,3,FALSE),0)*M21+IF(F21&lt;&gt;År1,R21,0),0)</f>
        <v>17.544062973962301</v>
      </c>
      <c r="T21">
        <f>IFERROR(VLOOKUP(A21,[1]Biogasudbytte!$A$2:$B$18,2,FALSE)*[1]Energiindhold!$C$10,0)*K21*IFERROR(VLOOKUP(A21,Biogasanlæg!$F$3:$G$8,2,FALSE),1)</f>
        <v>1.3244946000000001E-4</v>
      </c>
      <c r="U21" s="170">
        <f t="shared" si="6"/>
        <v>17.543930524502301</v>
      </c>
      <c r="V21" s="169">
        <f>P21*IFERROR(VLOOKUP(A21,[1]Tørstofindhold!A$2:B$24,2,FALSE),0)</f>
        <v>0</v>
      </c>
      <c r="W21">
        <f>IF(F21=År1,Q21,SUM(P21,Q21))*IFERROR(VLOOKUP(A21,[1]Tørstofindhold!A$2:B$24,2,FALSE),0)</f>
        <v>294842.7</v>
      </c>
      <c r="X21">
        <f>K21*IFERROR(VLOOKUP(A21,[1]Tørstofindhold!A$2:B$24,2,FALSE),0)</f>
        <v>23.4</v>
      </c>
      <c r="Y21" s="170">
        <f t="shared" si="7"/>
        <v>294819.3</v>
      </c>
      <c r="Z21">
        <f t="shared" si="0"/>
        <v>0</v>
      </c>
      <c r="AA21">
        <f t="shared" si="1"/>
        <v>0</v>
      </c>
      <c r="AC21" s="94">
        <f t="shared" si="8"/>
        <v>982731</v>
      </c>
      <c r="AD21">
        <f>AC21*E21*10000*VLOOKUP(A21,[1]kcal!$A$2:$C$49,3,FALSE)/1000000000000</f>
        <v>0</v>
      </c>
    </row>
    <row r="22" spans="1:30" x14ac:dyDescent="0.25">
      <c r="A22" t="s">
        <v>159</v>
      </c>
      <c r="B22" s="171"/>
      <c r="C22" s="171" t="str">
        <f>IFERROR(VLOOKUP(A22,'Kategorisering af kcal'!$J$2:$K$18,2,FALSE),"")</f>
        <v>Olieafgrøder</v>
      </c>
      <c r="D22" s="171">
        <f>IF(COUNTIFS('Resultater - Danmark'!$D$3:$D$504,'Produktion &amp; forbrug'!A22,'Resultater - Danmark'!$A$3:$A$504,"Til energi")+COUNTIFS('Resultater - Danmark'!$D$3:$D$504,'Produktion &amp; forbrug'!A22,'Resultater - Danmark'!$A$3:$A$504,"Biogasanlæg")&gt;0,1,0)</f>
        <v>0</v>
      </c>
      <c r="E22" s="171">
        <v>1</v>
      </c>
      <c r="F22" s="171">
        <f t="shared" si="2"/>
        <v>2019</v>
      </c>
      <c r="G22" s="94">
        <f>SUMIFS('Resultat-Produktion &amp; forbrug'!G$4:G$291,'Resultat-Produktion &amp; forbrug'!$A$4:$A$291,'Produktion &amp; forbrug'!$A22,'Resultat-Produktion &amp; forbrug'!$E$4:$E$291,'Produktion &amp; forbrug'!$F22)</f>
        <v>0</v>
      </c>
      <c r="H22" s="94">
        <f ca="1">SUMIFS('Resultat-Produktion &amp; forbrug'!H$4:H$291,'Resultat-Produktion &amp; forbrug'!$A$4:$A$291,'Produktion &amp; forbrug'!$A22,'Resultat-Produktion &amp; forbrug'!$E$4:$E$291,'Produktion &amp; forbrug'!$F22)</f>
        <v>5421074.2654714445</v>
      </c>
      <c r="I22" s="94">
        <f>SUMIFS('Resultat-Produktion &amp; forbrug'!I$4:I$291,'Resultat-Produktion &amp; forbrug'!$A$4:$A$291,'Produktion &amp; forbrug'!$A22,'Resultat-Produktion &amp; forbrug'!$E$4:$E$291,'Produktion &amp; forbrug'!$F22)</f>
        <v>0</v>
      </c>
      <c r="J22" s="94">
        <f>SUMIFS('Resultat-Produktion &amp; forbrug'!J$4:J$291,'Resultat-Produktion &amp; forbrug'!$A$4:$A$291,'Produktion &amp; forbrug'!$A22,'Resultat-Produktion &amp; forbrug'!$E$4:$E$291,'Produktion &amp; forbrug'!$F22)</f>
        <v>0</v>
      </c>
      <c r="K22" s="94">
        <f>SUMIFS('Resultat-Produktion &amp; forbrug'!K$4:K$291,'Resultat-Produktion &amp; forbrug'!$A$4:$A$291,'Produktion &amp; forbrug'!$A22,'Resultat-Produktion &amp; forbrug'!$E$4:$E$291,'Produktion &amp; forbrug'!$F22)</f>
        <v>0</v>
      </c>
      <c r="L22" s="94">
        <f>SUMIFS('Resultat-Produktion &amp; forbrug'!L$4:L$291,'Resultat-Produktion &amp; forbrug'!$A$4:$A$291,'Produktion &amp; forbrug'!$A22,'Resultat-Produktion &amp; forbrug'!$E$4:$E$291,'Produktion &amp; forbrug'!$F22)</f>
        <v>0</v>
      </c>
      <c r="M22" s="94">
        <f>SUMIFS('Resultat-Produktion &amp; forbrug'!M$4:M$291,'Resultat-Produktion &amp; forbrug'!$A$4:$A$291,'Produktion &amp; forbrug'!$A22,'Resultat-Produktion &amp; forbrug'!$E$4:$E$291,'Produktion &amp; forbrug'!$F22)</f>
        <v>0</v>
      </c>
      <c r="N22" s="94">
        <f>SUMIFS('Resultat-Produktion &amp; forbrug'!N$4:N$291,'Resultat-Produktion &amp; forbrug'!$A$4:$A$291,'Produktion &amp; forbrug'!$A22,'Resultat-Produktion &amp; forbrug'!$E$4:$E$291,'Produktion &amp; forbrug'!$F22)</f>
        <v>0</v>
      </c>
      <c r="O22" s="179">
        <f t="shared" ca="1" si="3"/>
        <v>-5421074.2654714445</v>
      </c>
      <c r="P22" s="94">
        <f t="shared" si="4"/>
        <v>0</v>
      </c>
      <c r="Q22" s="180">
        <f t="shared" si="5"/>
        <v>0</v>
      </c>
      <c r="R22">
        <f>IFERROR(VLOOKUP(A22,[1]Energiindhold!$A$2:$C$11,3,FALSE),IFERROR(VLOOKUP(A22,[1]Biogasudbytte!$A$2:$B$18,2,FALSE)*[1]Energiindhold!$C$10,0))*P22</f>
        <v>0</v>
      </c>
      <c r="S22">
        <f>IF(A22&lt;&gt;"Biogas",IFERROR(VLOOKUP(A22,[1]Biogasudbytte!$A$2:$B$18,2,FALSE)*[1]Energiindhold!$C$10,0)*K22*IFERROR(VLOOKUP(A22,Biogasanlæg!$F$3:$G$8,2,FALSE),1)+IFERROR(VLOOKUP(A22,[1]Energiindhold!$A$2:$C$11,3,FALSE),0)*M22+IF(F22&lt;&gt;År1,R22,0),0)</f>
        <v>0</v>
      </c>
      <c r="T22">
        <f>IFERROR(VLOOKUP(A22,[1]Biogasudbytte!$A$2:$B$18,2,FALSE)*[1]Energiindhold!$C$10,0)*K22*IFERROR(VLOOKUP(A22,Biogasanlæg!$F$3:$G$8,2,FALSE),1)</f>
        <v>0</v>
      </c>
      <c r="U22" s="170">
        <f t="shared" si="6"/>
        <v>0</v>
      </c>
      <c r="V22" s="169">
        <f>P22*IFERROR(VLOOKUP(A22,[1]Tørstofindhold!A$2:B$24,2,FALSE),0)</f>
        <v>0</v>
      </c>
      <c r="W22">
        <f>IF(F22=År1,Q22,SUM(P22,Q22))*IFERROR(VLOOKUP(A22,[1]Tørstofindhold!A$2:B$24,2,FALSE),0)</f>
        <v>0</v>
      </c>
      <c r="X22">
        <f>K22*IFERROR(VLOOKUP(A22,[1]Tørstofindhold!A$2:B$24,2,FALSE),0)</f>
        <v>0</v>
      </c>
      <c r="Y22" s="170">
        <f t="shared" si="7"/>
        <v>0</v>
      </c>
      <c r="Z22">
        <f t="shared" ca="1" si="0"/>
        <v>1</v>
      </c>
      <c r="AA22">
        <f t="shared" ca="1" si="1"/>
        <v>0</v>
      </c>
      <c r="AC22" s="94">
        <f t="shared" ca="1" si="8"/>
        <v>-5421074.2654714445</v>
      </c>
      <c r="AD22">
        <f ca="1">AC22*E22*10000*VLOOKUP(A22,[1]kcal!$A$2:$C$49,3,FALSE)/1000000000000</f>
        <v>-3.0900123313187238</v>
      </c>
    </row>
    <row r="23" spans="1:30" x14ac:dyDescent="0.25">
      <c r="A23" s="171" t="s">
        <v>103</v>
      </c>
      <c r="B23" s="171" t="s">
        <v>230</v>
      </c>
      <c r="C23" s="171" t="str">
        <f>IFERROR(VLOOKUP(A23,'Kategorisering af kcal'!$J$2:$K$18,2,FALSE),"")</f>
        <v/>
      </c>
      <c r="D23" s="171">
        <f>IF(COUNTIFS('Resultater - Danmark'!$D$3:$D$504,'Produktion &amp; forbrug'!A23,'Resultater - Danmark'!$A$3:$A$504,"Til energi")+COUNTIFS('Resultater - Danmark'!$D$3:$D$504,'Produktion &amp; forbrug'!A23,'Resultater - Danmark'!$A$3:$A$504,"Biogasanlæg")&gt;0,1,0)</f>
        <v>1</v>
      </c>
      <c r="E23" s="171">
        <v>0</v>
      </c>
      <c r="F23" s="171">
        <f t="shared" si="2"/>
        <v>2019</v>
      </c>
      <c r="G23" s="94">
        <f ca="1">SUMIFS('Resultat-Produktion &amp; forbrug'!G$4:G$291,'Resultat-Produktion &amp; forbrug'!$A$4:$A$291,'Produktion &amp; forbrug'!$A23,'Resultat-Produktion &amp; forbrug'!$E$4:$E$291,'Produktion &amp; forbrug'!$F23)</f>
        <v>713321.96965889772</v>
      </c>
      <c r="H23" s="94">
        <f>SUMIFS('Resultat-Produktion &amp; forbrug'!H$4:H$291,'Resultat-Produktion &amp; forbrug'!$A$4:$A$291,'Produktion &amp; forbrug'!$A23,'Resultat-Produktion &amp; forbrug'!$E$4:$E$291,'Produktion &amp; forbrug'!$F23)</f>
        <v>0</v>
      </c>
      <c r="I23" s="94">
        <f>SUMIFS('Resultat-Produktion &amp; forbrug'!I$4:I$291,'Resultat-Produktion &amp; forbrug'!$A$4:$A$291,'Produktion &amp; forbrug'!$A23,'Resultat-Produktion &amp; forbrug'!$E$4:$E$291,'Produktion &amp; forbrug'!$F23)</f>
        <v>0</v>
      </c>
      <c r="J23" s="94">
        <f>SUMIFS('Resultat-Produktion &amp; forbrug'!J$4:J$291,'Resultat-Produktion &amp; forbrug'!$A$4:$A$291,'Produktion &amp; forbrug'!$A23,'Resultat-Produktion &amp; forbrug'!$E$4:$E$291,'Produktion &amp; forbrug'!$F23)</f>
        <v>0</v>
      </c>
      <c r="K23" s="94">
        <f ca="1">SUMIFS('Resultat-Produktion &amp; forbrug'!K$4:K$291,'Resultat-Produktion &amp; forbrug'!$A$4:$A$291,'Produktion &amp; forbrug'!$A23,'Resultat-Produktion &amp; forbrug'!$E$4:$E$291,'Produktion &amp; forbrug'!$F23)</f>
        <v>995654</v>
      </c>
      <c r="L23" s="94">
        <f>SUMIFS('Resultat-Produktion &amp; forbrug'!L$4:L$291,'Resultat-Produktion &amp; forbrug'!$A$4:$A$291,'Produktion &amp; forbrug'!$A23,'Resultat-Produktion &amp; forbrug'!$E$4:$E$291,'Produktion &amp; forbrug'!$F23)</f>
        <v>0</v>
      </c>
      <c r="M23" s="94">
        <f>SUMIFS('Resultat-Produktion &amp; forbrug'!M$4:M$291,'Resultat-Produktion &amp; forbrug'!$A$4:$A$291,'Produktion &amp; forbrug'!$A23,'Resultat-Produktion &amp; forbrug'!$E$4:$E$291,'Produktion &amp; forbrug'!$F23)</f>
        <v>0</v>
      </c>
      <c r="N23" s="94">
        <f>SUMIFS('Resultat-Produktion &amp; forbrug'!N$4:N$291,'Resultat-Produktion &amp; forbrug'!$A$4:$A$291,'Produktion &amp; forbrug'!$A23,'Resultat-Produktion &amp; forbrug'!$E$4:$E$291,'Produktion &amp; forbrug'!$F23)</f>
        <v>0</v>
      </c>
      <c r="O23" s="179">
        <f t="shared" ca="1" si="3"/>
        <v>-282332.03034110228</v>
      </c>
      <c r="P23" s="94">
        <f t="shared" ca="1" si="4"/>
        <v>0</v>
      </c>
      <c r="Q23" s="180">
        <f t="shared" ca="1" si="5"/>
        <v>995654</v>
      </c>
      <c r="R23">
        <f ca="1">IFERROR(VLOOKUP(A23,[1]Energiindhold!$A$2:$C$11,3,FALSE),IFERROR(VLOOKUP(A23,[1]Biogasudbytte!$A$2:$B$18,2,FALSE)*[1]Energiindhold!$C$10,0))*P23</f>
        <v>0</v>
      </c>
      <c r="S23">
        <f ca="1">IF(A23&lt;&gt;"Biogas",IFERROR(VLOOKUP(A23,[1]Biogasudbytte!$A$2:$B$18,2,FALSE)*[1]Energiindhold!$C$10,0)*K23*IFERROR(VLOOKUP(A23,Biogasanlæg!$F$3:$G$8,2,FALSE),1)+IFERROR(VLOOKUP(A23,[1]Energiindhold!$A$2:$C$11,3,FALSE),0)*M23+IF(F23&lt;&gt;År1,R23,0),0)</f>
        <v>3.6671534844670002</v>
      </c>
      <c r="T23">
        <f ca="1">IFERROR(VLOOKUP(A23,[1]Biogasudbytte!$A$2:$B$18,2,FALSE)*[1]Energiindhold!$C$10,0)*K23*IFERROR(VLOOKUP(A23,Biogasanlæg!$F$3:$G$8,2,FALSE),1)</f>
        <v>3.6671534844670002</v>
      </c>
      <c r="U23" s="170">
        <f t="shared" ca="1" si="6"/>
        <v>0</v>
      </c>
      <c r="V23" s="169">
        <f ca="1">P23*IFERROR(VLOOKUP(A23,[1]Tørstofindhold!A$2:B$24,2,FALSE),0)</f>
        <v>0</v>
      </c>
      <c r="W23">
        <f ca="1">IF(F23=År1,Q23,SUM(P23,Q23))*IFERROR(VLOOKUP(A23,[1]Tørstofindhold!A$2:B$24,2,FALSE),0)</f>
        <v>418174.68</v>
      </c>
      <c r="X23">
        <f ca="1">K23*IFERROR(VLOOKUP(A23,[1]Tørstofindhold!A$2:B$24,2,FALSE),0)</f>
        <v>418174.68</v>
      </c>
      <c r="Y23" s="170">
        <f t="shared" ca="1" si="7"/>
        <v>0</v>
      </c>
      <c r="Z23">
        <f t="shared" ca="1" si="0"/>
        <v>1</v>
      </c>
      <c r="AA23">
        <f t="shared" ca="1" si="1"/>
        <v>0</v>
      </c>
      <c r="AC23" s="94">
        <f t="shared" ca="1" si="8"/>
        <v>-282332.03034110228</v>
      </c>
      <c r="AD23">
        <f ca="1">AC23*E23*10000*VLOOKUP(A23,[1]kcal!$A$2:$C$49,3,FALSE)/1000000000000</f>
        <v>0</v>
      </c>
    </row>
    <row r="24" spans="1:30" x14ac:dyDescent="0.25">
      <c r="A24" s="171" t="s">
        <v>56</v>
      </c>
      <c r="B24" s="171"/>
      <c r="C24" s="171" t="str">
        <f>IFERROR(VLOOKUP(A24,'Kategorisering af kcal'!$J$2:$K$18,2,FALSE),"")</f>
        <v/>
      </c>
      <c r="D24" s="171">
        <f>IF(COUNTIFS('Resultater - Danmark'!$D$3:$D$504,'Produktion &amp; forbrug'!A24,'Resultater - Danmark'!$A$3:$A$504,"Til energi")+COUNTIFS('Resultater - Danmark'!$D$3:$D$504,'Produktion &amp; forbrug'!A24,'Resultater - Danmark'!$A$3:$A$504,"Biogasanlæg")&gt;0,1,0)</f>
        <v>0</v>
      </c>
      <c r="E24" s="171">
        <v>0</v>
      </c>
      <c r="F24" s="171">
        <f t="shared" si="2"/>
        <v>2019</v>
      </c>
      <c r="G24" s="94">
        <f>SUMIFS('Resultat-Produktion &amp; forbrug'!G$4:G$291,'Resultat-Produktion &amp; forbrug'!$A$4:$A$291,'Produktion &amp; forbrug'!$A24,'Resultat-Produktion &amp; forbrug'!$E$4:$E$291,'Produktion &amp; forbrug'!$F24)</f>
        <v>912099.45136908058</v>
      </c>
      <c r="H24" s="94">
        <f>SUMIFS('Resultat-Produktion &amp; forbrug'!H$4:H$291,'Resultat-Produktion &amp; forbrug'!$A$4:$A$291,'Produktion &amp; forbrug'!$A24,'Resultat-Produktion &amp; forbrug'!$E$4:$E$291,'Produktion &amp; forbrug'!$F24)</f>
        <v>0</v>
      </c>
      <c r="I24" s="94">
        <f>SUMIFS('Resultat-Produktion &amp; forbrug'!I$4:I$291,'Resultat-Produktion &amp; forbrug'!$A$4:$A$291,'Produktion &amp; forbrug'!$A24,'Resultat-Produktion &amp; forbrug'!$E$4:$E$291,'Produktion &amp; forbrug'!$F24)</f>
        <v>0</v>
      </c>
      <c r="J24" s="94">
        <f>SUMIFS('Resultat-Produktion &amp; forbrug'!J$4:J$291,'Resultat-Produktion &amp; forbrug'!$A$4:$A$291,'Produktion &amp; forbrug'!$A24,'Resultat-Produktion &amp; forbrug'!$E$4:$E$291,'Produktion &amp; forbrug'!$F24)</f>
        <v>0</v>
      </c>
      <c r="K24" s="94">
        <f>SUMIFS('Resultat-Produktion &amp; forbrug'!K$4:K$291,'Resultat-Produktion &amp; forbrug'!$A$4:$A$291,'Produktion &amp; forbrug'!$A24,'Resultat-Produktion &amp; forbrug'!$E$4:$E$291,'Produktion &amp; forbrug'!$F24)</f>
        <v>0</v>
      </c>
      <c r="L24" s="94">
        <f>SUMIFS('Resultat-Produktion &amp; forbrug'!L$4:L$291,'Resultat-Produktion &amp; forbrug'!$A$4:$A$291,'Produktion &amp; forbrug'!$A24,'Resultat-Produktion &amp; forbrug'!$E$4:$E$291,'Produktion &amp; forbrug'!$F24)</f>
        <v>0</v>
      </c>
      <c r="M24" s="94">
        <f>SUMIFS('Resultat-Produktion &amp; forbrug'!M$4:M$291,'Resultat-Produktion &amp; forbrug'!$A$4:$A$291,'Produktion &amp; forbrug'!$A24,'Resultat-Produktion &amp; forbrug'!$E$4:$E$291,'Produktion &amp; forbrug'!$F24)</f>
        <v>0</v>
      </c>
      <c r="N24" s="94">
        <f>SUMIFS('Resultat-Produktion &amp; forbrug'!N$4:N$291,'Resultat-Produktion &amp; forbrug'!$A$4:$A$291,'Produktion &amp; forbrug'!$A24,'Resultat-Produktion &amp; forbrug'!$E$4:$E$291,'Produktion &amp; forbrug'!$F24)</f>
        <v>0</v>
      </c>
      <c r="O24" s="179">
        <f t="shared" si="3"/>
        <v>912099.45136908058</v>
      </c>
      <c r="P24" s="94">
        <f t="shared" si="4"/>
        <v>0</v>
      </c>
      <c r="Q24" s="180">
        <f t="shared" si="5"/>
        <v>0</v>
      </c>
      <c r="R24">
        <f>IFERROR(VLOOKUP(A24,[1]Energiindhold!$A$2:$C$11,3,FALSE),IFERROR(VLOOKUP(A24,[1]Biogasudbytte!$A$2:$B$18,2,FALSE)*[1]Energiindhold!$C$10,0))*P24</f>
        <v>0</v>
      </c>
      <c r="S24">
        <f>IF(A24&lt;&gt;"Biogas",IFERROR(VLOOKUP(A24,[1]Biogasudbytte!$A$2:$B$18,2,FALSE)*[1]Energiindhold!$C$10,0)*K24*IFERROR(VLOOKUP(A24,Biogasanlæg!$F$3:$G$8,2,FALSE),1)+IFERROR(VLOOKUP(A24,[1]Energiindhold!$A$2:$C$11,3,FALSE),0)*M24+IF(F24&lt;&gt;År1,R24,0),0)</f>
        <v>0</v>
      </c>
      <c r="T24">
        <f>IFERROR(VLOOKUP(A24,[1]Biogasudbytte!$A$2:$B$18,2,FALSE)*[1]Energiindhold!$C$10,0)*K24*IFERROR(VLOOKUP(A24,Biogasanlæg!$F$3:$G$8,2,FALSE),1)</f>
        <v>0</v>
      </c>
      <c r="U24" s="170">
        <f t="shared" si="6"/>
        <v>0</v>
      </c>
      <c r="V24" s="169">
        <f>P24*IFERROR(VLOOKUP(A24,[1]Tørstofindhold!A$2:B$24,2,FALSE),0)</f>
        <v>0</v>
      </c>
      <c r="W24">
        <f>IF(F24=År1,Q24,SUM(P24,Q24))*IFERROR(VLOOKUP(A24,[1]Tørstofindhold!A$2:B$24,2,FALSE),0)</f>
        <v>0</v>
      </c>
      <c r="X24">
        <f>K24*IFERROR(VLOOKUP(A24,[1]Tørstofindhold!A$2:B$24,2,FALSE),0)</f>
        <v>0</v>
      </c>
      <c r="Y24" s="170">
        <f t="shared" si="7"/>
        <v>0</v>
      </c>
      <c r="Z24">
        <f t="shared" si="0"/>
        <v>0</v>
      </c>
      <c r="AA24">
        <f t="shared" si="1"/>
        <v>1</v>
      </c>
      <c r="AC24" s="94">
        <f t="shared" si="8"/>
        <v>912099.45136908058</v>
      </c>
      <c r="AD24">
        <f>AC24*E24*10000*VLOOKUP(A24,[1]kcal!$A$2:$C$49,3,FALSE)/1000000000000</f>
        <v>0</v>
      </c>
    </row>
    <row r="25" spans="1:30" x14ac:dyDescent="0.25">
      <c r="A25" s="171" t="s">
        <v>12</v>
      </c>
      <c r="B25" s="171"/>
      <c r="C25" s="171" t="str">
        <f>IFERROR(VLOOKUP(A25,'Kategorisering af kcal'!$J$2:$K$18,2,FALSE),"")</f>
        <v>Kartofler</v>
      </c>
      <c r="D25" s="171">
        <f>IF(COUNTIFS('Resultater - Danmark'!$D$3:$D$504,'Produktion &amp; forbrug'!A25,'Resultater - Danmark'!$A$3:$A$504,"Til energi")+COUNTIFS('Resultater - Danmark'!$D$3:$D$504,'Produktion &amp; forbrug'!A25,'Resultater - Danmark'!$A$3:$A$504,"Biogasanlæg")&gt;0,1,0)</f>
        <v>0</v>
      </c>
      <c r="E25" s="171">
        <v>1</v>
      </c>
      <c r="F25" s="171">
        <f t="shared" si="2"/>
        <v>2019</v>
      </c>
      <c r="G25" s="94">
        <f>SUMIFS('Resultat-Produktion &amp; forbrug'!G$4:G$291,'Resultat-Produktion &amp; forbrug'!$A$4:$A$291,'Produktion &amp; forbrug'!$A25,'Resultat-Produktion &amp; forbrug'!$E$4:$E$291,'Produktion &amp; forbrug'!$F25)</f>
        <v>2263176.157376945</v>
      </c>
      <c r="H25" s="94">
        <f ca="1">SUMIFS('Resultat-Produktion &amp; forbrug'!H$4:H$291,'Resultat-Produktion &amp; forbrug'!$A$4:$A$291,'Produktion &amp; forbrug'!$A25,'Resultat-Produktion &amp; forbrug'!$E$4:$E$291,'Produktion &amp; forbrug'!$F25)</f>
        <v>0</v>
      </c>
      <c r="I25" s="94">
        <f>SUMIFS('Resultat-Produktion &amp; forbrug'!I$4:I$291,'Resultat-Produktion &amp; forbrug'!$A$4:$A$291,'Produktion &amp; forbrug'!$A25,'Resultat-Produktion &amp; forbrug'!$E$4:$E$291,'Produktion &amp; forbrug'!$F25)</f>
        <v>0</v>
      </c>
      <c r="J25" s="94">
        <f>SUMIFS('Resultat-Produktion &amp; forbrug'!J$4:J$291,'Resultat-Produktion &amp; forbrug'!$A$4:$A$291,'Produktion &amp; forbrug'!$A25,'Resultat-Produktion &amp; forbrug'!$E$4:$E$291,'Produktion &amp; forbrug'!$F25)</f>
        <v>221445.08976743236</v>
      </c>
      <c r="K25" s="94">
        <f>SUMIFS('Resultat-Produktion &amp; forbrug'!K$4:K$291,'Resultat-Produktion &amp; forbrug'!$A$4:$A$291,'Produktion &amp; forbrug'!$A25,'Resultat-Produktion &amp; forbrug'!$E$4:$E$291,'Produktion &amp; forbrug'!$F25)</f>
        <v>0</v>
      </c>
      <c r="L25" s="94">
        <f>SUMIFS('Resultat-Produktion &amp; forbrug'!L$4:L$291,'Resultat-Produktion &amp; forbrug'!$A$4:$A$291,'Produktion &amp; forbrug'!$A25,'Resultat-Produktion &amp; forbrug'!$E$4:$E$291,'Produktion &amp; forbrug'!$F25)</f>
        <v>0</v>
      </c>
      <c r="M25" s="94">
        <f>SUMIFS('Resultat-Produktion &amp; forbrug'!M$4:M$291,'Resultat-Produktion &amp; forbrug'!$A$4:$A$291,'Produktion &amp; forbrug'!$A25,'Resultat-Produktion &amp; forbrug'!$E$4:$E$291,'Produktion &amp; forbrug'!$F25)</f>
        <v>0</v>
      </c>
      <c r="N25" s="94">
        <f>SUMIFS('Resultat-Produktion &amp; forbrug'!N$4:N$291,'Resultat-Produktion &amp; forbrug'!$A$4:$A$291,'Produktion &amp; forbrug'!$A25,'Resultat-Produktion &amp; forbrug'!$E$4:$E$291,'Produktion &amp; forbrug'!$F25)</f>
        <v>0</v>
      </c>
      <c r="O25" s="179">
        <f t="shared" ca="1" si="3"/>
        <v>2041731.0676095127</v>
      </c>
      <c r="P25" s="94">
        <f t="shared" si="4"/>
        <v>0</v>
      </c>
      <c r="Q25" s="180">
        <f t="shared" si="5"/>
        <v>0</v>
      </c>
      <c r="R25">
        <f>IFERROR(VLOOKUP(A25,[1]Energiindhold!$A$2:$C$11,3,FALSE),IFERROR(VLOOKUP(A25,[1]Biogasudbytte!$A$2:$B$18,2,FALSE)*[1]Energiindhold!$C$10,0))*P25</f>
        <v>0</v>
      </c>
      <c r="S25">
        <f>IF(A25&lt;&gt;"Biogas",IFERROR(VLOOKUP(A25,[1]Biogasudbytte!$A$2:$B$18,2,FALSE)*[1]Energiindhold!$C$10,0)*K25*IFERROR(VLOOKUP(A25,Biogasanlæg!$F$3:$G$8,2,FALSE),1)+IFERROR(VLOOKUP(A25,[1]Energiindhold!$A$2:$C$11,3,FALSE),0)*M25+IF(F25&lt;&gt;År1,R25,0),0)</f>
        <v>0</v>
      </c>
      <c r="T25">
        <f>IFERROR(VLOOKUP(A25,[1]Biogasudbytte!$A$2:$B$18,2,FALSE)*[1]Energiindhold!$C$10,0)*K25*IFERROR(VLOOKUP(A25,Biogasanlæg!$F$3:$G$8,2,FALSE),1)</f>
        <v>0</v>
      </c>
      <c r="U25" s="170">
        <f t="shared" si="6"/>
        <v>0</v>
      </c>
      <c r="V25" s="169">
        <f>P25*IFERROR(VLOOKUP(A25,[1]Tørstofindhold!A$2:B$24,2,FALSE),0)</f>
        <v>0</v>
      </c>
      <c r="W25">
        <f>IF(F25=År1,Q25,SUM(P25,Q25))*IFERROR(VLOOKUP(A25,[1]Tørstofindhold!A$2:B$24,2,FALSE),0)</f>
        <v>0</v>
      </c>
      <c r="X25">
        <f>K25*IFERROR(VLOOKUP(A25,[1]Tørstofindhold!A$2:B$24,2,FALSE),0)</f>
        <v>0</v>
      </c>
      <c r="Y25" s="170">
        <f t="shared" si="7"/>
        <v>0</v>
      </c>
      <c r="Z25">
        <f t="shared" ca="1" si="0"/>
        <v>0</v>
      </c>
      <c r="AA25">
        <f t="shared" ca="1" si="1"/>
        <v>1</v>
      </c>
      <c r="AC25" s="94">
        <f t="shared" ca="1" si="8"/>
        <v>2263176.157376945</v>
      </c>
      <c r="AD25">
        <f ca="1">AC25*E25*10000*VLOOKUP(A25,[1]kcal!$A$2:$C$49,3,FALSE)/1000000000000</f>
        <v>1.765277402754017</v>
      </c>
    </row>
    <row r="26" spans="1:30" x14ac:dyDescent="0.25">
      <c r="A26" s="171" t="s">
        <v>48</v>
      </c>
      <c r="B26" s="171" t="s">
        <v>227</v>
      </c>
      <c r="C26" s="171" t="str">
        <f>IFERROR(VLOOKUP(A26,'Kategorisering af kcal'!$J$2:$K$18,2,FALSE),"")</f>
        <v>Korn</v>
      </c>
      <c r="D26" s="171">
        <f>IF(COUNTIFS('Resultater - Danmark'!$D$3:$D$504,'Produktion &amp; forbrug'!A26,'Resultater - Danmark'!$A$3:$A$504,"Til energi")+COUNTIFS('Resultater - Danmark'!$D$3:$D$504,'Produktion &amp; forbrug'!A26,'Resultater - Danmark'!$A$3:$A$504,"Biogasanlæg")&gt;0,1,0)</f>
        <v>1</v>
      </c>
      <c r="E26" s="171">
        <v>1</v>
      </c>
      <c r="F26" s="171">
        <f t="shared" si="2"/>
        <v>2019</v>
      </c>
      <c r="G26" s="94">
        <f>SUMIFS('Resultat-Produktion &amp; forbrug'!G$4:G$291,'Resultat-Produktion &amp; forbrug'!$A$4:$A$291,'Produktion &amp; forbrug'!$A26,'Resultat-Produktion &amp; forbrug'!$E$4:$E$291,'Produktion &amp; forbrug'!$F26)</f>
        <v>9112085.8491583709</v>
      </c>
      <c r="H26" s="94">
        <f ca="1">SUMIFS('Resultat-Produktion &amp; forbrug'!H$4:H$291,'Resultat-Produktion &amp; forbrug'!$A$4:$A$291,'Produktion &amp; forbrug'!$A26,'Resultat-Produktion &amp; forbrug'!$E$4:$E$291,'Produktion &amp; forbrug'!$F26)</f>
        <v>6600836.8097011279</v>
      </c>
      <c r="I26" s="94">
        <f>SUMIFS('Resultat-Produktion &amp; forbrug'!I$4:I$291,'Resultat-Produktion &amp; forbrug'!$A$4:$A$291,'Produktion &amp; forbrug'!$A26,'Resultat-Produktion &amp; forbrug'!$E$4:$E$291,'Produktion &amp; forbrug'!$F26)</f>
        <v>0</v>
      </c>
      <c r="J26" s="94">
        <f>SUMIFS('Resultat-Produktion &amp; forbrug'!J$4:J$291,'Resultat-Produktion &amp; forbrug'!$A$4:$A$291,'Produktion &amp; forbrug'!$A26,'Resultat-Produktion &amp; forbrug'!$E$4:$E$291,'Produktion &amp; forbrug'!$F26)</f>
        <v>530494.83043187088</v>
      </c>
      <c r="K26" s="94">
        <f>SUMIFS('Resultat-Produktion &amp; forbrug'!K$4:K$291,'Resultat-Produktion &amp; forbrug'!$A$4:$A$291,'Produktion &amp; forbrug'!$A26,'Resultat-Produktion &amp; forbrug'!$E$4:$E$291,'Produktion &amp; forbrug'!$F26)</f>
        <v>3786</v>
      </c>
      <c r="L26" s="94">
        <f>SUMIFS('Resultat-Produktion &amp; forbrug'!L$4:L$291,'Resultat-Produktion &amp; forbrug'!$A$4:$A$291,'Produktion &amp; forbrug'!$A26,'Resultat-Produktion &amp; forbrug'!$E$4:$E$291,'Produktion &amp; forbrug'!$F26)</f>
        <v>0</v>
      </c>
      <c r="M26" s="94">
        <f>SUMIFS('Resultat-Produktion &amp; forbrug'!M$4:M$291,'Resultat-Produktion &amp; forbrug'!$A$4:$A$291,'Produktion &amp; forbrug'!$A26,'Resultat-Produktion &amp; forbrug'!$E$4:$E$291,'Produktion &amp; forbrug'!$F26)</f>
        <v>0</v>
      </c>
      <c r="N26" s="94">
        <f>SUMIFS('Resultat-Produktion &amp; forbrug'!N$4:N$291,'Resultat-Produktion &amp; forbrug'!$A$4:$A$291,'Produktion &amp; forbrug'!$A26,'Resultat-Produktion &amp; forbrug'!$E$4:$E$291,'Produktion &amp; forbrug'!$F26)</f>
        <v>0</v>
      </c>
      <c r="O26" s="179">
        <f t="shared" ca="1" si="3"/>
        <v>1976968.2090253718</v>
      </c>
      <c r="P26" s="94">
        <f t="shared" ca="1" si="4"/>
        <v>1976968.2090253718</v>
      </c>
      <c r="Q26" s="180">
        <f t="shared" si="5"/>
        <v>3786</v>
      </c>
      <c r="R26">
        <f ca="1">IFERROR(VLOOKUP(A26,[1]Energiindhold!$A$2:$C$11,3,FALSE),IFERROR(VLOOKUP(A26,[1]Biogasudbytte!$A$2:$B$18,2,FALSE)*[1]Energiindhold!$C$10,0))*P26</f>
        <v>6.7708393403626363</v>
      </c>
      <c r="S26">
        <f>IF(A26&lt;&gt;"Biogas",IFERROR(VLOOKUP(A26,[1]Biogasudbytte!$A$2:$B$18,2,FALSE)*[1]Energiindhold!$C$10,0)*K26*IFERROR(VLOOKUP(A26,Biogasanlæg!$F$3:$G$8,2,FALSE),1)+IFERROR(VLOOKUP(A26,[1]Energiindhold!$A$2:$C$11,3,FALSE),0)*M26+IF(F26&lt;&gt;År1,R26,0),0)</f>
        <v>1.2966519960000002E-2</v>
      </c>
      <c r="T26">
        <f>IFERROR(VLOOKUP(A26,[1]Biogasudbytte!$A$2:$B$18,2,FALSE)*[1]Energiindhold!$C$10,0)*K26*IFERROR(VLOOKUP(A26,Biogasanlæg!$F$3:$G$8,2,FALSE),1)</f>
        <v>1.2966519960000002E-2</v>
      </c>
      <c r="U26" s="170">
        <f t="shared" si="6"/>
        <v>0</v>
      </c>
      <c r="V26" s="169">
        <f ca="1">P26*IFERROR(VLOOKUP(A26,[1]Tørstofindhold!A$2:B$24,2,FALSE),0)</f>
        <v>612860.1447978653</v>
      </c>
      <c r="W26">
        <f>IF(F26=År1,Q26,SUM(P26,Q26))*IFERROR(VLOOKUP(A26,[1]Tørstofindhold!A$2:B$24,2,FALSE),0)</f>
        <v>1173.6600000000001</v>
      </c>
      <c r="X26">
        <f>K26*IFERROR(VLOOKUP(A26,[1]Tørstofindhold!A$2:B$24,2,FALSE),0)</f>
        <v>1173.6600000000001</v>
      </c>
      <c r="Y26" s="170">
        <f t="shared" si="7"/>
        <v>0</v>
      </c>
      <c r="Z26">
        <f t="shared" ca="1" si="0"/>
        <v>0</v>
      </c>
      <c r="AA26">
        <f t="shared" ca="1" si="1"/>
        <v>1</v>
      </c>
      <c r="AC26" s="94">
        <f t="shared" ca="1" si="8"/>
        <v>2507463.0394572429</v>
      </c>
      <c r="AD26">
        <f ca="1">AC26*E26*10000*VLOOKUP(A26,[1]kcal!$A$2:$C$49,3,FALSE)/1000000000000</f>
        <v>9.1773147244135096</v>
      </c>
    </row>
    <row r="27" spans="1:30" x14ac:dyDescent="0.25">
      <c r="A27" s="171" t="s">
        <v>115</v>
      </c>
      <c r="B27" s="171"/>
      <c r="C27" s="171" t="str">
        <f>IFERROR(VLOOKUP(A27,'Kategorisering af kcal'!$J$2:$K$18,2,FALSE),"")</f>
        <v/>
      </c>
      <c r="D27" s="171">
        <f>IF(COUNTIFS('Resultater - Danmark'!$D$3:$D$504,'Produktion &amp; forbrug'!A27,'Resultater - Danmark'!$A$3:$A$504,"Til energi")+COUNTIFS('Resultater - Danmark'!$D$3:$D$504,'Produktion &amp; forbrug'!A27,'Resultater - Danmark'!$A$3:$A$504,"Biogasanlæg")&gt;0,1,0)</f>
        <v>0</v>
      </c>
      <c r="E27" s="171">
        <v>0</v>
      </c>
      <c r="F27" s="171">
        <f t="shared" si="2"/>
        <v>2019</v>
      </c>
      <c r="G27" s="94">
        <f>SUMIFS('Resultat-Produktion &amp; forbrug'!G$4:G$291,'Resultat-Produktion &amp; forbrug'!$A$4:$A$291,'Produktion &amp; forbrug'!$A27,'Resultat-Produktion &amp; forbrug'!$E$4:$E$291,'Produktion &amp; forbrug'!$F27)</f>
        <v>0</v>
      </c>
      <c r="H27" s="94">
        <f>SUMIFS('Resultat-Produktion &amp; forbrug'!H$4:H$291,'Resultat-Produktion &amp; forbrug'!$A$4:$A$291,'Produktion &amp; forbrug'!$A27,'Resultat-Produktion &amp; forbrug'!$E$4:$E$291,'Produktion &amp; forbrug'!$F27)</f>
        <v>0</v>
      </c>
      <c r="I27" s="94">
        <f>SUMIFS('Resultat-Produktion &amp; forbrug'!I$4:I$291,'Resultat-Produktion &amp; forbrug'!$A$4:$A$291,'Produktion &amp; forbrug'!$A27,'Resultat-Produktion &amp; forbrug'!$E$4:$E$291,'Produktion &amp; forbrug'!$F27)</f>
        <v>0</v>
      </c>
      <c r="J27" s="94">
        <f>SUMIFS('Resultat-Produktion &amp; forbrug'!J$4:J$291,'Resultat-Produktion &amp; forbrug'!$A$4:$A$291,'Produktion &amp; forbrug'!$A27,'Resultat-Produktion &amp; forbrug'!$E$4:$E$291,'Produktion &amp; forbrug'!$F27)</f>
        <v>0</v>
      </c>
      <c r="K27" s="94">
        <f>SUMIFS('Resultat-Produktion &amp; forbrug'!K$4:K$291,'Resultat-Produktion &amp; forbrug'!$A$4:$A$291,'Produktion &amp; forbrug'!$A27,'Resultat-Produktion &amp; forbrug'!$E$4:$E$291,'Produktion &amp; forbrug'!$F27)</f>
        <v>0</v>
      </c>
      <c r="L27" s="94">
        <f ca="1">SUMIFS('Resultat-Produktion &amp; forbrug'!L$4:L$291,'Resultat-Produktion &amp; forbrug'!$A$4:$A$291,'Produktion &amp; forbrug'!$A27,'Resultat-Produktion &amp; forbrug'!$E$4:$E$291,'Produktion &amp; forbrug'!$F27)</f>
        <v>944817.29105430027</v>
      </c>
      <c r="M27" s="94">
        <f>SUMIFS('Resultat-Produktion &amp; forbrug'!M$4:M$291,'Resultat-Produktion &amp; forbrug'!$A$4:$A$291,'Produktion &amp; forbrug'!$A27,'Resultat-Produktion &amp; forbrug'!$E$4:$E$291,'Produktion &amp; forbrug'!$F27)</f>
        <v>0</v>
      </c>
      <c r="N27" s="94">
        <f>SUMIFS('Resultat-Produktion &amp; forbrug'!N$4:N$291,'Resultat-Produktion &amp; forbrug'!$A$4:$A$291,'Produktion &amp; forbrug'!$A27,'Resultat-Produktion &amp; forbrug'!$E$4:$E$291,'Produktion &amp; forbrug'!$F27)</f>
        <v>0</v>
      </c>
      <c r="O27" s="179">
        <f t="shared" ca="1" si="3"/>
        <v>-944817.29105430027</v>
      </c>
      <c r="P27" s="94">
        <f t="shared" si="4"/>
        <v>0</v>
      </c>
      <c r="Q27" s="180">
        <f t="shared" si="5"/>
        <v>0</v>
      </c>
      <c r="R27">
        <f>IFERROR(VLOOKUP(A27,[1]Energiindhold!$A$2:$C$11,3,FALSE),IFERROR(VLOOKUP(A27,[1]Biogasudbytte!$A$2:$B$18,2,FALSE)*[1]Energiindhold!$C$10,0))*P27</f>
        <v>0</v>
      </c>
      <c r="S27">
        <f>IF(A27&lt;&gt;"Biogas",IFERROR(VLOOKUP(A27,[1]Biogasudbytte!$A$2:$B$18,2,FALSE)*[1]Energiindhold!$C$10,0)*K27*IFERROR(VLOOKUP(A27,Biogasanlæg!$F$3:$G$8,2,FALSE),1)+IFERROR(VLOOKUP(A27,[1]Energiindhold!$A$2:$C$11,3,FALSE),0)*M27+IF(F27&lt;&gt;År1,R27,0),0)</f>
        <v>0</v>
      </c>
      <c r="T27">
        <f>IFERROR(VLOOKUP(A27,[1]Biogasudbytte!$A$2:$B$18,2,FALSE)*[1]Energiindhold!$C$10,0)*K27*IFERROR(VLOOKUP(A27,Biogasanlæg!$F$3:$G$8,2,FALSE),1)</f>
        <v>0</v>
      </c>
      <c r="U27" s="170">
        <f t="shared" si="6"/>
        <v>0</v>
      </c>
      <c r="V27" s="169">
        <f>P27*IFERROR(VLOOKUP(A27,[1]Tørstofindhold!A$2:B$24,2,FALSE),0)</f>
        <v>0</v>
      </c>
      <c r="W27">
        <f>IF(F27=År1,Q27,SUM(P27,Q27))*IFERROR(VLOOKUP(A27,[1]Tørstofindhold!A$2:B$24,2,FALSE),0)</f>
        <v>0</v>
      </c>
      <c r="X27">
        <f>K27*IFERROR(VLOOKUP(A27,[1]Tørstofindhold!A$2:B$24,2,FALSE),0)</f>
        <v>0</v>
      </c>
      <c r="Y27" s="170">
        <f t="shared" si="7"/>
        <v>0</v>
      </c>
      <c r="Z27">
        <f t="shared" ca="1" si="0"/>
        <v>1</v>
      </c>
      <c r="AA27">
        <f t="shared" ca="1" si="1"/>
        <v>0</v>
      </c>
      <c r="AC27" s="94">
        <f t="shared" ca="1" si="8"/>
        <v>-944817.29105430027</v>
      </c>
      <c r="AD27">
        <f ca="1">AC27*E27*10000*VLOOKUP(A27,[1]kcal!$A$2:$C$49,3,FALSE)/1000000000000</f>
        <v>0</v>
      </c>
    </row>
    <row r="28" spans="1:30" x14ac:dyDescent="0.25">
      <c r="A28" s="171" t="s">
        <v>136</v>
      </c>
      <c r="B28" s="171" t="s">
        <v>222</v>
      </c>
      <c r="C28" s="171" t="str">
        <f>IFERROR(VLOOKUP(A28,'Kategorisering af kcal'!$J$2:$K$18,2,FALSE),"")</f>
        <v/>
      </c>
      <c r="D28" s="171">
        <f>IF(COUNTIFS('Resultater - Danmark'!$D$3:$D$504,'Produktion &amp; forbrug'!A28,'Resultater - Danmark'!$A$3:$A$504,"Til energi")+COUNTIFS('Resultater - Danmark'!$D$3:$D$504,'Produktion &amp; forbrug'!A28,'Resultater - Danmark'!$A$3:$A$504,"Biogasanlæg")&gt;0,1,0)</f>
        <v>1</v>
      </c>
      <c r="E28" s="171">
        <v>0</v>
      </c>
      <c r="F28" s="171">
        <f t="shared" si="2"/>
        <v>2019</v>
      </c>
      <c r="G28" s="94">
        <f ca="1">SUMIFS('Resultat-Produktion &amp; forbrug'!G$4:G$291,'Resultat-Produktion &amp; forbrug'!$A$4:$A$291,'Produktion &amp; forbrug'!$A28,'Resultat-Produktion &amp; forbrug'!$E$4:$E$291,'Produktion &amp; forbrug'!$F28)</f>
        <v>14050000</v>
      </c>
      <c r="H28" s="94">
        <f>SUMIFS('Resultat-Produktion &amp; forbrug'!H$4:H$291,'Resultat-Produktion &amp; forbrug'!$A$4:$A$291,'Produktion &amp; forbrug'!$A28,'Resultat-Produktion &amp; forbrug'!$E$4:$E$291,'Produktion &amp; forbrug'!$F28)</f>
        <v>0</v>
      </c>
      <c r="I28" s="94">
        <f>SUMIFS('Resultat-Produktion &amp; forbrug'!I$4:I$291,'Resultat-Produktion &amp; forbrug'!$A$4:$A$291,'Produktion &amp; forbrug'!$A28,'Resultat-Produktion &amp; forbrug'!$E$4:$E$291,'Produktion &amp; forbrug'!$F28)</f>
        <v>0</v>
      </c>
      <c r="J28" s="94">
        <f>SUMIFS('Resultat-Produktion &amp; forbrug'!J$4:J$291,'Resultat-Produktion &amp; forbrug'!$A$4:$A$291,'Produktion &amp; forbrug'!$A28,'Resultat-Produktion &amp; forbrug'!$E$4:$E$291,'Produktion &amp; forbrug'!$F28)</f>
        <v>0</v>
      </c>
      <c r="K28" s="94">
        <f ca="1">SUMIFS('Resultat-Produktion &amp; forbrug'!K$4:K$291,'Resultat-Produktion &amp; forbrug'!$A$4:$A$291,'Produktion &amp; forbrug'!$A28,'Resultat-Produktion &amp; forbrug'!$E$4:$E$291,'Produktion &amp; forbrug'!$F28)</f>
        <v>4353509.666666667</v>
      </c>
      <c r="L28" s="94">
        <f ca="1">SUMIFS('Resultat-Produktion &amp; forbrug'!L$4:L$291,'Resultat-Produktion &amp; forbrug'!$A$4:$A$291,'Produktion &amp; forbrug'!$A28,'Resultat-Produktion &amp; forbrug'!$E$4:$E$291,'Produktion &amp; forbrug'!$F28)</f>
        <v>9696490.333333334</v>
      </c>
      <c r="M28" s="94">
        <f>SUMIFS('Resultat-Produktion &amp; forbrug'!M$4:M$291,'Resultat-Produktion &amp; forbrug'!$A$4:$A$291,'Produktion &amp; forbrug'!$A28,'Resultat-Produktion &amp; forbrug'!$E$4:$E$291,'Produktion &amp; forbrug'!$F28)</f>
        <v>0</v>
      </c>
      <c r="N28" s="94">
        <f>SUMIFS('Resultat-Produktion &amp; forbrug'!N$4:N$291,'Resultat-Produktion &amp; forbrug'!$A$4:$A$291,'Produktion &amp; forbrug'!$A28,'Resultat-Produktion &amp; forbrug'!$E$4:$E$291,'Produktion &amp; forbrug'!$F28)</f>
        <v>0</v>
      </c>
      <c r="O28" s="179">
        <f t="shared" ca="1" si="3"/>
        <v>0</v>
      </c>
      <c r="P28" s="94">
        <f t="shared" ca="1" si="4"/>
        <v>0</v>
      </c>
      <c r="Q28" s="180">
        <f t="shared" ca="1" si="5"/>
        <v>4353509.666666667</v>
      </c>
      <c r="R28">
        <f ca="1">IFERROR(VLOOKUP(A28,[1]Energiindhold!$A$2:$C$11,3,FALSE),IFERROR(VLOOKUP(A28,[1]Biogasudbytte!$A$2:$B$18,2,FALSE)*[1]Energiindhold!$C$10,0))*P28</f>
        <v>0</v>
      </c>
      <c r="S28">
        <f ca="1">IF(A28&lt;&gt;"Biogas",IFERROR(VLOOKUP(A28,[1]Biogasudbytte!$A$2:$B$18,2,FALSE)*[1]Energiindhold!$C$10,0)*K28*IFERROR(VLOOKUP(A28,Biogasanlæg!$F$3:$G$8,2,FALSE),1)+IFERROR(VLOOKUP(A28,[1]Energiindhold!$A$2:$C$11,3,FALSE),0)*M28+IF(F28&lt;&gt;År1,R28,0),0)</f>
        <v>2.2037030581700003</v>
      </c>
      <c r="T28">
        <f ca="1">IFERROR(VLOOKUP(A28,[1]Biogasudbytte!$A$2:$B$18,2,FALSE)*[1]Energiindhold!$C$10,0)*K28*IFERROR(VLOOKUP(A28,Biogasanlæg!$F$3:$G$8,2,FALSE),1)</f>
        <v>2.2037030581700003</v>
      </c>
      <c r="U28" s="170">
        <f t="shared" ca="1" si="6"/>
        <v>0</v>
      </c>
      <c r="V28" s="169">
        <f ca="1">P28*IFERROR(VLOOKUP(A28,[1]Tørstofindhold!A$2:B$24,2,FALSE),0)</f>
        <v>0</v>
      </c>
      <c r="W28">
        <f ca="1">IF(F28=År1,Q28,SUM(P28,Q28))*IFERROR(VLOOKUP(A28,[1]Tørstofindhold!A$2:B$24,2,FALSE),0)</f>
        <v>330866.73466666666</v>
      </c>
      <c r="X28">
        <f ca="1">K28*IFERROR(VLOOKUP(A28,[1]Tørstofindhold!A$2:B$24,2,FALSE),0)</f>
        <v>330866.73466666666</v>
      </c>
      <c r="Y28" s="170">
        <f t="shared" ca="1" si="7"/>
        <v>0</v>
      </c>
      <c r="Z28">
        <f t="shared" ca="1" si="0"/>
        <v>0</v>
      </c>
      <c r="AA28">
        <f t="shared" ca="1" si="1"/>
        <v>0</v>
      </c>
      <c r="AC28" s="94">
        <f t="shared" ca="1" si="8"/>
        <v>0</v>
      </c>
      <c r="AD28">
        <f ca="1">AC28*E28*10000*VLOOKUP(A28,[1]kcal!$A$2:$C$49,3,FALSE)/1000000000000</f>
        <v>0</v>
      </c>
    </row>
    <row r="29" spans="1:30" x14ac:dyDescent="0.25">
      <c r="A29" s="171" t="s">
        <v>108</v>
      </c>
      <c r="B29" s="171"/>
      <c r="C29" s="171" t="str">
        <f>IFERROR(VLOOKUP(A29,'Kategorisering af kcal'!$J$2:$K$18,2,FALSE),"")</f>
        <v/>
      </c>
      <c r="D29" s="171">
        <f>IF(COUNTIFS('Resultater - Danmark'!$D$3:$D$504,'Produktion &amp; forbrug'!A29,'Resultater - Danmark'!$A$3:$A$504,"Til energi")+COUNTIFS('Resultater - Danmark'!$D$3:$D$504,'Produktion &amp; forbrug'!A29,'Resultater - Danmark'!$A$3:$A$504,"Biogasanlæg")&gt;0,1,0)</f>
        <v>0</v>
      </c>
      <c r="E29" s="171">
        <v>0</v>
      </c>
      <c r="F29" s="171">
        <f t="shared" si="2"/>
        <v>2019</v>
      </c>
      <c r="G29" s="94">
        <f ca="1">SUMIFS('Resultat-Produktion &amp; forbrug'!G$4:G$291,'Resultat-Produktion &amp; forbrug'!$A$4:$A$291,'Produktion &amp; forbrug'!$A29,'Resultat-Produktion &amp; forbrug'!$E$4:$E$291,'Produktion &amp; forbrug'!$F29)</f>
        <v>1753646.8000000003</v>
      </c>
      <c r="H29" s="94">
        <f ca="1">SUMIFS('Resultat-Produktion &amp; forbrug'!H$4:H$291,'Resultat-Produktion &amp; forbrug'!$A$4:$A$291,'Produktion &amp; forbrug'!$A29,'Resultat-Produktion &amp; forbrug'!$E$4:$E$291,'Produktion &amp; forbrug'!$F29)</f>
        <v>1701754.6673799041</v>
      </c>
      <c r="I29" s="94">
        <f>SUMIFS('Resultat-Produktion &amp; forbrug'!I$4:I$291,'Resultat-Produktion &amp; forbrug'!$A$4:$A$291,'Produktion &amp; forbrug'!$A29,'Resultat-Produktion &amp; forbrug'!$E$4:$E$291,'Produktion &amp; forbrug'!$F29)</f>
        <v>0</v>
      </c>
      <c r="J29" s="94">
        <f>SUMIFS('Resultat-Produktion &amp; forbrug'!J$4:J$291,'Resultat-Produktion &amp; forbrug'!$A$4:$A$291,'Produktion &amp; forbrug'!$A29,'Resultat-Produktion &amp; forbrug'!$E$4:$E$291,'Produktion &amp; forbrug'!$F29)</f>
        <v>0</v>
      </c>
      <c r="K29" s="94">
        <f>SUMIFS('Resultat-Produktion &amp; forbrug'!K$4:K$291,'Resultat-Produktion &amp; forbrug'!$A$4:$A$291,'Produktion &amp; forbrug'!$A29,'Resultat-Produktion &amp; forbrug'!$E$4:$E$291,'Produktion &amp; forbrug'!$F29)</f>
        <v>0</v>
      </c>
      <c r="L29" s="94">
        <f>SUMIFS('Resultat-Produktion &amp; forbrug'!L$4:L$291,'Resultat-Produktion &amp; forbrug'!$A$4:$A$291,'Produktion &amp; forbrug'!$A29,'Resultat-Produktion &amp; forbrug'!$E$4:$E$291,'Produktion &amp; forbrug'!$F29)</f>
        <v>0</v>
      </c>
      <c r="M29" s="94">
        <f>SUMIFS('Resultat-Produktion &amp; forbrug'!M$4:M$291,'Resultat-Produktion &amp; forbrug'!$A$4:$A$291,'Produktion &amp; forbrug'!$A29,'Resultat-Produktion &amp; forbrug'!$E$4:$E$291,'Produktion &amp; forbrug'!$F29)</f>
        <v>0</v>
      </c>
      <c r="N29" s="94">
        <f>SUMIFS('Resultat-Produktion &amp; forbrug'!N$4:N$291,'Resultat-Produktion &amp; forbrug'!$A$4:$A$291,'Produktion &amp; forbrug'!$A29,'Resultat-Produktion &amp; forbrug'!$E$4:$E$291,'Produktion &amp; forbrug'!$F29)</f>
        <v>0</v>
      </c>
      <c r="O29" s="179">
        <f t="shared" ca="1" si="3"/>
        <v>51892.132620096207</v>
      </c>
      <c r="P29" s="94">
        <f t="shared" si="4"/>
        <v>0</v>
      </c>
      <c r="Q29" s="180">
        <f t="shared" si="5"/>
        <v>0</v>
      </c>
      <c r="R29">
        <f>IFERROR(VLOOKUP(A29,[1]Energiindhold!$A$2:$C$11,3,FALSE),IFERROR(VLOOKUP(A29,[1]Biogasudbytte!$A$2:$B$18,2,FALSE)*[1]Energiindhold!$C$10,0))*P29</f>
        <v>0</v>
      </c>
      <c r="S29">
        <f>IF(A29&lt;&gt;"Biogas",IFERROR(VLOOKUP(A29,[1]Biogasudbytte!$A$2:$B$18,2,FALSE)*[1]Energiindhold!$C$10,0)*K29*IFERROR(VLOOKUP(A29,Biogasanlæg!$F$3:$G$8,2,FALSE),1)+IFERROR(VLOOKUP(A29,[1]Energiindhold!$A$2:$C$11,3,FALSE),0)*M29+IF(F29&lt;&gt;År1,R29,0),0)</f>
        <v>0</v>
      </c>
      <c r="T29">
        <f>IFERROR(VLOOKUP(A29,[1]Biogasudbytte!$A$2:$B$18,2,FALSE)*[1]Energiindhold!$C$10,0)*K29*IFERROR(VLOOKUP(A29,Biogasanlæg!$F$3:$G$8,2,FALSE),1)</f>
        <v>0</v>
      </c>
      <c r="U29" s="170">
        <f t="shared" si="6"/>
        <v>0</v>
      </c>
      <c r="V29" s="169">
        <f>P29*IFERROR(VLOOKUP(A29,[1]Tørstofindhold!A$2:B$24,2,FALSE),0)</f>
        <v>0</v>
      </c>
      <c r="W29">
        <f>IF(F29=År1,Q29,SUM(P29,Q29))*IFERROR(VLOOKUP(A29,[1]Tørstofindhold!A$2:B$24,2,FALSE),0)</f>
        <v>0</v>
      </c>
      <c r="X29">
        <f>K29*IFERROR(VLOOKUP(A29,[1]Tørstofindhold!A$2:B$24,2,FALSE),0)</f>
        <v>0</v>
      </c>
      <c r="Y29" s="170">
        <f t="shared" si="7"/>
        <v>0</v>
      </c>
      <c r="Z29">
        <f t="shared" ca="1" si="0"/>
        <v>0</v>
      </c>
      <c r="AA29">
        <f t="shared" ca="1" si="1"/>
        <v>1</v>
      </c>
      <c r="AC29" s="94">
        <f t="shared" ca="1" si="8"/>
        <v>51892.132620096207</v>
      </c>
      <c r="AD29">
        <f ca="1">AC29*E29*10000*VLOOKUP(A29,[1]kcal!$A$2:$C$49,3,FALSE)/1000000000000</f>
        <v>0</v>
      </c>
    </row>
    <row r="30" spans="1:30" x14ac:dyDescent="0.25">
      <c r="A30" t="s">
        <v>53</v>
      </c>
      <c r="B30" s="171" t="s">
        <v>224</v>
      </c>
      <c r="C30" s="171" t="str">
        <f>IFERROR(VLOOKUP(A30,'Kategorisering af kcal'!$J$2:$K$18,2,FALSE),"")</f>
        <v>Korn</v>
      </c>
      <c r="D30" s="171">
        <f>IF(COUNTIFS('Resultater - Danmark'!$D$3:$D$504,'Produktion &amp; forbrug'!A30,'Resultater - Danmark'!$A$3:$A$504,"Til energi")+COUNTIFS('Resultater - Danmark'!$D$3:$D$504,'Produktion &amp; forbrug'!A30,'Resultater - Danmark'!$A$3:$A$504,"Biogasanlæg")&gt;0,1,0)</f>
        <v>1</v>
      </c>
      <c r="E30" s="171">
        <v>1</v>
      </c>
      <c r="F30" s="171">
        <f t="shared" si="2"/>
        <v>2019</v>
      </c>
      <c r="G30" s="94">
        <f>SUMIFS('Resultat-Produktion &amp; forbrug'!G$4:G$291,'Resultat-Produktion &amp; forbrug'!$A$4:$A$291,'Produktion &amp; forbrug'!$A30,'Resultat-Produktion &amp; forbrug'!$E$4:$E$291,'Produktion &amp; forbrug'!$F30)</f>
        <v>7955921.1296188012</v>
      </c>
      <c r="H30" s="94">
        <f ca="1">SUMIFS('Resultat-Produktion &amp; forbrug'!H$4:H$291,'Resultat-Produktion &amp; forbrug'!$A$4:$A$291,'Produktion &amp; forbrug'!$A30,'Resultat-Produktion &amp; forbrug'!$E$4:$E$291,'Produktion &amp; forbrug'!$F30)</f>
        <v>6351407.0475792512</v>
      </c>
      <c r="I30" s="94">
        <f>SUMIFS('Resultat-Produktion &amp; forbrug'!I$4:I$291,'Resultat-Produktion &amp; forbrug'!$A$4:$A$291,'Produktion &amp; forbrug'!$A30,'Resultat-Produktion &amp; forbrug'!$E$4:$E$291,'Produktion &amp; forbrug'!$F30)</f>
        <v>0</v>
      </c>
      <c r="J30" s="94">
        <f>SUMIFS('Resultat-Produktion &amp; forbrug'!J$4:J$291,'Resultat-Produktion &amp; forbrug'!$A$4:$A$291,'Produktion &amp; forbrug'!$A30,'Resultat-Produktion &amp; forbrug'!$E$4:$E$291,'Produktion &amp; forbrug'!$F30)</f>
        <v>0</v>
      </c>
      <c r="K30" s="94">
        <f>SUMIFS('Resultat-Produktion &amp; forbrug'!K$4:K$291,'Resultat-Produktion &amp; forbrug'!$A$4:$A$291,'Produktion &amp; forbrug'!$A30,'Resultat-Produktion &amp; forbrug'!$E$4:$E$291,'Produktion &amp; forbrug'!$F30)</f>
        <v>330026.00000000006</v>
      </c>
      <c r="L30" s="94">
        <f>SUMIFS('Resultat-Produktion &amp; forbrug'!L$4:L$291,'Resultat-Produktion &amp; forbrug'!$A$4:$A$291,'Produktion &amp; forbrug'!$A30,'Resultat-Produktion &amp; forbrug'!$E$4:$E$291,'Produktion &amp; forbrug'!$F30)</f>
        <v>0</v>
      </c>
      <c r="M30" s="94">
        <f>SUMIFS('Resultat-Produktion &amp; forbrug'!M$4:M$291,'Resultat-Produktion &amp; forbrug'!$A$4:$A$291,'Produktion &amp; forbrug'!$A30,'Resultat-Produktion &amp; forbrug'!$E$4:$E$291,'Produktion &amp; forbrug'!$F30)</f>
        <v>0</v>
      </c>
      <c r="N30" s="94">
        <f>SUMIFS('Resultat-Produktion &amp; forbrug'!N$4:N$291,'Resultat-Produktion &amp; forbrug'!$A$4:$A$291,'Produktion &amp; forbrug'!$A30,'Resultat-Produktion &amp; forbrug'!$E$4:$E$291,'Produktion &amp; forbrug'!$F30)</f>
        <v>0</v>
      </c>
      <c r="O30" s="179">
        <f t="shared" ca="1" si="3"/>
        <v>1274488.0820395499</v>
      </c>
      <c r="P30" s="94">
        <f t="shared" ca="1" si="4"/>
        <v>1274488.0820395499</v>
      </c>
      <c r="Q30" s="180">
        <f t="shared" si="5"/>
        <v>330026.00000000006</v>
      </c>
      <c r="R30">
        <f ca="1">IFERROR(VLOOKUP(A30,[1]Energiindhold!$A$2:$C$11,3,FALSE),IFERROR(VLOOKUP(A30,[1]Biogasudbytte!$A$2:$B$18,2,FALSE)*[1]Energiindhold!$C$10,0))*P30</f>
        <v>4.5754122145219851</v>
      </c>
      <c r="S30">
        <f>IF(A30&lt;&gt;"Biogas",IFERROR(VLOOKUP(A30,[1]Biogasudbytte!$A$2:$B$18,2,FALSE)*[1]Energiindhold!$C$10,0)*K30*IFERROR(VLOOKUP(A30,Biogasanlæg!$F$3:$G$8,2,FALSE),1)+IFERROR(VLOOKUP(A30,[1]Energiindhold!$A$2:$C$11,3,FALSE),0)*M30+IF(F30&lt;&gt;År1,R30,0),0)</f>
        <v>1.1847933400000004</v>
      </c>
      <c r="T30">
        <f>IFERROR(VLOOKUP(A30,[1]Biogasudbytte!$A$2:$B$18,2,FALSE)*[1]Energiindhold!$C$10,0)*K30*IFERROR(VLOOKUP(A30,Biogasanlæg!$F$3:$G$8,2,FALSE),1)</f>
        <v>1.1847933400000004</v>
      </c>
      <c r="U30" s="170">
        <f t="shared" si="6"/>
        <v>0</v>
      </c>
      <c r="V30" s="169">
        <f ca="1">P30*IFERROR(VLOOKUP(A30,[1]Tørstofindhold!A$2:B$24,2,FALSE),0)</f>
        <v>382346.42461186496</v>
      </c>
      <c r="W30">
        <f>IF(F30=År1,Q30,SUM(P30,Q30))*IFERROR(VLOOKUP(A30,[1]Tørstofindhold!A$2:B$24,2,FALSE),0)</f>
        <v>99007.800000000017</v>
      </c>
      <c r="X30">
        <f>K30*IFERROR(VLOOKUP(A30,[1]Tørstofindhold!A$2:B$24,2,FALSE),0)</f>
        <v>99007.800000000017</v>
      </c>
      <c r="Y30" s="170">
        <f t="shared" si="7"/>
        <v>0</v>
      </c>
      <c r="Z30">
        <f t="shared" ca="1" si="0"/>
        <v>0</v>
      </c>
      <c r="AA30">
        <f t="shared" ca="1" si="1"/>
        <v>1</v>
      </c>
      <c r="AC30" s="94">
        <f t="shared" ca="1" si="8"/>
        <v>1274488.0820395499</v>
      </c>
      <c r="AD30">
        <f ca="1">AC30*E30*10000*VLOOKUP(A30,[1]kcal!$A$2:$C$49,3,FALSE)/1000000000000</f>
        <v>1.1597841546559904</v>
      </c>
    </row>
    <row r="31" spans="1:30" x14ac:dyDescent="0.25">
      <c r="A31" s="171" t="s">
        <v>116</v>
      </c>
      <c r="B31" s="171"/>
      <c r="C31" s="171" t="str">
        <f>IFERROR(VLOOKUP(A31,'Kategorisering af kcal'!$J$2:$K$18,2,FALSE),"")</f>
        <v>Mejeriprodukter</v>
      </c>
      <c r="D31" s="171">
        <f>IF(COUNTIFS('Resultater - Danmark'!$D$3:$D$504,'Produktion &amp; forbrug'!A31,'Resultater - Danmark'!$A$3:$A$504,"Til energi")+COUNTIFS('Resultater - Danmark'!$D$3:$D$504,'Produktion &amp; forbrug'!A31,'Resultater - Danmark'!$A$3:$A$504,"Biogasanlæg")&gt;0,1,0)</f>
        <v>0</v>
      </c>
      <c r="E31" s="171">
        <v>1</v>
      </c>
      <c r="F31" s="171">
        <f t="shared" si="2"/>
        <v>2019</v>
      </c>
      <c r="G31" s="94">
        <f ca="1">SUMIFS('Resultat-Produktion &amp; forbrug'!G$4:G$291,'Resultat-Produktion &amp; forbrug'!$A$4:$A$291,'Produktion &amp; forbrug'!$A31,'Resultat-Produktion &amp; forbrug'!$E$4:$E$291,'Produktion &amp; forbrug'!$F31)</f>
        <v>3383628.2</v>
      </c>
      <c r="H31" s="94">
        <f>SUMIFS('Resultat-Produktion &amp; forbrug'!H$4:H$291,'Resultat-Produktion &amp; forbrug'!$A$4:$A$291,'Produktion &amp; forbrug'!$A31,'Resultat-Produktion &amp; forbrug'!$E$4:$E$291,'Produktion &amp; forbrug'!$F31)</f>
        <v>0</v>
      </c>
      <c r="I31" s="94">
        <f>SUMIFS('Resultat-Produktion &amp; forbrug'!I$4:I$291,'Resultat-Produktion &amp; forbrug'!$A$4:$A$291,'Produktion &amp; forbrug'!$A31,'Resultat-Produktion &amp; forbrug'!$E$4:$E$291,'Produktion &amp; forbrug'!$F31)</f>
        <v>0</v>
      </c>
      <c r="J31" s="94">
        <f>SUMIFS('Resultat-Produktion &amp; forbrug'!J$4:J$291,'Resultat-Produktion &amp; forbrug'!$A$4:$A$291,'Produktion &amp; forbrug'!$A31,'Resultat-Produktion &amp; forbrug'!$E$4:$E$291,'Produktion &amp; forbrug'!$F31)</f>
        <v>846844.95867106004</v>
      </c>
      <c r="K31" s="94">
        <f>SUMIFS('Resultat-Produktion &amp; forbrug'!K$4:K$291,'Resultat-Produktion &amp; forbrug'!$A$4:$A$291,'Produktion &amp; forbrug'!$A31,'Resultat-Produktion &amp; forbrug'!$E$4:$E$291,'Produktion &amp; forbrug'!$F31)</f>
        <v>0</v>
      </c>
      <c r="L31" s="94">
        <f>SUMIFS('Resultat-Produktion &amp; forbrug'!L$4:L$291,'Resultat-Produktion &amp; forbrug'!$A$4:$A$291,'Produktion &amp; forbrug'!$A31,'Resultat-Produktion &amp; forbrug'!$E$4:$E$291,'Produktion &amp; forbrug'!$F31)</f>
        <v>0</v>
      </c>
      <c r="M31" s="94">
        <f>SUMIFS('Resultat-Produktion &amp; forbrug'!M$4:M$291,'Resultat-Produktion &amp; forbrug'!$A$4:$A$291,'Produktion &amp; forbrug'!$A31,'Resultat-Produktion &amp; forbrug'!$E$4:$E$291,'Produktion &amp; forbrug'!$F31)</f>
        <v>0</v>
      </c>
      <c r="N31" s="94">
        <f>SUMIFS('Resultat-Produktion &amp; forbrug'!N$4:N$291,'Resultat-Produktion &amp; forbrug'!$A$4:$A$291,'Produktion &amp; forbrug'!$A31,'Resultat-Produktion &amp; forbrug'!$E$4:$E$291,'Produktion &amp; forbrug'!$F31)</f>
        <v>0</v>
      </c>
      <c r="O31" s="179">
        <f t="shared" ca="1" si="3"/>
        <v>2536783.2413289403</v>
      </c>
      <c r="P31" s="94">
        <f t="shared" si="4"/>
        <v>0</v>
      </c>
      <c r="Q31" s="180">
        <f t="shared" si="5"/>
        <v>0</v>
      </c>
      <c r="R31">
        <f>IFERROR(VLOOKUP(A31,[1]Energiindhold!$A$2:$C$11,3,FALSE),IFERROR(VLOOKUP(A31,[1]Biogasudbytte!$A$2:$B$18,2,FALSE)*[1]Energiindhold!$C$10,0))*P31</f>
        <v>0</v>
      </c>
      <c r="S31">
        <f>IF(A31&lt;&gt;"Biogas",IFERROR(VLOOKUP(A31,[1]Biogasudbytte!$A$2:$B$18,2,FALSE)*[1]Energiindhold!$C$10,0)*K31*IFERROR(VLOOKUP(A31,Biogasanlæg!$F$3:$G$8,2,FALSE),1)+IFERROR(VLOOKUP(A31,[1]Energiindhold!$A$2:$C$11,3,FALSE),0)*M31+IF(F31&lt;&gt;År1,R31,0),0)</f>
        <v>0</v>
      </c>
      <c r="T31">
        <f>IFERROR(VLOOKUP(A31,[1]Biogasudbytte!$A$2:$B$18,2,FALSE)*[1]Energiindhold!$C$10,0)*K31*IFERROR(VLOOKUP(A31,Biogasanlæg!$F$3:$G$8,2,FALSE),1)</f>
        <v>0</v>
      </c>
      <c r="U31" s="170">
        <f t="shared" si="6"/>
        <v>0</v>
      </c>
      <c r="V31" s="169">
        <f>P31*IFERROR(VLOOKUP(A31,[1]Tørstofindhold!A$2:B$24,2,FALSE),0)</f>
        <v>0</v>
      </c>
      <c r="W31">
        <f>IF(F31=År1,Q31,SUM(P31,Q31))*IFERROR(VLOOKUP(A31,[1]Tørstofindhold!A$2:B$24,2,FALSE),0)</f>
        <v>0</v>
      </c>
      <c r="X31">
        <f>K31*IFERROR(VLOOKUP(A31,[1]Tørstofindhold!A$2:B$24,2,FALSE),0)</f>
        <v>0</v>
      </c>
      <c r="Y31" s="170">
        <f t="shared" si="7"/>
        <v>0</v>
      </c>
      <c r="Z31">
        <f t="shared" ca="1" si="0"/>
        <v>0</v>
      </c>
      <c r="AA31">
        <f t="shared" ca="1" si="1"/>
        <v>1</v>
      </c>
      <c r="AC31" s="94">
        <f t="shared" ca="1" si="8"/>
        <v>3383628.2</v>
      </c>
      <c r="AD31">
        <f ca="1">AC31*E31*10000*VLOOKUP(A31,[1]kcal!$A$2:$C$49,3,FALSE)/1000000000000</f>
        <v>2.1316857659999999</v>
      </c>
    </row>
    <row r="32" spans="1:30" x14ac:dyDescent="0.25">
      <c r="A32" s="171" t="s">
        <v>106</v>
      </c>
      <c r="B32" s="171" t="s">
        <v>226</v>
      </c>
      <c r="C32" s="171" t="str">
        <f>IFERROR(VLOOKUP(A32,'Kategorisering af kcal'!$J$2:$K$18,2,FALSE),"")</f>
        <v>Fisk mm</v>
      </c>
      <c r="D32" s="171">
        <f>IF(COUNTIFS('Resultater - Danmark'!$D$3:$D$504,'Produktion &amp; forbrug'!A32,'Resultater - Danmark'!$A$3:$A$504,"Til energi")+COUNTIFS('Resultater - Danmark'!$D$3:$D$504,'Produktion &amp; forbrug'!A32,'Resultater - Danmark'!$A$3:$A$504,"Biogasanlæg")&gt;0,1,0)</f>
        <v>1</v>
      </c>
      <c r="E32" s="171">
        <v>1</v>
      </c>
      <c r="F32" s="171">
        <f t="shared" si="2"/>
        <v>2019</v>
      </c>
      <c r="G32" s="94">
        <f>SUMIFS('Resultat-Produktion &amp; forbrug'!G$4:G$291,'Resultat-Produktion &amp; forbrug'!$A$4:$A$291,'Produktion &amp; forbrug'!$A32,'Resultat-Produktion &amp; forbrug'!$E$4:$E$291,'Produktion &amp; forbrug'!$F32)</f>
        <v>880.09999999999991</v>
      </c>
      <c r="H32" s="94">
        <f ca="1">SUMIFS('Resultat-Produktion &amp; forbrug'!H$4:H$291,'Resultat-Produktion &amp; forbrug'!$A$4:$A$291,'Produktion &amp; forbrug'!$A32,'Resultat-Produktion &amp; forbrug'!$E$4:$E$291,'Produktion &amp; forbrug'!$F32)</f>
        <v>0</v>
      </c>
      <c r="I32" s="94">
        <f>SUMIFS('Resultat-Produktion &amp; forbrug'!I$4:I$291,'Resultat-Produktion &amp; forbrug'!$A$4:$A$291,'Produktion &amp; forbrug'!$A32,'Resultat-Produktion &amp; forbrug'!$E$4:$E$291,'Produktion &amp; forbrug'!$F32)</f>
        <v>0</v>
      </c>
      <c r="J32" s="94">
        <f>SUMIFS('Resultat-Produktion &amp; forbrug'!J$4:J$291,'Resultat-Produktion &amp; forbrug'!$A$4:$A$291,'Produktion &amp; forbrug'!$A32,'Resultat-Produktion &amp; forbrug'!$E$4:$E$291,'Produktion &amp; forbrug'!$F32)</f>
        <v>0</v>
      </c>
      <c r="K32" s="94">
        <f>SUMIFS('Resultat-Produktion &amp; forbrug'!K$4:K$291,'Resultat-Produktion &amp; forbrug'!$A$4:$A$291,'Produktion &amp; forbrug'!$A32,'Resultat-Produktion &amp; forbrug'!$E$4:$E$291,'Produktion &amp; forbrug'!$F32)</f>
        <v>0</v>
      </c>
      <c r="L32" s="94">
        <f>SUMIFS('Resultat-Produktion &amp; forbrug'!L$4:L$291,'Resultat-Produktion &amp; forbrug'!$A$4:$A$291,'Produktion &amp; forbrug'!$A32,'Resultat-Produktion &amp; forbrug'!$E$4:$E$291,'Produktion &amp; forbrug'!$F32)</f>
        <v>0</v>
      </c>
      <c r="M32" s="94">
        <f>SUMIFS('Resultat-Produktion &amp; forbrug'!M$4:M$291,'Resultat-Produktion &amp; forbrug'!$A$4:$A$291,'Produktion &amp; forbrug'!$A32,'Resultat-Produktion &amp; forbrug'!$E$4:$E$291,'Produktion &amp; forbrug'!$F32)</f>
        <v>0</v>
      </c>
      <c r="N32" s="94">
        <f>SUMIFS('Resultat-Produktion &amp; forbrug'!N$4:N$291,'Resultat-Produktion &amp; forbrug'!$A$4:$A$291,'Produktion &amp; forbrug'!$A32,'Resultat-Produktion &amp; forbrug'!$E$4:$E$291,'Produktion &amp; forbrug'!$F32)</f>
        <v>0</v>
      </c>
      <c r="O32" s="179">
        <f t="shared" ca="1" si="3"/>
        <v>880.09999999999991</v>
      </c>
      <c r="P32" s="94">
        <f t="shared" ca="1" si="4"/>
        <v>880.09999999999991</v>
      </c>
      <c r="Q32" s="180">
        <f t="shared" si="5"/>
        <v>0</v>
      </c>
      <c r="R32">
        <f ca="1">IFERROR(VLOOKUP(A32,[1]Energiindhold!$A$2:$C$11,3,FALSE),IFERROR(VLOOKUP(A32,[1]Biogasudbytte!$A$2:$B$18,2,FALSE)*[1]Energiindhold!$C$10,0))*P32</f>
        <v>7.8988975000000004E-4</v>
      </c>
      <c r="S32">
        <f>IF(A32&lt;&gt;"Biogas",IFERROR(VLOOKUP(A32,[1]Biogasudbytte!$A$2:$B$18,2,FALSE)*[1]Energiindhold!$C$10,0)*K32*IFERROR(VLOOKUP(A32,Biogasanlæg!$F$3:$G$8,2,FALSE),1)+IFERROR(VLOOKUP(A32,[1]Energiindhold!$A$2:$C$11,3,FALSE),0)*M32+IF(F32&lt;&gt;År1,R32,0),0)</f>
        <v>0</v>
      </c>
      <c r="T32">
        <f>IFERROR(VLOOKUP(A32,[1]Biogasudbytte!$A$2:$B$18,2,FALSE)*[1]Energiindhold!$C$10,0)*K32*IFERROR(VLOOKUP(A32,Biogasanlæg!$F$3:$G$8,2,FALSE),1)</f>
        <v>0</v>
      </c>
      <c r="U32" s="170">
        <f t="shared" si="6"/>
        <v>0</v>
      </c>
      <c r="V32" s="169">
        <f ca="1">P32*IFERROR(VLOOKUP(A32,[1]Tørstofindhold!A$2:B$24,2,FALSE),0)</f>
        <v>132.01499999999999</v>
      </c>
      <c r="W32">
        <f>IF(F32=År1,Q32,SUM(P32,Q32))*IFERROR(VLOOKUP(A32,[1]Tørstofindhold!A$2:B$24,2,FALSE),0)</f>
        <v>0</v>
      </c>
      <c r="X32">
        <f>K32*IFERROR(VLOOKUP(A32,[1]Tørstofindhold!A$2:B$24,2,FALSE),0)</f>
        <v>0</v>
      </c>
      <c r="Y32" s="170">
        <f t="shared" si="7"/>
        <v>0</v>
      </c>
      <c r="Z32">
        <f t="shared" ca="1" si="0"/>
        <v>0</v>
      </c>
      <c r="AA32">
        <f t="shared" ca="1" si="1"/>
        <v>1</v>
      </c>
      <c r="AC32" s="94">
        <f t="shared" ca="1" si="8"/>
        <v>880.09999999999991</v>
      </c>
      <c r="AD32">
        <f ca="1">AC32*E32*10000*VLOOKUP(A32,[1]kcal!$A$2:$C$49,3,FALSE)/1000000000000</f>
        <v>7.3048299999999998E-4</v>
      </c>
    </row>
    <row r="33" spans="1:34" x14ac:dyDescent="0.25">
      <c r="A33" s="171" t="s">
        <v>14</v>
      </c>
      <c r="B33" s="171"/>
      <c r="C33" s="171" t="str">
        <f>IFERROR(VLOOKUP(A33,'Kategorisering af kcal'!$J$2:$K$18,2,FALSE),"")</f>
        <v>Kød</v>
      </c>
      <c r="D33" s="171">
        <f>IF(COUNTIFS('Resultater - Danmark'!$D$3:$D$504,'Produktion &amp; forbrug'!A33,'Resultater - Danmark'!$A$3:$A$504,"Til energi")+COUNTIFS('Resultater - Danmark'!$D$3:$D$504,'Produktion &amp; forbrug'!A33,'Resultater - Danmark'!$A$3:$A$504,"Biogasanlæg")&gt;0,1,0)</f>
        <v>0</v>
      </c>
      <c r="E33" s="171">
        <v>1</v>
      </c>
      <c r="F33" s="171">
        <f t="shared" si="2"/>
        <v>2019</v>
      </c>
      <c r="G33" s="94">
        <f ca="1">SUMIFS('Resultat-Produktion &amp; forbrug'!G$4:G$291,'Resultat-Produktion &amp; forbrug'!$A$4:$A$291,'Produktion &amp; forbrug'!$A33,'Resultat-Produktion &amp; forbrug'!$E$4:$E$291,'Produktion &amp; forbrug'!$F33)</f>
        <v>115671.91919191919</v>
      </c>
      <c r="H33" s="94">
        <f>SUMIFS('Resultat-Produktion &amp; forbrug'!H$4:H$291,'Resultat-Produktion &amp; forbrug'!$A$4:$A$291,'Produktion &amp; forbrug'!$A33,'Resultat-Produktion &amp; forbrug'!$E$4:$E$291,'Produktion &amp; forbrug'!$F33)</f>
        <v>0</v>
      </c>
      <c r="I33" s="94">
        <f>SUMIFS('Resultat-Produktion &amp; forbrug'!I$4:I$291,'Resultat-Produktion &amp; forbrug'!$A$4:$A$291,'Produktion &amp; forbrug'!$A33,'Resultat-Produktion &amp; forbrug'!$E$4:$E$291,'Produktion &amp; forbrug'!$F33)</f>
        <v>0</v>
      </c>
      <c r="J33" s="94">
        <f>SUMIFS('Resultat-Produktion &amp; forbrug'!J$4:J$291,'Resultat-Produktion &amp; forbrug'!$A$4:$A$291,'Produktion &amp; forbrug'!$A33,'Resultat-Produktion &amp; forbrug'!$E$4:$E$291,'Produktion &amp; forbrug'!$F33)</f>
        <v>107607.71285182264</v>
      </c>
      <c r="K33" s="94">
        <f>SUMIFS('Resultat-Produktion &amp; forbrug'!K$4:K$291,'Resultat-Produktion &amp; forbrug'!$A$4:$A$291,'Produktion &amp; forbrug'!$A33,'Resultat-Produktion &amp; forbrug'!$E$4:$E$291,'Produktion &amp; forbrug'!$F33)</f>
        <v>0</v>
      </c>
      <c r="L33" s="94">
        <f>SUMIFS('Resultat-Produktion &amp; forbrug'!L$4:L$291,'Resultat-Produktion &amp; forbrug'!$A$4:$A$291,'Produktion &amp; forbrug'!$A33,'Resultat-Produktion &amp; forbrug'!$E$4:$E$291,'Produktion &amp; forbrug'!$F33)</f>
        <v>0</v>
      </c>
      <c r="M33" s="94">
        <f>SUMIFS('Resultat-Produktion &amp; forbrug'!M$4:M$291,'Resultat-Produktion &amp; forbrug'!$A$4:$A$291,'Produktion &amp; forbrug'!$A33,'Resultat-Produktion &amp; forbrug'!$E$4:$E$291,'Produktion &amp; forbrug'!$F33)</f>
        <v>0</v>
      </c>
      <c r="N33" s="94">
        <f>SUMIFS('Resultat-Produktion &amp; forbrug'!N$4:N$291,'Resultat-Produktion &amp; forbrug'!$A$4:$A$291,'Produktion &amp; forbrug'!$A33,'Resultat-Produktion &amp; forbrug'!$E$4:$E$291,'Produktion &amp; forbrug'!$F33)</f>
        <v>0</v>
      </c>
      <c r="O33" s="179">
        <f t="shared" ca="1" si="3"/>
        <v>8064.2063400965562</v>
      </c>
      <c r="P33" s="94">
        <f t="shared" si="4"/>
        <v>0</v>
      </c>
      <c r="Q33" s="180">
        <f t="shared" si="5"/>
        <v>0</v>
      </c>
      <c r="R33">
        <f>IFERROR(VLOOKUP(A33,[1]Energiindhold!$A$2:$C$11,3,FALSE),IFERROR(VLOOKUP(A33,[1]Biogasudbytte!$A$2:$B$18,2,FALSE)*[1]Energiindhold!$C$10,0))*P33</f>
        <v>0</v>
      </c>
      <c r="S33">
        <f>IF(A33&lt;&gt;"Biogas",IFERROR(VLOOKUP(A33,[1]Biogasudbytte!$A$2:$B$18,2,FALSE)*[1]Energiindhold!$C$10,0)*K33*IFERROR(VLOOKUP(A33,Biogasanlæg!$F$3:$G$8,2,FALSE),1)+IFERROR(VLOOKUP(A33,[1]Energiindhold!$A$2:$C$11,3,FALSE),0)*M33+IF(F33&lt;&gt;År1,R33,0),0)</f>
        <v>0</v>
      </c>
      <c r="T33">
        <f>IFERROR(VLOOKUP(A33,[1]Biogasudbytte!$A$2:$B$18,2,FALSE)*[1]Energiindhold!$C$10,0)*K33*IFERROR(VLOOKUP(A33,Biogasanlæg!$F$3:$G$8,2,FALSE),1)</f>
        <v>0</v>
      </c>
      <c r="U33" s="170">
        <f t="shared" si="6"/>
        <v>0</v>
      </c>
      <c r="V33" s="169">
        <f>P33*IFERROR(VLOOKUP(A33,[1]Tørstofindhold!A$2:B$24,2,FALSE),0)</f>
        <v>0</v>
      </c>
      <c r="W33">
        <f>IF(F33=År1,Q33,SUM(P33,Q33))*IFERROR(VLOOKUP(A33,[1]Tørstofindhold!A$2:B$24,2,FALSE),0)</f>
        <v>0</v>
      </c>
      <c r="X33">
        <f>K33*IFERROR(VLOOKUP(A33,[1]Tørstofindhold!A$2:B$24,2,FALSE),0)</f>
        <v>0</v>
      </c>
      <c r="Y33" s="170">
        <f t="shared" si="7"/>
        <v>0</v>
      </c>
      <c r="Z33">
        <f t="shared" ca="1" si="0"/>
        <v>0</v>
      </c>
      <c r="AA33">
        <f t="shared" ca="1" si="1"/>
        <v>1</v>
      </c>
      <c r="AC33" s="94">
        <f t="shared" ca="1" si="8"/>
        <v>115671.91919191919</v>
      </c>
      <c r="AD33">
        <f ca="1">AC33*E33*10000*VLOOKUP(A33,[1]kcal!$A$2:$C$49,3,FALSE)/1000000000000</f>
        <v>0.22556024242424241</v>
      </c>
    </row>
    <row r="34" spans="1:34" x14ac:dyDescent="0.25">
      <c r="A34" s="171" t="s">
        <v>55</v>
      </c>
      <c r="B34" s="171"/>
      <c r="C34" s="171" t="str">
        <f>IFERROR(VLOOKUP(A34,'Kategorisering af kcal'!$J$2:$K$18,2,FALSE),"")</f>
        <v>Øvrige</v>
      </c>
      <c r="D34" s="171">
        <f>IF(COUNTIFS('Resultater - Danmark'!$D$3:$D$504,'Produktion &amp; forbrug'!A34,'Resultater - Danmark'!$A$3:$A$504,"Til energi")+COUNTIFS('Resultater - Danmark'!$D$3:$D$504,'Produktion &amp; forbrug'!A34,'Resultater - Danmark'!$A$3:$A$504,"Biogasanlæg")&gt;0,1,0)</f>
        <v>0</v>
      </c>
      <c r="E34" s="171">
        <v>1</v>
      </c>
      <c r="F34" s="171">
        <f t="shared" si="2"/>
        <v>2019</v>
      </c>
      <c r="G34" s="94">
        <f>SUMIFS('Resultat-Produktion &amp; forbrug'!G$4:G$291,'Resultat-Produktion &amp; forbrug'!$A$4:$A$291,'Produktion &amp; forbrug'!$A34,'Resultat-Produktion &amp; forbrug'!$E$4:$E$291,'Produktion &amp; forbrug'!$F34)</f>
        <v>2006067.2488276002</v>
      </c>
      <c r="H34" s="94">
        <f>SUMIFS('Resultat-Produktion &amp; forbrug'!H$4:H$291,'Resultat-Produktion &amp; forbrug'!$A$4:$A$291,'Produktion &amp; forbrug'!$A34,'Resultat-Produktion &amp; forbrug'!$E$4:$E$291,'Produktion &amp; forbrug'!$F34)</f>
        <v>0</v>
      </c>
      <c r="I34" s="94">
        <f>SUMIFS('Resultat-Produktion &amp; forbrug'!I$4:I$291,'Resultat-Produktion &amp; forbrug'!$A$4:$A$291,'Produktion &amp; forbrug'!$A34,'Resultat-Produktion &amp; forbrug'!$E$4:$E$291,'Produktion &amp; forbrug'!$F34)</f>
        <v>0</v>
      </c>
      <c r="J34" s="94">
        <f>SUMIFS('Resultat-Produktion &amp; forbrug'!J$4:J$291,'Resultat-Produktion &amp; forbrug'!$A$4:$A$291,'Produktion &amp; forbrug'!$A34,'Resultat-Produktion &amp; forbrug'!$E$4:$E$291,'Produktion &amp; forbrug'!$F34)</f>
        <v>0</v>
      </c>
      <c r="K34" s="94">
        <f>SUMIFS('Resultat-Produktion &amp; forbrug'!K$4:K$291,'Resultat-Produktion &amp; forbrug'!$A$4:$A$291,'Produktion &amp; forbrug'!$A34,'Resultat-Produktion &amp; forbrug'!$E$4:$E$291,'Produktion &amp; forbrug'!$F34)</f>
        <v>0</v>
      </c>
      <c r="L34" s="94">
        <f>SUMIFS('Resultat-Produktion &amp; forbrug'!L$4:L$291,'Resultat-Produktion &amp; forbrug'!$A$4:$A$291,'Produktion &amp; forbrug'!$A34,'Resultat-Produktion &amp; forbrug'!$E$4:$E$291,'Produktion &amp; forbrug'!$F34)</f>
        <v>0</v>
      </c>
      <c r="M34" s="94">
        <f>SUMIFS('Resultat-Produktion &amp; forbrug'!M$4:M$291,'Resultat-Produktion &amp; forbrug'!$A$4:$A$291,'Produktion &amp; forbrug'!$A34,'Resultat-Produktion &amp; forbrug'!$E$4:$E$291,'Produktion &amp; forbrug'!$F34)</f>
        <v>0</v>
      </c>
      <c r="N34" s="94">
        <f>SUMIFS('Resultat-Produktion &amp; forbrug'!N$4:N$291,'Resultat-Produktion &amp; forbrug'!$A$4:$A$291,'Produktion &amp; forbrug'!$A34,'Resultat-Produktion &amp; forbrug'!$E$4:$E$291,'Produktion &amp; forbrug'!$F34)</f>
        <v>0</v>
      </c>
      <c r="O34" s="179">
        <f t="shared" si="3"/>
        <v>2006067.2488276002</v>
      </c>
      <c r="P34" s="94">
        <f t="shared" si="4"/>
        <v>0</v>
      </c>
      <c r="Q34" s="180">
        <f t="shared" si="5"/>
        <v>0</v>
      </c>
      <c r="R34">
        <f>IFERROR(VLOOKUP(A34,[1]Energiindhold!$A$2:$C$11,3,FALSE),IFERROR(VLOOKUP(A34,[1]Biogasudbytte!$A$2:$B$18,2,FALSE)*[1]Energiindhold!$C$10,0))*P34</f>
        <v>0</v>
      </c>
      <c r="S34">
        <f>IF(A34&lt;&gt;"Biogas",IFERROR(VLOOKUP(A34,[1]Biogasudbytte!$A$2:$B$18,2,FALSE)*[1]Energiindhold!$C$10,0)*K34*IFERROR(VLOOKUP(A34,Biogasanlæg!$F$3:$G$8,2,FALSE),1)+IFERROR(VLOOKUP(A34,[1]Energiindhold!$A$2:$C$11,3,FALSE),0)*M34+IF(F34&lt;&gt;År1,R34,0),0)</f>
        <v>0</v>
      </c>
      <c r="T34">
        <f>IFERROR(VLOOKUP(A34,[1]Biogasudbytte!$A$2:$B$18,2,FALSE)*[1]Energiindhold!$C$10,0)*K34*IFERROR(VLOOKUP(A34,Biogasanlæg!$F$3:$G$8,2,FALSE),1)</f>
        <v>0</v>
      </c>
      <c r="U34" s="170">
        <f t="shared" si="6"/>
        <v>0</v>
      </c>
      <c r="V34" s="169">
        <f>P34*IFERROR(VLOOKUP(A34,[1]Tørstofindhold!A$2:B$24,2,FALSE),0)</f>
        <v>0</v>
      </c>
      <c r="W34">
        <f>IF(F34=År1,Q34,SUM(P34,Q34))*IFERROR(VLOOKUP(A34,[1]Tørstofindhold!A$2:B$24,2,FALSE),0)</f>
        <v>0</v>
      </c>
      <c r="X34">
        <f>K34*IFERROR(VLOOKUP(A34,[1]Tørstofindhold!A$2:B$24,2,FALSE),0)</f>
        <v>0</v>
      </c>
      <c r="Y34" s="170">
        <f t="shared" si="7"/>
        <v>0</v>
      </c>
      <c r="Z34">
        <f t="shared" si="0"/>
        <v>0</v>
      </c>
      <c r="AA34">
        <f t="shared" si="1"/>
        <v>1</v>
      </c>
      <c r="AC34" s="94">
        <f t="shared" si="8"/>
        <v>2006067.2488276002</v>
      </c>
      <c r="AD34">
        <f>AC34*E34*10000*VLOOKUP(A34,[1]kcal!$A$2:$C$49,3,FALSE)/1000000000000</f>
        <v>0.78236622704276404</v>
      </c>
    </row>
    <row r="35" spans="1:34" x14ac:dyDescent="0.25">
      <c r="A35" s="171" t="s">
        <v>95</v>
      </c>
      <c r="B35" s="171" t="s">
        <v>225</v>
      </c>
      <c r="C35" s="171" t="str">
        <f>IFERROR(VLOOKUP(A35,'Kategorisering af kcal'!$J$2:$K$18,2,FALSE),"")</f>
        <v/>
      </c>
      <c r="D35" s="171">
        <f>IF(COUNTIFS('Resultater - Danmark'!$D$3:$D$504,'Produktion &amp; forbrug'!A35,'Resultater - Danmark'!$A$3:$A$504,"Til energi")+COUNTIFS('Resultater - Danmark'!$D$3:$D$504,'Produktion &amp; forbrug'!A35,'Resultater - Danmark'!$A$3:$A$504,"Biogasanlæg")&gt;0,1,0)</f>
        <v>1</v>
      </c>
      <c r="E35" s="171">
        <v>0</v>
      </c>
      <c r="F35" s="171">
        <f t="shared" si="2"/>
        <v>2019</v>
      </c>
      <c r="G35" s="94">
        <f>SUMIFS('Resultat-Produktion &amp; forbrug'!G$4:G$291,'Resultat-Produktion &amp; forbrug'!$A$4:$A$291,'Produktion &amp; forbrug'!$A35,'Resultat-Produktion &amp; forbrug'!$E$4:$E$291,'Produktion &amp; forbrug'!$F35)</f>
        <v>209867.13867694439</v>
      </c>
      <c r="H35" s="94">
        <f>SUMIFS('Resultat-Produktion &amp; forbrug'!H$4:H$291,'Resultat-Produktion &amp; forbrug'!$A$4:$A$291,'Produktion &amp; forbrug'!$A35,'Resultat-Produktion &amp; forbrug'!$E$4:$E$291,'Produktion &amp; forbrug'!$F35)</f>
        <v>0</v>
      </c>
      <c r="I35" s="94">
        <f>SUMIFS('Resultat-Produktion &amp; forbrug'!I$4:I$291,'Resultat-Produktion &amp; forbrug'!$A$4:$A$291,'Produktion &amp; forbrug'!$A35,'Resultat-Produktion &amp; forbrug'!$E$4:$E$291,'Produktion &amp; forbrug'!$F35)</f>
        <v>0</v>
      </c>
      <c r="J35" s="94">
        <f>SUMIFS('Resultat-Produktion &amp; forbrug'!J$4:J$291,'Resultat-Produktion &amp; forbrug'!$A$4:$A$291,'Produktion &amp; forbrug'!$A35,'Resultat-Produktion &amp; forbrug'!$E$4:$E$291,'Produktion &amp; forbrug'!$F35)</f>
        <v>0</v>
      </c>
      <c r="K35" s="94">
        <f>SUMIFS('Resultat-Produktion &amp; forbrug'!K$4:K$291,'Resultat-Produktion &amp; forbrug'!$A$4:$A$291,'Produktion &amp; forbrug'!$A35,'Resultat-Produktion &amp; forbrug'!$E$4:$E$291,'Produktion &amp; forbrug'!$F35)</f>
        <v>0</v>
      </c>
      <c r="L35" s="94">
        <f>SUMIFS('Resultat-Produktion &amp; forbrug'!L$4:L$291,'Resultat-Produktion &amp; forbrug'!$A$4:$A$291,'Produktion &amp; forbrug'!$A35,'Resultat-Produktion &amp; forbrug'!$E$4:$E$291,'Produktion &amp; forbrug'!$F35)</f>
        <v>0</v>
      </c>
      <c r="M35" s="94">
        <f>SUMIFS('Resultat-Produktion &amp; forbrug'!M$4:M$291,'Resultat-Produktion &amp; forbrug'!$A$4:$A$291,'Produktion &amp; forbrug'!$A35,'Resultat-Produktion &amp; forbrug'!$E$4:$E$291,'Produktion &amp; forbrug'!$F35)</f>
        <v>209867.13867694439</v>
      </c>
      <c r="N35" s="94">
        <f>SUMIFS('Resultat-Produktion &amp; forbrug'!N$4:N$291,'Resultat-Produktion &amp; forbrug'!$A$4:$A$291,'Produktion &amp; forbrug'!$A35,'Resultat-Produktion &amp; forbrug'!$E$4:$E$291,'Produktion &amp; forbrug'!$F35)</f>
        <v>0</v>
      </c>
      <c r="O35" s="179">
        <f t="shared" si="3"/>
        <v>0</v>
      </c>
      <c r="P35" s="94">
        <f t="shared" si="4"/>
        <v>0</v>
      </c>
      <c r="Q35" s="180">
        <f t="shared" si="5"/>
        <v>209867.13867694439</v>
      </c>
      <c r="R35">
        <f>IFERROR(VLOOKUP(A35,[1]Energiindhold!$A$2:$C$11,3,FALSE),IFERROR(VLOOKUP(A35,[1]Biogasudbytte!$A$2:$B$18,2,FALSE)*[1]Energiindhold!$C$10,0))*P35</f>
        <v>0</v>
      </c>
      <c r="S35">
        <f>IF(A35&lt;&gt;"Biogas",IFERROR(VLOOKUP(A35,[1]Biogasudbytte!$A$2:$B$18,2,FALSE)*[1]Energiindhold!$C$10,0)*K35*IFERROR(VLOOKUP(A35,Biogasanlæg!$F$3:$G$8,2,FALSE),1)+IFERROR(VLOOKUP(A35,[1]Energiindhold!$A$2:$C$11,3,FALSE),0)*M35+IF(F35&lt;&gt;År1,R35,0),0)</f>
        <v>3.8615553516557761</v>
      </c>
      <c r="T35">
        <f>IFERROR(VLOOKUP(A35,[1]Biogasudbytte!$A$2:$B$18,2,FALSE)*[1]Energiindhold!$C$10,0)*K35*IFERROR(VLOOKUP(A35,Biogasanlæg!$F$3:$G$8,2,FALSE),1)</f>
        <v>0</v>
      </c>
      <c r="U35" s="170">
        <f t="shared" si="6"/>
        <v>3.8615553516557761</v>
      </c>
      <c r="V35" s="169">
        <f>P35*IFERROR(VLOOKUP(A35,[1]Tørstofindhold!A$2:B$24,2,FALSE),0)</f>
        <v>0</v>
      </c>
      <c r="W35">
        <f>IF(F35=År1,Q35,SUM(P35,Q35))*IFERROR(VLOOKUP(A35,[1]Tørstofindhold!A$2:B$24,2,FALSE),0)</f>
        <v>87094.862550931924</v>
      </c>
      <c r="X35">
        <f>K35*IFERROR(VLOOKUP(A35,[1]Tørstofindhold!A$2:B$24,2,FALSE),0)</f>
        <v>0</v>
      </c>
      <c r="Y35" s="170">
        <f t="shared" si="7"/>
        <v>87094.862550931924</v>
      </c>
      <c r="Z35">
        <f t="shared" si="0"/>
        <v>0</v>
      </c>
      <c r="AA35">
        <f t="shared" si="1"/>
        <v>0</v>
      </c>
      <c r="AC35" s="94">
        <f t="shared" si="8"/>
        <v>209867.13867694439</v>
      </c>
      <c r="AD35">
        <f>AC35*E35*10000*VLOOKUP(A35,[1]kcal!$A$2:$C$49,3,FALSE)/1000000000000</f>
        <v>0</v>
      </c>
    </row>
    <row r="36" spans="1:34" x14ac:dyDescent="0.25">
      <c r="A36" s="171" t="s">
        <v>306</v>
      </c>
      <c r="B36" s="171" t="s">
        <v>312</v>
      </c>
      <c r="C36" s="171" t="str">
        <f>IFERROR(VLOOKUP(A36,'Kategorisering af kcal'!$J$2:$K$18,2,FALSE),"")</f>
        <v/>
      </c>
      <c r="D36" s="171">
        <f>IF(COUNTIFS('Resultater - Danmark'!$D$3:$D$504,'Produktion &amp; forbrug'!A36,'Resultater - Danmark'!$A$3:$A$504,"Til energi")+COUNTIFS('Resultater - Danmark'!$D$3:$D$504,'Produktion &amp; forbrug'!A36,'Resultater - Danmark'!$A$3:$A$504,"Biogasanlæg")&gt;0,1,0)</f>
        <v>1</v>
      </c>
      <c r="E36" s="171">
        <v>0</v>
      </c>
      <c r="F36" s="171">
        <f t="shared" si="2"/>
        <v>2019</v>
      </c>
      <c r="G36" s="94">
        <f ca="1">SUMIFS('Resultat-Produktion &amp; forbrug'!G$4:G$291,'Resultat-Produktion &amp; forbrug'!$A$4:$A$291,'Produktion &amp; forbrug'!$A36,'Resultat-Produktion &amp; forbrug'!$E$4:$E$291,'Produktion &amp; forbrug'!$F36)</f>
        <v>0</v>
      </c>
      <c r="H36" s="94">
        <f>SUMIFS('Resultat-Produktion &amp; forbrug'!H$4:H$291,'Resultat-Produktion &amp; forbrug'!$A$4:$A$291,'Produktion &amp; forbrug'!$A36,'Resultat-Produktion &amp; forbrug'!$E$4:$E$291,'Produktion &amp; forbrug'!$F36)</f>
        <v>0</v>
      </c>
      <c r="I36" s="94">
        <f>SUMIFS('Resultat-Produktion &amp; forbrug'!I$4:I$291,'Resultat-Produktion &amp; forbrug'!$A$4:$A$291,'Produktion &amp; forbrug'!$A36,'Resultat-Produktion &amp; forbrug'!$E$4:$E$291,'Produktion &amp; forbrug'!$F36)</f>
        <v>0</v>
      </c>
      <c r="J36" s="94">
        <f>SUMIFS('Resultat-Produktion &amp; forbrug'!J$4:J$291,'Resultat-Produktion &amp; forbrug'!$A$4:$A$291,'Produktion &amp; forbrug'!$A36,'Resultat-Produktion &amp; forbrug'!$E$4:$E$291,'Produktion &amp; forbrug'!$F36)</f>
        <v>0</v>
      </c>
      <c r="K36" s="94">
        <f>SUMIFS('Resultat-Produktion &amp; forbrug'!K$4:K$291,'Resultat-Produktion &amp; forbrug'!$A$4:$A$291,'Produktion &amp; forbrug'!$A36,'Resultat-Produktion &amp; forbrug'!$E$4:$E$291,'Produktion &amp; forbrug'!$F36)</f>
        <v>0</v>
      </c>
      <c r="L36" s="94">
        <f>SUMIFS('Resultat-Produktion &amp; forbrug'!L$4:L$291,'Resultat-Produktion &amp; forbrug'!$A$4:$A$291,'Produktion &amp; forbrug'!$A36,'Resultat-Produktion &amp; forbrug'!$E$4:$E$291,'Produktion &amp; forbrug'!$F36)</f>
        <v>0</v>
      </c>
      <c r="M36" s="94">
        <f ca="1">SUMIFS('Resultat-Produktion &amp; forbrug'!M$4:M$291,'Resultat-Produktion &amp; forbrug'!$A$4:$A$291,'Produktion &amp; forbrug'!$A36,'Resultat-Produktion &amp; forbrug'!$E$4:$E$291,'Produktion &amp; forbrug'!$F36)</f>
        <v>0</v>
      </c>
      <c r="N36" s="94">
        <f>SUMIFS('Resultat-Produktion &amp; forbrug'!N$4:N$291,'Resultat-Produktion &amp; forbrug'!$A$4:$A$291,'Produktion &amp; forbrug'!$A36,'Resultat-Produktion &amp; forbrug'!$E$4:$E$291,'Produktion &amp; forbrug'!$F36)</f>
        <v>0</v>
      </c>
      <c r="O36" s="179">
        <f t="shared" ca="1" si="3"/>
        <v>0</v>
      </c>
      <c r="P36" s="94">
        <f t="shared" ca="1" si="4"/>
        <v>0</v>
      </c>
      <c r="Q36" s="180">
        <f t="shared" ca="1" si="5"/>
        <v>0</v>
      </c>
      <c r="R36">
        <f ca="1">IFERROR(VLOOKUP(A36,[1]Energiindhold!$A$2:$C$11,3,FALSE),IFERROR(VLOOKUP(A36,[1]Biogasudbytte!$A$2:$B$18,2,FALSE)*[1]Energiindhold!$C$10,0))*P36</f>
        <v>0</v>
      </c>
      <c r="S36">
        <f ca="1">IF(A36&lt;&gt;"Biogas",IFERROR(VLOOKUP(A36,[1]Biogasudbytte!$A$2:$B$18,2,FALSE)*[1]Energiindhold!$C$10,0)*K36*IFERROR(VLOOKUP(A36,Biogasanlæg!$F$3:$G$8,2,FALSE),1)+IFERROR(VLOOKUP(A36,[1]Energiindhold!$A$2:$C$11,3,FALSE),0)*M36+IF(F36&lt;&gt;År1,R36,0),0)</f>
        <v>0</v>
      </c>
      <c r="T36">
        <f>IFERROR(VLOOKUP(A36,[1]Biogasudbytte!$A$2:$B$18,2,FALSE)*[1]Energiindhold!$C$10,0)*K36*IFERROR(VLOOKUP(A36,Biogasanlæg!$F$3:$G$8,2,FALSE),1)</f>
        <v>0</v>
      </c>
      <c r="U36" s="170">
        <f t="shared" ca="1" si="6"/>
        <v>0</v>
      </c>
      <c r="V36" s="169">
        <f ca="1">P36*IFERROR(VLOOKUP(A36,[1]Tørstofindhold!A$2:B$24,2,FALSE),0)</f>
        <v>0</v>
      </c>
      <c r="W36">
        <f ca="1">IF(F36=År1,Q36,SUM(P36,Q36))*IFERROR(VLOOKUP(A36,[1]Tørstofindhold!A$2:B$24,2,FALSE),0)</f>
        <v>0</v>
      </c>
      <c r="X36">
        <f>K36*IFERROR(VLOOKUP(A36,[1]Tørstofindhold!A$2:B$24,2,FALSE),0)</f>
        <v>0</v>
      </c>
      <c r="Y36" s="170">
        <f t="shared" ca="1" si="7"/>
        <v>0</v>
      </c>
      <c r="Z36">
        <f t="shared" ref="Z36:Z67" ca="1" si="9">IF(SUMIFS($O$4:$O$147,$A$4:$A$147,A36,$F$4:$F$147,F36)&lt;0,1,0)</f>
        <v>0</v>
      </c>
      <c r="AA36">
        <f t="shared" ref="AA36:AA67" ca="1" si="10">IF(SUMIFS($O$4:$O$147,$A$4:$A$147,A36,$F$4:$F$147,F36)&gt;0,1,0)</f>
        <v>0</v>
      </c>
      <c r="AC36" s="94">
        <f t="shared" ca="1" si="8"/>
        <v>0</v>
      </c>
      <c r="AD36">
        <f ca="1">AC36*E36*10000*VLOOKUP(A36,[1]kcal!$A$2:$C$49,3,FALSE)/1000000000000</f>
        <v>0</v>
      </c>
    </row>
    <row r="37" spans="1:34" x14ac:dyDescent="0.25">
      <c r="A37" s="171" t="s">
        <v>307</v>
      </c>
      <c r="B37" s="171" t="s">
        <v>312</v>
      </c>
      <c r="C37" s="171" t="str">
        <f>IFERROR(VLOOKUP(A37,'Kategorisering af kcal'!$J$2:$K$18,2,FALSE),"")</f>
        <v/>
      </c>
      <c r="D37" s="171">
        <f>IF(COUNTIFS('Resultater - Danmark'!$D$3:$D$504,'Produktion &amp; forbrug'!A37,'Resultater - Danmark'!$A$3:$A$504,"Til energi")+COUNTIFS('Resultater - Danmark'!$D$3:$D$504,'Produktion &amp; forbrug'!A37,'Resultater - Danmark'!$A$3:$A$504,"Biogasanlæg")&gt;0,1,0)</f>
        <v>1</v>
      </c>
      <c r="E37" s="171">
        <v>0</v>
      </c>
      <c r="F37" s="171">
        <f t="shared" si="2"/>
        <v>2019</v>
      </c>
      <c r="G37" s="94">
        <f ca="1">SUMIFS('Resultat-Produktion &amp; forbrug'!G$4:G$291,'Resultat-Produktion &amp; forbrug'!$A$4:$A$291,'Produktion &amp; forbrug'!$A37,'Resultat-Produktion &amp; forbrug'!$E$4:$E$291,'Produktion &amp; forbrug'!$F37)</f>
        <v>0</v>
      </c>
      <c r="H37" s="94">
        <f>SUMIFS('Resultat-Produktion &amp; forbrug'!H$4:H$291,'Resultat-Produktion &amp; forbrug'!$A$4:$A$291,'Produktion &amp; forbrug'!$A37,'Resultat-Produktion &amp; forbrug'!$E$4:$E$291,'Produktion &amp; forbrug'!$F37)</f>
        <v>0</v>
      </c>
      <c r="I37" s="94">
        <f>SUMIFS('Resultat-Produktion &amp; forbrug'!I$4:I$291,'Resultat-Produktion &amp; forbrug'!$A$4:$A$291,'Produktion &amp; forbrug'!$A37,'Resultat-Produktion &amp; forbrug'!$E$4:$E$291,'Produktion &amp; forbrug'!$F37)</f>
        <v>0</v>
      </c>
      <c r="J37" s="94">
        <f>SUMIFS('Resultat-Produktion &amp; forbrug'!J$4:J$291,'Resultat-Produktion &amp; forbrug'!$A$4:$A$291,'Produktion &amp; forbrug'!$A37,'Resultat-Produktion &amp; forbrug'!$E$4:$E$291,'Produktion &amp; forbrug'!$F37)</f>
        <v>0</v>
      </c>
      <c r="K37" s="94">
        <f>SUMIFS('Resultat-Produktion &amp; forbrug'!K$4:K$291,'Resultat-Produktion &amp; forbrug'!$A$4:$A$291,'Produktion &amp; forbrug'!$A37,'Resultat-Produktion &amp; forbrug'!$E$4:$E$291,'Produktion &amp; forbrug'!$F37)</f>
        <v>0</v>
      </c>
      <c r="L37" s="94">
        <f>SUMIFS('Resultat-Produktion &amp; forbrug'!L$4:L$291,'Resultat-Produktion &amp; forbrug'!$A$4:$A$291,'Produktion &amp; forbrug'!$A37,'Resultat-Produktion &amp; forbrug'!$E$4:$E$291,'Produktion &amp; forbrug'!$F37)</f>
        <v>0</v>
      </c>
      <c r="M37" s="94">
        <f ca="1">SUMIFS('Resultat-Produktion &amp; forbrug'!M$4:M$291,'Resultat-Produktion &amp; forbrug'!$A$4:$A$291,'Produktion &amp; forbrug'!$A37,'Resultat-Produktion &amp; forbrug'!$E$4:$E$291,'Produktion &amp; forbrug'!$F37)</f>
        <v>0</v>
      </c>
      <c r="N37" s="94">
        <f>SUMIFS('Resultat-Produktion &amp; forbrug'!N$4:N$291,'Resultat-Produktion &amp; forbrug'!$A$4:$A$291,'Produktion &amp; forbrug'!$A37,'Resultat-Produktion &amp; forbrug'!$E$4:$E$291,'Produktion &amp; forbrug'!$F37)</f>
        <v>0</v>
      </c>
      <c r="O37" s="179">
        <f t="shared" ca="1" si="3"/>
        <v>0</v>
      </c>
      <c r="P37" s="94">
        <f t="shared" ca="1" si="4"/>
        <v>0</v>
      </c>
      <c r="Q37" s="180">
        <f t="shared" ca="1" si="5"/>
        <v>0</v>
      </c>
      <c r="R37">
        <f ca="1">IFERROR(VLOOKUP(A37,[1]Energiindhold!$A$2:$C$11,3,FALSE),IFERROR(VLOOKUP(A37,[1]Biogasudbytte!$A$2:$B$18,2,FALSE)*[1]Energiindhold!$C$10,0))*P37</f>
        <v>0</v>
      </c>
      <c r="S37">
        <f ca="1">IF(A37&lt;&gt;"Biogas",IFERROR(VLOOKUP(A37,[1]Biogasudbytte!$A$2:$B$18,2,FALSE)*[1]Energiindhold!$C$10,0)*K37*IFERROR(VLOOKUP(A37,Biogasanlæg!$F$3:$G$8,2,FALSE),1)+IFERROR(VLOOKUP(A37,[1]Energiindhold!$A$2:$C$11,3,FALSE),0)*M37+IF(F37&lt;&gt;År1,R37,0),0)</f>
        <v>0</v>
      </c>
      <c r="T37">
        <f>IFERROR(VLOOKUP(A37,[1]Biogasudbytte!$A$2:$B$18,2,FALSE)*[1]Energiindhold!$C$10,0)*K37*IFERROR(VLOOKUP(A37,Biogasanlæg!$F$3:$G$8,2,FALSE),1)</f>
        <v>0</v>
      </c>
      <c r="U37" s="170">
        <f t="shared" ca="1" si="6"/>
        <v>0</v>
      </c>
      <c r="V37" s="169">
        <f ca="1">P37*IFERROR(VLOOKUP(A37,[1]Tørstofindhold!A$2:B$24,2,FALSE),0)</f>
        <v>0</v>
      </c>
      <c r="W37">
        <f ca="1">IF(F37=År1,Q37,SUM(P37,Q37))*IFERROR(VLOOKUP(A37,[1]Tørstofindhold!A$2:B$24,2,FALSE),0)</f>
        <v>0</v>
      </c>
      <c r="X37">
        <f>K37*IFERROR(VLOOKUP(A37,[1]Tørstofindhold!A$2:B$24,2,FALSE),0)</f>
        <v>0</v>
      </c>
      <c r="Y37" s="170">
        <f t="shared" ca="1" si="7"/>
        <v>0</v>
      </c>
      <c r="Z37">
        <f t="shared" ca="1" si="9"/>
        <v>0</v>
      </c>
      <c r="AA37">
        <f t="shared" ca="1" si="10"/>
        <v>0</v>
      </c>
      <c r="AC37" s="94">
        <f t="shared" ca="1" si="8"/>
        <v>0</v>
      </c>
      <c r="AD37">
        <f ca="1">AC37*E37*10000*VLOOKUP(A37,[1]kcal!$A$2:$C$49,3,FALSE)/1000000000000</f>
        <v>0</v>
      </c>
    </row>
    <row r="38" spans="1:34" x14ac:dyDescent="0.25">
      <c r="A38" s="171" t="s">
        <v>117</v>
      </c>
      <c r="B38" s="171"/>
      <c r="C38" s="171" t="str">
        <f>IFERROR(VLOOKUP(A38,'Kategorisering af kcal'!$J$2:$K$18,2,FALSE),"")</f>
        <v/>
      </c>
      <c r="D38" s="171">
        <f>IF(COUNTIFS('Resultater - Danmark'!$D$3:$D$504,'Produktion &amp; forbrug'!A38,'Resultater - Danmark'!$A$3:$A$504,"Til energi")+COUNTIFS('Resultater - Danmark'!$D$3:$D$504,'Produktion &amp; forbrug'!A38,'Resultater - Danmark'!$A$3:$A$504,"Biogasanlæg")&gt;0,1,0)</f>
        <v>0</v>
      </c>
      <c r="E38" s="171">
        <v>0</v>
      </c>
      <c r="F38" s="171">
        <f t="shared" si="2"/>
        <v>2019</v>
      </c>
      <c r="G38" s="94">
        <f ca="1">SUMIFS('Resultat-Produktion &amp; forbrug'!G$4:G$291,'Resultat-Produktion &amp; forbrug'!$A$4:$A$291,'Produktion &amp; forbrug'!$A38,'Resultat-Produktion &amp; forbrug'!$E$4:$E$291,'Produktion &amp; forbrug'!$F38)</f>
        <v>5269000</v>
      </c>
      <c r="H38" s="94">
        <f>SUMIFS('Resultat-Produktion &amp; forbrug'!H$4:H$291,'Resultat-Produktion &amp; forbrug'!$A$4:$A$291,'Produktion &amp; forbrug'!$A38,'Resultat-Produktion &amp; forbrug'!$E$4:$E$291,'Produktion &amp; forbrug'!$F38)</f>
        <v>0</v>
      </c>
      <c r="I38" s="94">
        <f>SUMIFS('Resultat-Produktion &amp; forbrug'!I$4:I$291,'Resultat-Produktion &amp; forbrug'!$A$4:$A$291,'Produktion &amp; forbrug'!$A38,'Resultat-Produktion &amp; forbrug'!$E$4:$E$291,'Produktion &amp; forbrug'!$F38)</f>
        <v>0</v>
      </c>
      <c r="J38" s="94">
        <f>SUMIFS('Resultat-Produktion &amp; forbrug'!J$4:J$291,'Resultat-Produktion &amp; forbrug'!$A$4:$A$291,'Produktion &amp; forbrug'!$A38,'Resultat-Produktion &amp; forbrug'!$E$4:$E$291,'Produktion &amp; forbrug'!$F38)</f>
        <v>0</v>
      </c>
      <c r="K38" s="94">
        <f>SUMIFS('Resultat-Produktion &amp; forbrug'!K$4:K$291,'Resultat-Produktion &amp; forbrug'!$A$4:$A$291,'Produktion &amp; forbrug'!$A38,'Resultat-Produktion &amp; forbrug'!$E$4:$E$291,'Produktion &amp; forbrug'!$F38)</f>
        <v>0</v>
      </c>
      <c r="L38" s="94">
        <f>SUMIFS('Resultat-Produktion &amp; forbrug'!L$4:L$291,'Resultat-Produktion &amp; forbrug'!$A$4:$A$291,'Produktion &amp; forbrug'!$A38,'Resultat-Produktion &amp; forbrug'!$E$4:$E$291,'Produktion &amp; forbrug'!$F38)</f>
        <v>0</v>
      </c>
      <c r="M38" s="94">
        <f>SUMIFS('Resultat-Produktion &amp; forbrug'!M$4:M$291,'Resultat-Produktion &amp; forbrug'!$A$4:$A$291,'Produktion &amp; forbrug'!$A38,'Resultat-Produktion &amp; forbrug'!$E$4:$E$291,'Produktion &amp; forbrug'!$F38)</f>
        <v>0</v>
      </c>
      <c r="N38" s="94">
        <f>SUMIFS('Resultat-Produktion &amp; forbrug'!N$4:N$291,'Resultat-Produktion &amp; forbrug'!$A$4:$A$291,'Produktion &amp; forbrug'!$A38,'Resultat-Produktion &amp; forbrug'!$E$4:$E$291,'Produktion &amp; forbrug'!$F38)</f>
        <v>0</v>
      </c>
      <c r="O38" s="179">
        <f t="shared" ca="1" si="3"/>
        <v>5269000</v>
      </c>
      <c r="P38" s="94">
        <f t="shared" si="4"/>
        <v>0</v>
      </c>
      <c r="Q38" s="180">
        <f t="shared" si="5"/>
        <v>0</v>
      </c>
      <c r="R38">
        <f>IFERROR(VLOOKUP(A38,[1]Energiindhold!$A$2:$C$11,3,FALSE),IFERROR(VLOOKUP(A38,[1]Biogasudbytte!$A$2:$B$18,2,FALSE)*[1]Energiindhold!$C$10,0))*P38</f>
        <v>0</v>
      </c>
      <c r="S38">
        <f>IF(A38&lt;&gt;"Biogas",IFERROR(VLOOKUP(A38,[1]Biogasudbytte!$A$2:$B$18,2,FALSE)*[1]Energiindhold!$C$10,0)*K38*IFERROR(VLOOKUP(A38,Biogasanlæg!$F$3:$G$8,2,FALSE),1)+IFERROR(VLOOKUP(A38,[1]Energiindhold!$A$2:$C$11,3,FALSE),0)*M38+IF(F38&lt;&gt;År1,R38,0),0)</f>
        <v>0</v>
      </c>
      <c r="T38">
        <f>IFERROR(VLOOKUP(A38,[1]Biogasudbytte!$A$2:$B$18,2,FALSE)*[1]Energiindhold!$C$10,0)*K38*IFERROR(VLOOKUP(A38,Biogasanlæg!$F$3:$G$8,2,FALSE),1)</f>
        <v>0</v>
      </c>
      <c r="U38" s="170">
        <f t="shared" si="6"/>
        <v>0</v>
      </c>
      <c r="V38" s="169">
        <f>P38*IFERROR(VLOOKUP(A38,[1]Tørstofindhold!A$2:B$24,2,FALSE),0)</f>
        <v>0</v>
      </c>
      <c r="W38">
        <f>IF(F38=År1,Q38,SUM(P38,Q38))*IFERROR(VLOOKUP(A38,[1]Tørstofindhold!A$2:B$24,2,FALSE),0)</f>
        <v>0</v>
      </c>
      <c r="X38">
        <f>K38*IFERROR(VLOOKUP(A38,[1]Tørstofindhold!A$2:B$24,2,FALSE),0)</f>
        <v>0</v>
      </c>
      <c r="Y38" s="170">
        <f t="shared" si="7"/>
        <v>0</v>
      </c>
      <c r="Z38">
        <f t="shared" ca="1" si="9"/>
        <v>0</v>
      </c>
      <c r="AA38">
        <f t="shared" ca="1" si="10"/>
        <v>1</v>
      </c>
      <c r="AC38" s="94">
        <f t="shared" ca="1" si="8"/>
        <v>5269000</v>
      </c>
      <c r="AD38">
        <f ca="1">AC38*E38*10000*VLOOKUP(A38,[1]kcal!$A$2:$C$49,3,FALSE)/1000000000000</f>
        <v>0</v>
      </c>
    </row>
    <row r="39" spans="1:34" x14ac:dyDescent="0.25">
      <c r="A39" t="s">
        <v>50</v>
      </c>
      <c r="B39" s="171"/>
      <c r="C39" s="171" t="str">
        <f>IFERROR(VLOOKUP(A39,'Kategorisering af kcal'!$J$2:$K$18,2,FALSE),"")</f>
        <v/>
      </c>
      <c r="D39" s="171">
        <f>IF(COUNTIFS('Resultater - Danmark'!$D$3:$D$504,'Produktion &amp; forbrug'!A39,'Resultater - Danmark'!$A$3:$A$504,"Til energi")+COUNTIFS('Resultater - Danmark'!$D$3:$D$504,'Produktion &amp; forbrug'!A39,'Resultater - Danmark'!$A$3:$A$504,"Biogasanlæg")&gt;0,1,0)</f>
        <v>0</v>
      </c>
      <c r="E39" s="171">
        <v>0</v>
      </c>
      <c r="F39" s="171">
        <f t="shared" si="2"/>
        <v>2019</v>
      </c>
      <c r="G39" s="94">
        <f>SUMIFS('Resultat-Produktion &amp; forbrug'!G$4:G$291,'Resultat-Produktion &amp; forbrug'!$A$4:$A$291,'Produktion &amp; forbrug'!$A39,'Resultat-Produktion &amp; forbrug'!$E$4:$E$291,'Produktion &amp; forbrug'!$F39)</f>
        <v>678325.22851124685</v>
      </c>
      <c r="H39" s="94">
        <f>SUMIFS('Resultat-Produktion &amp; forbrug'!H$4:H$291,'Resultat-Produktion &amp; forbrug'!$A$4:$A$291,'Produktion &amp; forbrug'!$A39,'Resultat-Produktion &amp; forbrug'!$E$4:$E$291,'Produktion &amp; forbrug'!$F39)</f>
        <v>0</v>
      </c>
      <c r="I39" s="94">
        <f>SUMIFS('Resultat-Produktion &amp; forbrug'!I$4:I$291,'Resultat-Produktion &amp; forbrug'!$A$4:$A$291,'Produktion &amp; forbrug'!$A39,'Resultat-Produktion &amp; forbrug'!$E$4:$E$291,'Produktion &amp; forbrug'!$F39)</f>
        <v>0</v>
      </c>
      <c r="J39" s="94">
        <f>SUMIFS('Resultat-Produktion &amp; forbrug'!J$4:J$291,'Resultat-Produktion &amp; forbrug'!$A$4:$A$291,'Produktion &amp; forbrug'!$A39,'Resultat-Produktion &amp; forbrug'!$E$4:$E$291,'Produktion &amp; forbrug'!$F39)</f>
        <v>0</v>
      </c>
      <c r="K39" s="94">
        <f>SUMIFS('Resultat-Produktion &amp; forbrug'!K$4:K$291,'Resultat-Produktion &amp; forbrug'!$A$4:$A$291,'Produktion &amp; forbrug'!$A39,'Resultat-Produktion &amp; forbrug'!$E$4:$E$291,'Produktion &amp; forbrug'!$F39)</f>
        <v>0</v>
      </c>
      <c r="L39" s="94">
        <f>SUMIFS('Resultat-Produktion &amp; forbrug'!L$4:L$291,'Resultat-Produktion &amp; forbrug'!$A$4:$A$291,'Produktion &amp; forbrug'!$A39,'Resultat-Produktion &amp; forbrug'!$E$4:$E$291,'Produktion &amp; forbrug'!$F39)</f>
        <v>0</v>
      </c>
      <c r="M39" s="94">
        <f>SUMIFS('Resultat-Produktion &amp; forbrug'!M$4:M$291,'Resultat-Produktion &amp; forbrug'!$A$4:$A$291,'Produktion &amp; forbrug'!$A39,'Resultat-Produktion &amp; forbrug'!$E$4:$E$291,'Produktion &amp; forbrug'!$F39)</f>
        <v>0</v>
      </c>
      <c r="N39" s="94">
        <f>SUMIFS('Resultat-Produktion &amp; forbrug'!N$4:N$291,'Resultat-Produktion &amp; forbrug'!$A$4:$A$291,'Produktion &amp; forbrug'!$A39,'Resultat-Produktion &amp; forbrug'!$E$4:$E$291,'Produktion &amp; forbrug'!$F39)</f>
        <v>678325.22851124685</v>
      </c>
      <c r="O39" s="179">
        <f t="shared" si="3"/>
        <v>0</v>
      </c>
      <c r="P39" s="94">
        <f t="shared" si="4"/>
        <v>0</v>
      </c>
      <c r="Q39" s="180">
        <f t="shared" si="5"/>
        <v>0</v>
      </c>
      <c r="R39">
        <f>IFERROR(VLOOKUP(A39,[1]Energiindhold!$A$2:$C$11,3,FALSE),IFERROR(VLOOKUP(A39,[1]Biogasudbytte!$A$2:$B$18,2,FALSE)*[1]Energiindhold!$C$10,0))*P39</f>
        <v>0</v>
      </c>
      <c r="S39">
        <f>IF(A39&lt;&gt;"Biogas",IFERROR(VLOOKUP(A39,[1]Biogasudbytte!$A$2:$B$18,2,FALSE)*[1]Energiindhold!$C$10,0)*K39*IFERROR(VLOOKUP(A39,Biogasanlæg!$F$3:$G$8,2,FALSE),1)+IFERROR(VLOOKUP(A39,[1]Energiindhold!$A$2:$C$11,3,FALSE),0)*M39+IF(F39&lt;&gt;År1,R39,0),0)</f>
        <v>0</v>
      </c>
      <c r="T39">
        <f>IFERROR(VLOOKUP(A39,[1]Biogasudbytte!$A$2:$B$18,2,FALSE)*[1]Energiindhold!$C$10,0)*K39*IFERROR(VLOOKUP(A39,Biogasanlæg!$F$3:$G$8,2,FALSE),1)</f>
        <v>0</v>
      </c>
      <c r="U39" s="170">
        <f t="shared" si="6"/>
        <v>0</v>
      </c>
      <c r="V39" s="169">
        <f>P39*IFERROR(VLOOKUP(A39,[1]Tørstofindhold!A$2:B$24,2,FALSE),0)</f>
        <v>0</v>
      </c>
      <c r="W39">
        <f>IF(F39=År1,Q39,SUM(P39,Q39))*IFERROR(VLOOKUP(A39,[1]Tørstofindhold!A$2:B$24,2,FALSE),0)</f>
        <v>0</v>
      </c>
      <c r="X39">
        <f>K39*IFERROR(VLOOKUP(A39,[1]Tørstofindhold!A$2:B$24,2,FALSE),0)</f>
        <v>0</v>
      </c>
      <c r="Y39" s="170">
        <f t="shared" si="7"/>
        <v>0</v>
      </c>
      <c r="Z39">
        <f t="shared" si="9"/>
        <v>0</v>
      </c>
      <c r="AA39">
        <f t="shared" si="10"/>
        <v>0</v>
      </c>
      <c r="AC39" s="94">
        <f t="shared" si="8"/>
        <v>678325.22851124685</v>
      </c>
      <c r="AD39">
        <f>AC39*E39*10000*VLOOKUP(A39,[1]kcal!$A$2:$C$49,3,FALSE)/1000000000000</f>
        <v>0</v>
      </c>
    </row>
    <row r="40" spans="1:34" x14ac:dyDescent="0.25">
      <c r="A40" t="s">
        <v>238</v>
      </c>
      <c r="B40" s="171"/>
      <c r="C40" s="171" t="str">
        <f>IFERROR(VLOOKUP(A40,'Kategorisering af kcal'!$J$2:$K$18,2,FALSE),"")</f>
        <v/>
      </c>
      <c r="D40" s="171">
        <f>IF(COUNTIFS('Resultater - Danmark'!$D$3:$D$504,'Produktion &amp; forbrug'!A40,'Resultater - Danmark'!$A$3:$A$504,"Til energi")+COUNTIFS('Resultater - Danmark'!$D$3:$D$504,'Produktion &amp; forbrug'!A40,'Resultater - Danmark'!$A$3:$A$504,"Biogasanlæg")&gt;0,1,0)</f>
        <v>0</v>
      </c>
      <c r="E40" s="171">
        <v>0</v>
      </c>
      <c r="F40" s="171">
        <f t="shared" si="2"/>
        <v>2019</v>
      </c>
      <c r="G40" s="94">
        <f>SUMIFS('Resultat-Produktion &amp; forbrug'!G$4:G$291,'Resultat-Produktion &amp; forbrug'!$A$4:$A$291,'Produktion &amp; forbrug'!$A40,'Resultat-Produktion &amp; forbrug'!$E$4:$E$291,'Produktion &amp; forbrug'!$F40)</f>
        <v>339162.61425562343</v>
      </c>
      <c r="H40" s="94">
        <f ca="1">SUMIFS('Resultat-Produktion &amp; forbrug'!H$4:H$291,'Resultat-Produktion &amp; forbrug'!$A$4:$A$291,'Produktion &amp; forbrug'!$A40,'Resultat-Produktion &amp; forbrug'!$E$4:$E$291,'Produktion &amp; forbrug'!$F40)</f>
        <v>240377.87559326066</v>
      </c>
      <c r="I40" s="94">
        <f>SUMIFS('Resultat-Produktion &amp; forbrug'!I$4:I$291,'Resultat-Produktion &amp; forbrug'!$A$4:$A$291,'Produktion &amp; forbrug'!$A40,'Resultat-Produktion &amp; forbrug'!$E$4:$E$291,'Produktion &amp; forbrug'!$F40)</f>
        <v>0</v>
      </c>
      <c r="J40" s="94">
        <f>SUMIFS('Resultat-Produktion &amp; forbrug'!J$4:J$291,'Resultat-Produktion &amp; forbrug'!$A$4:$A$291,'Produktion &amp; forbrug'!$A40,'Resultat-Produktion &amp; forbrug'!$E$4:$E$291,'Produktion &amp; forbrug'!$F40)</f>
        <v>0</v>
      </c>
      <c r="K40" s="94">
        <f>SUMIFS('Resultat-Produktion &amp; forbrug'!K$4:K$291,'Resultat-Produktion &amp; forbrug'!$A$4:$A$291,'Produktion &amp; forbrug'!$A40,'Resultat-Produktion &amp; forbrug'!$E$4:$E$291,'Produktion &amp; forbrug'!$F40)</f>
        <v>0</v>
      </c>
      <c r="L40" s="94">
        <f>SUMIFS('Resultat-Produktion &amp; forbrug'!L$4:L$291,'Resultat-Produktion &amp; forbrug'!$A$4:$A$291,'Produktion &amp; forbrug'!$A40,'Resultat-Produktion &amp; forbrug'!$E$4:$E$291,'Produktion &amp; forbrug'!$F40)</f>
        <v>0</v>
      </c>
      <c r="M40" s="94">
        <f>SUMIFS('Resultat-Produktion &amp; forbrug'!M$4:M$291,'Resultat-Produktion &amp; forbrug'!$A$4:$A$291,'Produktion &amp; forbrug'!$A40,'Resultat-Produktion &amp; forbrug'!$E$4:$E$291,'Produktion &amp; forbrug'!$F40)</f>
        <v>0</v>
      </c>
      <c r="N40" s="94">
        <f>SUMIFS('Resultat-Produktion &amp; forbrug'!N$4:N$291,'Resultat-Produktion &amp; forbrug'!$A$4:$A$291,'Produktion &amp; forbrug'!$A40,'Resultat-Produktion &amp; forbrug'!$E$4:$E$291,'Produktion &amp; forbrug'!$F40)</f>
        <v>0</v>
      </c>
      <c r="O40" s="179">
        <f t="shared" ca="1" si="3"/>
        <v>98784.738662362768</v>
      </c>
      <c r="P40" s="94">
        <f t="shared" si="4"/>
        <v>0</v>
      </c>
      <c r="Q40" s="180">
        <f t="shared" si="5"/>
        <v>0</v>
      </c>
      <c r="R40">
        <f>IFERROR(VLOOKUP(A40,[1]Energiindhold!$A$2:$C$11,3,FALSE),IFERROR(VLOOKUP(A40,[1]Biogasudbytte!$A$2:$B$18,2,FALSE)*[1]Energiindhold!$C$10,0))*P40</f>
        <v>0</v>
      </c>
      <c r="S40">
        <f>IF(A40&lt;&gt;"Biogas",IFERROR(VLOOKUP(A40,[1]Biogasudbytte!$A$2:$B$18,2,FALSE)*[1]Energiindhold!$C$10,0)*K40*IFERROR(VLOOKUP(A40,Biogasanlæg!$F$3:$G$8,2,FALSE),1)+IFERROR(VLOOKUP(A40,[1]Energiindhold!$A$2:$C$11,3,FALSE),0)*M40+IF(F40&lt;&gt;År1,R40,0),0)</f>
        <v>0</v>
      </c>
      <c r="T40">
        <f>IFERROR(VLOOKUP(A40,[1]Biogasudbytte!$A$2:$B$18,2,FALSE)*[1]Energiindhold!$C$10,0)*K40*IFERROR(VLOOKUP(A40,Biogasanlæg!$F$3:$G$8,2,FALSE),1)</f>
        <v>0</v>
      </c>
      <c r="U40" s="170">
        <f t="shared" si="6"/>
        <v>0</v>
      </c>
      <c r="V40" s="169">
        <f>P40*IFERROR(VLOOKUP(A40,[1]Tørstofindhold!A$2:B$24,2,FALSE),0)</f>
        <v>0</v>
      </c>
      <c r="W40">
        <f>IF(F40=År1,Q40,SUM(P40,Q40))*IFERROR(VLOOKUP(A40,[1]Tørstofindhold!A$2:B$24,2,FALSE),0)</f>
        <v>0</v>
      </c>
      <c r="X40">
        <f>K40*IFERROR(VLOOKUP(A40,[1]Tørstofindhold!A$2:B$24,2,FALSE),0)</f>
        <v>0</v>
      </c>
      <c r="Y40" s="170">
        <f t="shared" si="7"/>
        <v>0</v>
      </c>
      <c r="Z40">
        <f t="shared" ca="1" si="9"/>
        <v>0</v>
      </c>
      <c r="AA40">
        <f t="shared" ca="1" si="10"/>
        <v>1</v>
      </c>
      <c r="AC40" s="94">
        <f t="shared" ca="1" si="8"/>
        <v>98784.738662362768</v>
      </c>
      <c r="AD40">
        <f ca="1">AC40*E40*10000*VLOOKUP(A40,[1]kcal!$A$2:$C$49,3,FALSE)/1000000000000</f>
        <v>0</v>
      </c>
    </row>
    <row r="41" spans="1:34" x14ac:dyDescent="0.25">
      <c r="A41" t="s">
        <v>231</v>
      </c>
      <c r="B41" s="171" t="s">
        <v>231</v>
      </c>
      <c r="C41" s="171" t="str">
        <f>IFERROR(VLOOKUP(A41,'Kategorisering af kcal'!$J$2:$K$18,2,FALSE),"")</f>
        <v>Olieafgrøder</v>
      </c>
      <c r="D41" s="171">
        <f>IF(COUNTIFS('Resultater - Danmark'!$D$3:$D$504,'Produktion &amp; forbrug'!A41,'Resultater - Danmark'!$A$3:$A$504,"Til energi")+COUNTIFS('Resultater - Danmark'!$D$3:$D$504,'Produktion &amp; forbrug'!A41,'Resultater - Danmark'!$A$3:$A$504,"Biogasanlæg")&gt;0,1,0)</f>
        <v>1</v>
      </c>
      <c r="E41" s="171">
        <v>1</v>
      </c>
      <c r="F41" s="171">
        <f t="shared" si="2"/>
        <v>2019</v>
      </c>
      <c r="G41" s="94">
        <f>SUMIFS('Resultat-Produktion &amp; forbrug'!G$4:G$291,'Resultat-Produktion &amp; forbrug'!$A$4:$A$291,'Produktion &amp; forbrug'!$A41,'Resultat-Produktion &amp; forbrug'!$E$4:$E$291,'Produktion &amp; forbrug'!$F41)</f>
        <v>217064.073123599</v>
      </c>
      <c r="H41" s="94">
        <f>SUMIFS('Resultat-Produktion &amp; forbrug'!H$4:H$291,'Resultat-Produktion &amp; forbrug'!$A$4:$A$291,'Produktion &amp; forbrug'!$A41,'Resultat-Produktion &amp; forbrug'!$E$4:$E$291,'Produktion &amp; forbrug'!$F41)</f>
        <v>0</v>
      </c>
      <c r="I41" s="94">
        <f>SUMIFS('Resultat-Produktion &amp; forbrug'!I$4:I$291,'Resultat-Produktion &amp; forbrug'!$A$4:$A$291,'Produktion &amp; forbrug'!$A41,'Resultat-Produktion &amp; forbrug'!$E$4:$E$291,'Produktion &amp; forbrug'!$F41)</f>
        <v>0</v>
      </c>
      <c r="J41" s="94">
        <f>SUMIFS('Resultat-Produktion &amp; forbrug'!J$4:J$291,'Resultat-Produktion &amp; forbrug'!$A$4:$A$291,'Produktion &amp; forbrug'!$A41,'Resultat-Produktion &amp; forbrug'!$E$4:$E$291,'Produktion &amp; forbrug'!$F41)</f>
        <v>0</v>
      </c>
      <c r="K41" s="94">
        <f>SUMIFS('Resultat-Produktion &amp; forbrug'!K$4:K$291,'Resultat-Produktion &amp; forbrug'!$A$4:$A$291,'Produktion &amp; forbrug'!$A41,'Resultat-Produktion &amp; forbrug'!$E$4:$E$291,'Produktion &amp; forbrug'!$F41)</f>
        <v>0</v>
      </c>
      <c r="L41" s="94">
        <f>SUMIFS('Resultat-Produktion &amp; forbrug'!L$4:L$291,'Resultat-Produktion &amp; forbrug'!$A$4:$A$291,'Produktion &amp; forbrug'!$A41,'Resultat-Produktion &amp; forbrug'!$E$4:$E$291,'Produktion &amp; forbrug'!$F41)</f>
        <v>0</v>
      </c>
      <c r="M41" s="94">
        <f>SUMIFS('Resultat-Produktion &amp; forbrug'!M$4:M$291,'Resultat-Produktion &amp; forbrug'!$A$4:$A$291,'Produktion &amp; forbrug'!$A41,'Resultat-Produktion &amp; forbrug'!$E$4:$E$291,'Produktion &amp; forbrug'!$F41)</f>
        <v>112873.31802427149</v>
      </c>
      <c r="N41" s="94">
        <f>SUMIFS('Resultat-Produktion &amp; forbrug'!N$4:N$291,'Resultat-Produktion &amp; forbrug'!$A$4:$A$291,'Produktion &amp; forbrug'!$A41,'Resultat-Produktion &amp; forbrug'!$E$4:$E$291,'Produktion &amp; forbrug'!$F41)</f>
        <v>104190.75509932752</v>
      </c>
      <c r="O41" s="179">
        <f t="shared" si="3"/>
        <v>0</v>
      </c>
      <c r="P41" s="94">
        <f t="shared" si="4"/>
        <v>0</v>
      </c>
      <c r="Q41" s="180">
        <f t="shared" si="5"/>
        <v>112873.31802427149</v>
      </c>
      <c r="R41">
        <f>IFERROR(VLOOKUP(A41,[1]Energiindhold!$A$2:$C$11,3,FALSE),IFERROR(VLOOKUP(A41,[1]Biogasudbytte!$A$2:$B$18,2,FALSE)*[1]Energiindhold!$C$10,0))*P41</f>
        <v>0</v>
      </c>
      <c r="S41">
        <f>IF(A41&lt;&gt;"Biogas",IFERROR(VLOOKUP(A41,[1]Biogasudbytte!$A$2:$B$18,2,FALSE)*[1]Energiindhold!$C$10,0)*K41*IFERROR(VLOOKUP(A41,Biogasanlæg!$F$3:$G$8,2,FALSE),1)+IFERROR(VLOOKUP(A41,[1]Energiindhold!$A$2:$C$11,3,FALSE),0)*M41+IF(F41&lt;&gt;År1,R41,0),0)</f>
        <v>3.9505661308495017</v>
      </c>
      <c r="T41">
        <f>IFERROR(VLOOKUP(A41,[1]Biogasudbytte!$A$2:$B$18,2,FALSE)*[1]Energiindhold!$C$10,0)*K41*IFERROR(VLOOKUP(A41,Biogasanlæg!$F$3:$G$8,2,FALSE),1)</f>
        <v>0</v>
      </c>
      <c r="U41" s="170">
        <f t="shared" si="6"/>
        <v>3.9505661308495017</v>
      </c>
      <c r="V41" s="169">
        <f>P41*IFERROR(VLOOKUP(A41,[1]Tørstofindhold!A$2:B$24,2,FALSE),0)</f>
        <v>0</v>
      </c>
      <c r="W41">
        <f>IF(F41=År1,Q41,SUM(P41,Q41))*IFERROR(VLOOKUP(A41,[1]Tørstofindhold!A$2:B$24,2,FALSE),0)</f>
        <v>0</v>
      </c>
      <c r="X41">
        <f>K41*IFERROR(VLOOKUP(A41,[1]Tørstofindhold!A$2:B$24,2,FALSE),0)</f>
        <v>0</v>
      </c>
      <c r="Y41" s="170">
        <f t="shared" si="7"/>
        <v>0</v>
      </c>
      <c r="Z41">
        <f t="shared" si="9"/>
        <v>0</v>
      </c>
      <c r="AA41">
        <f t="shared" si="10"/>
        <v>0</v>
      </c>
      <c r="AC41" s="94">
        <f t="shared" si="8"/>
        <v>217064.073123599</v>
      </c>
      <c r="AD41">
        <f>AC41*E41*10000*VLOOKUP(A41,[1]kcal!$A$2:$C$49,3,FALSE)/1000000000000</f>
        <v>1.953576658112391</v>
      </c>
    </row>
    <row r="42" spans="1:34" x14ac:dyDescent="0.25">
      <c r="A42" t="s">
        <v>52</v>
      </c>
      <c r="B42" s="171" t="s">
        <v>224</v>
      </c>
      <c r="C42" s="171" t="str">
        <f>IFERROR(VLOOKUP(A42,'Kategorisering af kcal'!$J$2:$K$18,2,FALSE),"")</f>
        <v>Roer</v>
      </c>
      <c r="D42" s="171">
        <f>IF(COUNTIFS('Resultater - Danmark'!$D$3:$D$504,'Produktion &amp; forbrug'!A42,'Resultater - Danmark'!$A$3:$A$504,"Til energi")+COUNTIFS('Resultater - Danmark'!$D$3:$D$504,'Produktion &amp; forbrug'!A42,'Resultater - Danmark'!$A$3:$A$504,"Biogasanlæg")&gt;0,1,0)</f>
        <v>1</v>
      </c>
      <c r="E42" s="171">
        <v>1</v>
      </c>
      <c r="F42" s="171">
        <f t="shared" si="2"/>
        <v>2019</v>
      </c>
      <c r="G42" s="94">
        <f>SUMIFS('Resultat-Produktion &amp; forbrug'!G$4:G$291,'Resultat-Produktion &amp; forbrug'!$A$4:$A$291,'Produktion &amp; forbrug'!$A42,'Resultat-Produktion &amp; forbrug'!$E$4:$E$291,'Produktion &amp; forbrug'!$F42)</f>
        <v>2610834.0419031042</v>
      </c>
      <c r="H42" s="94">
        <f ca="1">SUMIFS('Resultat-Produktion &amp; forbrug'!H$4:H$291,'Resultat-Produktion &amp; forbrug'!$A$4:$A$291,'Produktion &amp; forbrug'!$A42,'Resultat-Produktion &amp; forbrug'!$E$4:$E$291,'Produktion &amp; forbrug'!$F42)</f>
        <v>944413.49448565592</v>
      </c>
      <c r="I42" s="94">
        <f>SUMIFS('Resultat-Produktion &amp; forbrug'!I$4:I$291,'Resultat-Produktion &amp; forbrug'!$A$4:$A$291,'Produktion &amp; forbrug'!$A42,'Resultat-Produktion &amp; forbrug'!$E$4:$E$291,'Produktion &amp; forbrug'!$F42)</f>
        <v>0</v>
      </c>
      <c r="J42" s="94">
        <f>SUMIFS('Resultat-Produktion &amp; forbrug'!J$4:J$291,'Resultat-Produktion &amp; forbrug'!$A$4:$A$291,'Produktion &amp; forbrug'!$A42,'Resultat-Produktion &amp; forbrug'!$E$4:$E$291,'Produktion &amp; forbrug'!$F42)</f>
        <v>0</v>
      </c>
      <c r="K42" s="94">
        <f>SUMIFS('Resultat-Produktion &amp; forbrug'!K$4:K$291,'Resultat-Produktion &amp; forbrug'!$A$4:$A$291,'Produktion &amp; forbrug'!$A42,'Resultat-Produktion &amp; forbrug'!$E$4:$E$291,'Produktion &amp; forbrug'!$F42)</f>
        <v>28644.999999999993</v>
      </c>
      <c r="L42" s="94">
        <f>SUMIFS('Resultat-Produktion &amp; forbrug'!L$4:L$291,'Resultat-Produktion &amp; forbrug'!$A$4:$A$291,'Produktion &amp; forbrug'!$A42,'Resultat-Produktion &amp; forbrug'!$E$4:$E$291,'Produktion &amp; forbrug'!$F42)</f>
        <v>0</v>
      </c>
      <c r="M42" s="94">
        <f>SUMIFS('Resultat-Produktion &amp; forbrug'!M$4:M$291,'Resultat-Produktion &amp; forbrug'!$A$4:$A$291,'Produktion &amp; forbrug'!$A42,'Resultat-Produktion &amp; forbrug'!$E$4:$E$291,'Produktion &amp; forbrug'!$F42)</f>
        <v>0</v>
      </c>
      <c r="N42" s="94">
        <f>SUMIFS('Resultat-Produktion &amp; forbrug'!N$4:N$291,'Resultat-Produktion &amp; forbrug'!$A$4:$A$291,'Produktion &amp; forbrug'!$A42,'Resultat-Produktion &amp; forbrug'!$E$4:$E$291,'Produktion &amp; forbrug'!$F42)</f>
        <v>0</v>
      </c>
      <c r="O42" s="179">
        <f t="shared" ca="1" si="3"/>
        <v>1637775.5474174484</v>
      </c>
      <c r="P42" s="94">
        <f t="shared" ca="1" si="4"/>
        <v>1637775.5474174484</v>
      </c>
      <c r="Q42" s="180">
        <f t="shared" si="5"/>
        <v>28644.999999999993</v>
      </c>
      <c r="R42">
        <f ca="1">IFERROR(VLOOKUP(A42,[1]Energiindhold!$A$2:$C$11,3,FALSE),IFERROR(VLOOKUP(A42,[1]Biogasudbytte!$A$2:$B$18,2,FALSE)*[1]Energiindhold!$C$10,0))*P42</f>
        <v>4.4449883467128517</v>
      </c>
      <c r="S42">
        <f>IF(A42&lt;&gt;"Biogas",IFERROR(VLOOKUP(A42,[1]Biogasudbytte!$A$2:$B$18,2,FALSE)*[1]Energiindhold!$C$10,0)*K42*IFERROR(VLOOKUP(A42,Biogasanlæg!$F$3:$G$8,2,FALSE),1)+IFERROR(VLOOKUP(A42,[1]Energiindhold!$A$2:$C$11,3,FALSE),0)*M42+IF(F42&lt;&gt;År1,R42,0),0)</f>
        <v>7.7743675799999981E-2</v>
      </c>
      <c r="T42">
        <f>IFERROR(VLOOKUP(A42,[1]Biogasudbytte!$A$2:$B$18,2,FALSE)*[1]Energiindhold!$C$10,0)*K42*IFERROR(VLOOKUP(A42,Biogasanlæg!$F$3:$G$8,2,FALSE),1)</f>
        <v>7.7743675799999981E-2</v>
      </c>
      <c r="U42" s="170">
        <f t="shared" si="6"/>
        <v>0</v>
      </c>
      <c r="V42" s="169">
        <f ca="1">P42*IFERROR(VLOOKUP(A42,[1]Tørstofindhold!A$2:B$24,2,FALSE),0)</f>
        <v>327555.10948348971</v>
      </c>
      <c r="W42">
        <f>IF(F42=År1,Q42,SUM(P42,Q42))*IFERROR(VLOOKUP(A42,[1]Tørstofindhold!A$2:B$24,2,FALSE),0)</f>
        <v>5728.9999999999991</v>
      </c>
      <c r="X42">
        <f>K42*IFERROR(VLOOKUP(A42,[1]Tørstofindhold!A$2:B$24,2,FALSE),0)</f>
        <v>5728.9999999999991</v>
      </c>
      <c r="Y42" s="170">
        <f t="shared" si="7"/>
        <v>0</v>
      </c>
      <c r="Z42">
        <f t="shared" ca="1" si="9"/>
        <v>0</v>
      </c>
      <c r="AA42">
        <f t="shared" ca="1" si="10"/>
        <v>1</v>
      </c>
      <c r="AC42" s="94">
        <f t="shared" ca="1" si="8"/>
        <v>1637775.5474174484</v>
      </c>
      <c r="AD42">
        <f ca="1">AC42*E42*10000*VLOOKUP(A42,[1]kcal!$A$2:$C$49,3,FALSE)/1000000000000</f>
        <v>0.49133266422523447</v>
      </c>
    </row>
    <row r="43" spans="1:34" x14ac:dyDescent="0.25">
      <c r="A43" t="s">
        <v>121</v>
      </c>
      <c r="B43" s="171"/>
      <c r="C43" s="171" t="str">
        <f>IFERROR(VLOOKUP(A43,'Kategorisering af kcal'!$J$2:$K$18,2,FALSE),"")</f>
        <v/>
      </c>
      <c r="D43" s="171">
        <f>IF(COUNTIFS('Resultater - Danmark'!$D$3:$D$504,'Produktion &amp; forbrug'!A43,'Resultater - Danmark'!$A$3:$A$504,"Til energi")+COUNTIFS('Resultater - Danmark'!$D$3:$D$504,'Produktion &amp; forbrug'!A43,'Resultater - Danmark'!$A$3:$A$504,"Biogasanlæg")&gt;0,1,0)</f>
        <v>0</v>
      </c>
      <c r="E43" s="171">
        <v>0</v>
      </c>
      <c r="F43" s="171">
        <f t="shared" si="2"/>
        <v>2019</v>
      </c>
      <c r="G43" s="94">
        <f ca="1">SUMIFS('Resultat-Produktion &amp; forbrug'!G$4:G$291,'Resultat-Produktion &amp; forbrug'!$A$4:$A$291,'Produktion &amp; forbrug'!$A43,'Resultat-Produktion &amp; forbrug'!$E$4:$E$291,'Produktion &amp; forbrug'!$F43)</f>
        <v>217010.36743552322</v>
      </c>
      <c r="H43" s="94">
        <f>SUMIFS('Resultat-Produktion &amp; forbrug'!H$4:H$291,'Resultat-Produktion &amp; forbrug'!$A$4:$A$291,'Produktion &amp; forbrug'!$A43,'Resultat-Produktion &amp; forbrug'!$E$4:$E$291,'Produktion &amp; forbrug'!$F43)</f>
        <v>0</v>
      </c>
      <c r="I43" s="94">
        <f>SUMIFS('Resultat-Produktion &amp; forbrug'!I$4:I$291,'Resultat-Produktion &amp; forbrug'!$A$4:$A$291,'Produktion &amp; forbrug'!$A43,'Resultat-Produktion &amp; forbrug'!$E$4:$E$291,'Produktion &amp; forbrug'!$F43)</f>
        <v>0</v>
      </c>
      <c r="J43" s="94">
        <f>SUMIFS('Resultat-Produktion &amp; forbrug'!J$4:J$291,'Resultat-Produktion &amp; forbrug'!$A$4:$A$291,'Produktion &amp; forbrug'!$A43,'Resultat-Produktion &amp; forbrug'!$E$4:$E$291,'Produktion &amp; forbrug'!$F43)</f>
        <v>0</v>
      </c>
      <c r="K43" s="94">
        <f>SUMIFS('Resultat-Produktion &amp; forbrug'!K$4:K$291,'Resultat-Produktion &amp; forbrug'!$A$4:$A$291,'Produktion &amp; forbrug'!$A43,'Resultat-Produktion &amp; forbrug'!$E$4:$E$291,'Produktion &amp; forbrug'!$F43)</f>
        <v>0</v>
      </c>
      <c r="L43" s="94">
        <f>SUMIFS('Resultat-Produktion &amp; forbrug'!L$4:L$291,'Resultat-Produktion &amp; forbrug'!$A$4:$A$291,'Produktion &amp; forbrug'!$A43,'Resultat-Produktion &amp; forbrug'!$E$4:$E$291,'Produktion &amp; forbrug'!$F43)</f>
        <v>0</v>
      </c>
      <c r="M43" s="94">
        <f>SUMIFS('Resultat-Produktion &amp; forbrug'!M$4:M$291,'Resultat-Produktion &amp; forbrug'!$A$4:$A$291,'Produktion &amp; forbrug'!$A43,'Resultat-Produktion &amp; forbrug'!$E$4:$E$291,'Produktion &amp; forbrug'!$F43)</f>
        <v>0</v>
      </c>
      <c r="N43" s="94">
        <f>SUMIFS('Resultat-Produktion &amp; forbrug'!N$4:N$291,'Resultat-Produktion &amp; forbrug'!$A$4:$A$291,'Produktion &amp; forbrug'!$A43,'Resultat-Produktion &amp; forbrug'!$E$4:$E$291,'Produktion &amp; forbrug'!$F43)</f>
        <v>0</v>
      </c>
      <c r="O43" s="179">
        <f t="shared" ca="1" si="3"/>
        <v>217010.36743552322</v>
      </c>
      <c r="P43" s="94">
        <f t="shared" si="4"/>
        <v>0</v>
      </c>
      <c r="Q43" s="180">
        <f t="shared" si="5"/>
        <v>0</v>
      </c>
      <c r="R43">
        <f>IFERROR(VLOOKUP(A43,[1]Energiindhold!$A$2:$C$11,3,FALSE),IFERROR(VLOOKUP(A43,[1]Biogasudbytte!$A$2:$B$18,2,FALSE)*[1]Energiindhold!$C$10,0))*P43</f>
        <v>0</v>
      </c>
      <c r="S43">
        <f>IF(A43&lt;&gt;"Biogas",IFERROR(VLOOKUP(A43,[1]Biogasudbytte!$A$2:$B$18,2,FALSE)*[1]Energiindhold!$C$10,0)*K43*IFERROR(VLOOKUP(A43,Biogasanlæg!$F$3:$G$8,2,FALSE),1)+IFERROR(VLOOKUP(A43,[1]Energiindhold!$A$2:$C$11,3,FALSE),0)*M43+IF(F43&lt;&gt;År1,R43,0),0)</f>
        <v>0</v>
      </c>
      <c r="T43">
        <f>IFERROR(VLOOKUP(A43,[1]Biogasudbytte!$A$2:$B$18,2,FALSE)*[1]Energiindhold!$C$10,0)*K43*IFERROR(VLOOKUP(A43,Biogasanlæg!$F$3:$G$8,2,FALSE),1)</f>
        <v>0</v>
      </c>
      <c r="U43" s="170">
        <f t="shared" si="6"/>
        <v>0</v>
      </c>
      <c r="V43" s="169">
        <f>P43*IFERROR(VLOOKUP(A43,[1]Tørstofindhold!A$2:B$24,2,FALSE),0)</f>
        <v>0</v>
      </c>
      <c r="W43">
        <f>IF(F43=År1,Q43,SUM(P43,Q43))*IFERROR(VLOOKUP(A43,[1]Tørstofindhold!A$2:B$24,2,FALSE),0)</f>
        <v>0</v>
      </c>
      <c r="X43">
        <f>K43*IFERROR(VLOOKUP(A43,[1]Tørstofindhold!A$2:B$24,2,FALSE),0)</f>
        <v>0</v>
      </c>
      <c r="Y43" s="170">
        <f t="shared" si="7"/>
        <v>0</v>
      </c>
      <c r="Z43">
        <f t="shared" ca="1" si="9"/>
        <v>0</v>
      </c>
      <c r="AA43">
        <f t="shared" ca="1" si="10"/>
        <v>1</v>
      </c>
      <c r="AC43" s="94">
        <f t="shared" ca="1" si="8"/>
        <v>217010.36743552322</v>
      </c>
      <c r="AD43">
        <f ca="1">AC43*E43*10000*VLOOKUP(A43,[1]kcal!$A$2:$C$49,3,FALSE)/1000000000000</f>
        <v>0</v>
      </c>
    </row>
    <row r="44" spans="1:34" x14ac:dyDescent="0.25">
      <c r="A44" t="s">
        <v>107</v>
      </c>
      <c r="B44" s="171"/>
      <c r="C44" s="171" t="str">
        <f>IFERROR(VLOOKUP(A44,'Kategorisering af kcal'!$J$2:$K$18,2,FALSE),"")</f>
        <v/>
      </c>
      <c r="D44" s="171">
        <f>IF(COUNTIFS('Resultater - Danmark'!$D$3:$D$504,'Produktion &amp; forbrug'!A44,'Resultater - Danmark'!$A$3:$A$504,"Til energi")+COUNTIFS('Resultater - Danmark'!$D$3:$D$504,'Produktion &amp; forbrug'!A44,'Resultater - Danmark'!$A$3:$A$504,"Biogasanlæg")&gt;0,1,0)</f>
        <v>0</v>
      </c>
      <c r="E44" s="171">
        <v>0</v>
      </c>
      <c r="F44" s="171">
        <f t="shared" si="2"/>
        <v>2019</v>
      </c>
      <c r="G44" s="94">
        <f ca="1">SUMIFS('Resultat-Produktion &amp; forbrug'!G$4:G$291,'Resultat-Produktion &amp; forbrug'!$A$4:$A$291,'Produktion &amp; forbrug'!$A44,'Resultat-Produktion &amp; forbrug'!$E$4:$E$291,'Produktion &amp; forbrug'!$F44)</f>
        <v>150199.97904519152</v>
      </c>
      <c r="H44" s="94">
        <f ca="1">SUMIFS('Resultat-Produktion &amp; forbrug'!H$4:H$291,'Resultat-Produktion &amp; forbrug'!$A$4:$A$291,'Produktion &amp; forbrug'!$A44,'Resultat-Produktion &amp; forbrug'!$E$4:$E$291,'Produktion &amp; forbrug'!$F44)</f>
        <v>44253.667473236274</v>
      </c>
      <c r="I44" s="94">
        <f>SUMIFS('Resultat-Produktion &amp; forbrug'!I$4:I$291,'Resultat-Produktion &amp; forbrug'!$A$4:$A$291,'Produktion &amp; forbrug'!$A44,'Resultat-Produktion &amp; forbrug'!$E$4:$E$291,'Produktion &amp; forbrug'!$F44)</f>
        <v>0</v>
      </c>
      <c r="J44" s="94">
        <f>SUMIFS('Resultat-Produktion &amp; forbrug'!J$4:J$291,'Resultat-Produktion &amp; forbrug'!$A$4:$A$291,'Produktion &amp; forbrug'!$A44,'Resultat-Produktion &amp; forbrug'!$E$4:$E$291,'Produktion &amp; forbrug'!$F44)</f>
        <v>0</v>
      </c>
      <c r="K44" s="94">
        <f>SUMIFS('Resultat-Produktion &amp; forbrug'!K$4:K$291,'Resultat-Produktion &amp; forbrug'!$A$4:$A$291,'Produktion &amp; forbrug'!$A44,'Resultat-Produktion &amp; forbrug'!$E$4:$E$291,'Produktion &amp; forbrug'!$F44)</f>
        <v>0</v>
      </c>
      <c r="L44" s="94">
        <f>SUMIFS('Resultat-Produktion &amp; forbrug'!L$4:L$291,'Resultat-Produktion &amp; forbrug'!$A$4:$A$291,'Produktion &amp; forbrug'!$A44,'Resultat-Produktion &amp; forbrug'!$E$4:$E$291,'Produktion &amp; forbrug'!$F44)</f>
        <v>0</v>
      </c>
      <c r="M44" s="94">
        <f>SUMIFS('Resultat-Produktion &amp; forbrug'!M$4:M$291,'Resultat-Produktion &amp; forbrug'!$A$4:$A$291,'Produktion &amp; forbrug'!$A44,'Resultat-Produktion &amp; forbrug'!$E$4:$E$291,'Produktion &amp; forbrug'!$F44)</f>
        <v>0</v>
      </c>
      <c r="N44" s="94">
        <f>SUMIFS('Resultat-Produktion &amp; forbrug'!N$4:N$291,'Resultat-Produktion &amp; forbrug'!$A$4:$A$291,'Produktion &amp; forbrug'!$A44,'Resultat-Produktion &amp; forbrug'!$E$4:$E$291,'Produktion &amp; forbrug'!$F44)</f>
        <v>0</v>
      </c>
      <c r="O44" s="179">
        <f t="shared" ca="1" si="3"/>
        <v>105946.31157195524</v>
      </c>
      <c r="P44" s="94">
        <f t="shared" si="4"/>
        <v>0</v>
      </c>
      <c r="Q44" s="180">
        <f t="shared" si="5"/>
        <v>0</v>
      </c>
      <c r="R44">
        <f>IFERROR(VLOOKUP(A44,[1]Energiindhold!$A$2:$C$11,3,FALSE),IFERROR(VLOOKUP(A44,[1]Biogasudbytte!$A$2:$B$18,2,FALSE)*[1]Energiindhold!$C$10,0))*P44</f>
        <v>0</v>
      </c>
      <c r="S44">
        <f>IF(A44&lt;&gt;"Biogas",IFERROR(VLOOKUP(A44,[1]Biogasudbytte!$A$2:$B$18,2,FALSE)*[1]Energiindhold!$C$10,0)*K44*IFERROR(VLOOKUP(A44,Biogasanlæg!$F$3:$G$8,2,FALSE),1)+IFERROR(VLOOKUP(A44,[1]Energiindhold!$A$2:$C$11,3,FALSE),0)*M44+IF(F44&lt;&gt;År1,R44,0),0)</f>
        <v>0</v>
      </c>
      <c r="T44">
        <f>IFERROR(VLOOKUP(A44,[1]Biogasudbytte!$A$2:$B$18,2,FALSE)*[1]Energiindhold!$C$10,0)*K44*IFERROR(VLOOKUP(A44,Biogasanlæg!$F$3:$G$8,2,FALSE),1)</f>
        <v>0</v>
      </c>
      <c r="U44" s="170">
        <f t="shared" si="6"/>
        <v>0</v>
      </c>
      <c r="V44" s="169">
        <f>P44*IFERROR(VLOOKUP(A44,[1]Tørstofindhold!A$2:B$24,2,FALSE),0)</f>
        <v>0</v>
      </c>
      <c r="W44">
        <f>IF(F44=År1,Q44,SUM(P44,Q44))*IFERROR(VLOOKUP(A44,[1]Tørstofindhold!A$2:B$24,2,FALSE),0)</f>
        <v>0</v>
      </c>
      <c r="X44">
        <f>K44*IFERROR(VLOOKUP(A44,[1]Tørstofindhold!A$2:B$24,2,FALSE),0)</f>
        <v>0</v>
      </c>
      <c r="Y44" s="170">
        <f t="shared" si="7"/>
        <v>0</v>
      </c>
      <c r="Z44">
        <f t="shared" ca="1" si="9"/>
        <v>0</v>
      </c>
      <c r="AA44">
        <f t="shared" ca="1" si="10"/>
        <v>1</v>
      </c>
      <c r="AC44" s="94">
        <f t="shared" ca="1" si="8"/>
        <v>105946.31157195524</v>
      </c>
      <c r="AD44">
        <f ca="1">AC44*E44*10000*VLOOKUP(A44,[1]kcal!$A$2:$C$49,3,FALSE)/1000000000000</f>
        <v>0</v>
      </c>
    </row>
    <row r="45" spans="1:34" x14ac:dyDescent="0.25">
      <c r="A45" s="171" t="s">
        <v>140</v>
      </c>
      <c r="B45" s="171" t="s">
        <v>230</v>
      </c>
      <c r="C45" s="171" t="str">
        <f>IFERROR(VLOOKUP(A45,'Kategorisering af kcal'!$J$2:$K$18,2,FALSE),"")</f>
        <v/>
      </c>
      <c r="D45" s="171">
        <f>IF(COUNTIFS('Resultater - Danmark'!$D$3:$D$504,'Produktion &amp; forbrug'!A45,'Resultater - Danmark'!$A$3:$A$504,"Til energi")+COUNTIFS('Resultater - Danmark'!$D$3:$D$504,'Produktion &amp; forbrug'!A45,'Resultater - Danmark'!$A$3:$A$504,"Biogasanlæg")&gt;0,1,0)</f>
        <v>1</v>
      </c>
      <c r="E45" s="171">
        <v>0</v>
      </c>
      <c r="F45" s="171">
        <f t="shared" si="2"/>
        <v>2019</v>
      </c>
      <c r="G45" s="94">
        <f ca="1">SUMIFS('Resultat-Produktion &amp; forbrug'!G$4:G$291,'Resultat-Produktion &amp; forbrug'!$A$4:$A$291,'Produktion &amp; forbrug'!$A45,'Resultat-Produktion &amp; forbrug'!$E$4:$E$291,'Produktion &amp; forbrug'!$F45)</f>
        <v>7037157.901678659</v>
      </c>
      <c r="H45" s="94">
        <f>SUMIFS('Resultat-Produktion &amp; forbrug'!H$4:H$291,'Resultat-Produktion &amp; forbrug'!$A$4:$A$291,'Produktion &amp; forbrug'!$A45,'Resultat-Produktion &amp; forbrug'!$E$4:$E$291,'Produktion &amp; forbrug'!$F45)</f>
        <v>0</v>
      </c>
      <c r="I45" s="94">
        <f>SUMIFS('Resultat-Produktion &amp; forbrug'!I$4:I$291,'Resultat-Produktion &amp; forbrug'!$A$4:$A$291,'Produktion &amp; forbrug'!$A45,'Resultat-Produktion &amp; forbrug'!$E$4:$E$291,'Produktion &amp; forbrug'!$F45)</f>
        <v>0</v>
      </c>
      <c r="J45" s="94">
        <f>SUMIFS('Resultat-Produktion &amp; forbrug'!J$4:J$291,'Resultat-Produktion &amp; forbrug'!$A$4:$A$291,'Produktion &amp; forbrug'!$A45,'Resultat-Produktion &amp; forbrug'!$E$4:$E$291,'Produktion &amp; forbrug'!$F45)</f>
        <v>0</v>
      </c>
      <c r="K45" s="94">
        <f ca="1">SUMIFS('Resultat-Produktion &amp; forbrug'!K$4:K$291,'Resultat-Produktion &amp; forbrug'!$A$4:$A$291,'Produktion &amp; forbrug'!$A45,'Resultat-Produktion &amp; forbrug'!$E$4:$E$291,'Produktion &amp; forbrug'!$F45)</f>
        <v>2668834</v>
      </c>
      <c r="L45" s="94">
        <f>SUMIFS('Resultat-Produktion &amp; forbrug'!L$4:L$291,'Resultat-Produktion &amp; forbrug'!$A$4:$A$291,'Produktion &amp; forbrug'!$A45,'Resultat-Produktion &amp; forbrug'!$E$4:$E$291,'Produktion &amp; forbrug'!$F45)</f>
        <v>0</v>
      </c>
      <c r="M45" s="94">
        <f>SUMIFS('Resultat-Produktion &amp; forbrug'!M$4:M$291,'Resultat-Produktion &amp; forbrug'!$A$4:$A$291,'Produktion &amp; forbrug'!$A45,'Resultat-Produktion &amp; forbrug'!$E$4:$E$291,'Produktion &amp; forbrug'!$F45)</f>
        <v>0</v>
      </c>
      <c r="N45" s="94">
        <f>SUMIFS('Resultat-Produktion &amp; forbrug'!N$4:N$291,'Resultat-Produktion &amp; forbrug'!$A$4:$A$291,'Produktion &amp; forbrug'!$A45,'Resultat-Produktion &amp; forbrug'!$E$4:$E$291,'Produktion &amp; forbrug'!$F45)</f>
        <v>0</v>
      </c>
      <c r="O45" s="179">
        <f t="shared" ca="1" si="3"/>
        <v>4368323.901678659</v>
      </c>
      <c r="P45" s="94">
        <f t="shared" ca="1" si="4"/>
        <v>4368323.901678659</v>
      </c>
      <c r="Q45" s="180">
        <f t="shared" ca="1" si="5"/>
        <v>2668834</v>
      </c>
      <c r="R45">
        <f ca="1">IFERROR(VLOOKUP(A45,[1]Energiindhold!$A$2:$C$11,3,FALSE),IFERROR(VLOOKUP(A45,[1]Biogasudbytte!$A$2:$B$18,2,FALSE)*[1]Energiindhold!$C$10,0))*P45</f>
        <v>2.1798373101766679</v>
      </c>
      <c r="S45">
        <f ca="1">IF(A45&lt;&gt;"Biogas",IFERROR(VLOOKUP(A45,[1]Biogasudbytte!$A$2:$B$18,2,FALSE)*[1]Energiindhold!$C$10,0)*K45*IFERROR(VLOOKUP(A45,Biogasanlæg!$F$3:$G$8,2,FALSE),1)+IFERROR(VLOOKUP(A45,[1]Energiindhold!$A$2:$C$11,3,FALSE),0)*M45+IF(F45&lt;&gt;År1,R45,0),0)</f>
        <v>1.3317748543400001</v>
      </c>
      <c r="T45">
        <f ca="1">IFERROR(VLOOKUP(A45,[1]Biogasudbytte!$A$2:$B$18,2,FALSE)*[1]Energiindhold!$C$10,0)*K45*IFERROR(VLOOKUP(A45,Biogasanlæg!$F$3:$G$8,2,FALSE),1)</f>
        <v>1.3317748543400001</v>
      </c>
      <c r="U45" s="170">
        <f t="shared" ca="1" si="6"/>
        <v>0</v>
      </c>
      <c r="V45" s="169">
        <f ca="1">P45*IFERROR(VLOOKUP(A45,[1]Tørstofindhold!A$2:B$24,2,FALSE),0)</f>
        <v>262099.43410071952</v>
      </c>
      <c r="W45">
        <f ca="1">IF(F45=År1,Q45,SUM(P45,Q45))*IFERROR(VLOOKUP(A45,[1]Tørstofindhold!A$2:B$24,2,FALSE),0)</f>
        <v>160130.04</v>
      </c>
      <c r="X45">
        <f ca="1">K45*IFERROR(VLOOKUP(A45,[1]Tørstofindhold!A$2:B$24,2,FALSE),0)</f>
        <v>160130.04</v>
      </c>
      <c r="Y45" s="170">
        <f t="shared" ca="1" si="7"/>
        <v>0</v>
      </c>
      <c r="Z45">
        <f t="shared" ca="1" si="9"/>
        <v>0</v>
      </c>
      <c r="AA45">
        <f t="shared" ca="1" si="10"/>
        <v>1</v>
      </c>
      <c r="AC45" s="94">
        <f t="shared" ca="1" si="8"/>
        <v>4368323.901678659</v>
      </c>
      <c r="AD45">
        <f ca="1">AC45*E45*10000*VLOOKUP(A45,[1]kcal!$A$2:$C$49,3,FALSE)/1000000000000</f>
        <v>0</v>
      </c>
    </row>
    <row r="46" spans="1:34" x14ac:dyDescent="0.25">
      <c r="A46" s="171" t="s">
        <v>135</v>
      </c>
      <c r="B46" s="171" t="s">
        <v>222</v>
      </c>
      <c r="C46" s="171" t="str">
        <f>IFERROR(VLOOKUP(A46,'Kategorisering af kcal'!$J$2:$K$18,2,FALSE),"")</f>
        <v/>
      </c>
      <c r="D46" s="171">
        <f>IF(COUNTIFS('Resultater - Danmark'!$D$3:$D$504,'Produktion &amp; forbrug'!A46,'Resultater - Danmark'!$A$3:$A$504,"Til energi")+COUNTIFS('Resultater - Danmark'!$D$3:$D$504,'Produktion &amp; forbrug'!A46,'Resultater - Danmark'!$A$3:$A$504,"Biogasanlæg")&gt;0,1,0)</f>
        <v>1</v>
      </c>
      <c r="E46" s="171">
        <v>0</v>
      </c>
      <c r="F46" s="171">
        <f t="shared" si="2"/>
        <v>2019</v>
      </c>
      <c r="G46" s="94">
        <f>SUMIFS('Resultat-Produktion &amp; forbrug'!G$4:G$291,'Resultat-Produktion &amp; forbrug'!$A$4:$A$291,'Produktion &amp; forbrug'!$A46,'Resultat-Produktion &amp; forbrug'!$E$4:$E$291,'Produktion &amp; forbrug'!$F46)</f>
        <v>17657000</v>
      </c>
      <c r="H46" s="94">
        <f>SUMIFS('Resultat-Produktion &amp; forbrug'!H$4:H$291,'Resultat-Produktion &amp; forbrug'!$A$4:$A$291,'Produktion &amp; forbrug'!$A46,'Resultat-Produktion &amp; forbrug'!$E$4:$E$291,'Produktion &amp; forbrug'!$F46)</f>
        <v>0</v>
      </c>
      <c r="I46" s="94">
        <f>SUMIFS('Resultat-Produktion &amp; forbrug'!I$4:I$291,'Resultat-Produktion &amp; forbrug'!$A$4:$A$291,'Produktion &amp; forbrug'!$A46,'Resultat-Produktion &amp; forbrug'!$E$4:$E$291,'Produktion &amp; forbrug'!$F46)</f>
        <v>0</v>
      </c>
      <c r="J46" s="94">
        <f>SUMIFS('Resultat-Produktion &amp; forbrug'!J$4:J$291,'Resultat-Produktion &amp; forbrug'!$A$4:$A$291,'Produktion &amp; forbrug'!$A46,'Resultat-Produktion &amp; forbrug'!$E$4:$E$291,'Produktion &amp; forbrug'!$F46)</f>
        <v>0</v>
      </c>
      <c r="K46" s="94">
        <f>SUMIFS('Resultat-Produktion &amp; forbrug'!K$4:K$291,'Resultat-Produktion &amp; forbrug'!$A$4:$A$291,'Produktion &amp; forbrug'!$A46,'Resultat-Produktion &amp; forbrug'!$E$4:$E$291,'Produktion &amp; forbrug'!$F46)</f>
        <v>2914869.3333333335</v>
      </c>
      <c r="L46" s="94">
        <f>SUMIFS('Resultat-Produktion &amp; forbrug'!L$4:L$291,'Resultat-Produktion &amp; forbrug'!$A$4:$A$291,'Produktion &amp; forbrug'!$A46,'Resultat-Produktion &amp; forbrug'!$E$4:$E$291,'Produktion &amp; forbrug'!$F46)</f>
        <v>14742130.666666664</v>
      </c>
      <c r="M46" s="94">
        <f>SUMIFS('Resultat-Produktion &amp; forbrug'!M$4:M$291,'Resultat-Produktion &amp; forbrug'!$A$4:$A$291,'Produktion &amp; forbrug'!$A46,'Resultat-Produktion &amp; forbrug'!$E$4:$E$291,'Produktion &amp; forbrug'!$F46)</f>
        <v>0</v>
      </c>
      <c r="N46" s="94">
        <f>SUMIFS('Resultat-Produktion &amp; forbrug'!N$4:N$291,'Resultat-Produktion &amp; forbrug'!$A$4:$A$291,'Produktion &amp; forbrug'!$A46,'Resultat-Produktion &amp; forbrug'!$E$4:$E$291,'Produktion &amp; forbrug'!$F46)</f>
        <v>0</v>
      </c>
      <c r="O46" s="179">
        <f t="shared" si="3"/>
        <v>0</v>
      </c>
      <c r="P46" s="94">
        <f t="shared" si="4"/>
        <v>0</v>
      </c>
      <c r="Q46" s="180">
        <f t="shared" si="5"/>
        <v>2914869.3333333335</v>
      </c>
      <c r="R46">
        <f>IFERROR(VLOOKUP(A46,[1]Energiindhold!$A$2:$C$11,3,FALSE),IFERROR(VLOOKUP(A46,[1]Biogasudbytte!$A$2:$B$18,2,FALSE)*[1]Energiindhold!$C$10,0))*P46</f>
        <v>0</v>
      </c>
      <c r="S46">
        <f>IF(A46&lt;&gt;"Biogas",IFERROR(VLOOKUP(A46,[1]Biogasudbytte!$A$2:$B$18,2,FALSE)*[1]Energiindhold!$C$10,0)*K46*IFERROR(VLOOKUP(A46,Biogasanlæg!$F$3:$G$8,2,FALSE),1)+IFERROR(VLOOKUP(A46,[1]Energiindhold!$A$2:$C$11,3,FALSE),0)*M46+IF(F46&lt;&gt;År1,R46,0),0)</f>
        <v>1.2557257088000002</v>
      </c>
      <c r="T46">
        <f>IFERROR(VLOOKUP(A46,[1]Biogasudbytte!$A$2:$B$18,2,FALSE)*[1]Energiindhold!$C$10,0)*K46*IFERROR(VLOOKUP(A46,Biogasanlæg!$F$3:$G$8,2,FALSE),1)</f>
        <v>1.2557257088000002</v>
      </c>
      <c r="U46" s="170">
        <f t="shared" si="6"/>
        <v>0</v>
      </c>
      <c r="V46" s="169">
        <f>P46*IFERROR(VLOOKUP(A46,[1]Tørstofindhold!A$2:B$24,2,FALSE),0)</f>
        <v>0</v>
      </c>
      <c r="W46">
        <f>IF(F46=År1,Q46,SUM(P46,Q46))*IFERROR(VLOOKUP(A46,[1]Tørstofindhold!A$2:B$24,2,FALSE),0)</f>
        <v>145743.46666666667</v>
      </c>
      <c r="X46">
        <f>K46*IFERROR(VLOOKUP(A46,[1]Tørstofindhold!A$2:B$24,2,FALSE),0)</f>
        <v>145743.46666666667</v>
      </c>
      <c r="Y46" s="170">
        <f t="shared" si="7"/>
        <v>0</v>
      </c>
      <c r="Z46">
        <f t="shared" si="9"/>
        <v>0</v>
      </c>
      <c r="AA46">
        <f t="shared" si="10"/>
        <v>0</v>
      </c>
      <c r="AC46" s="94">
        <f t="shared" si="8"/>
        <v>0</v>
      </c>
      <c r="AD46">
        <f>AC46*E46*10000*VLOOKUP(A46,[1]kcal!$A$2:$C$49,3,FALSE)/1000000000000</f>
        <v>0</v>
      </c>
    </row>
    <row r="47" spans="1:34" x14ac:dyDescent="0.25">
      <c r="A47" s="171" t="s">
        <v>13</v>
      </c>
      <c r="B47" s="171"/>
      <c r="C47" s="171" t="str">
        <f>IFERROR(VLOOKUP(A47,'Kategorisering af kcal'!$J$2:$K$18,2,FALSE),"")</f>
        <v>Kød</v>
      </c>
      <c r="D47" s="171">
        <f>IF(COUNTIFS('Resultater - Danmark'!$D$3:$D$504,'Produktion &amp; forbrug'!A47,'Resultater - Danmark'!$A$3:$A$504,"Til energi")+COUNTIFS('Resultater - Danmark'!$D$3:$D$504,'Produktion &amp; forbrug'!A47,'Resultater - Danmark'!$A$3:$A$504,"Biogasanlæg")&gt;0,1,0)</f>
        <v>0</v>
      </c>
      <c r="E47" s="171">
        <v>1</v>
      </c>
      <c r="F47" s="171">
        <f t="shared" si="2"/>
        <v>2019</v>
      </c>
      <c r="G47" s="94">
        <f>SUMIFS('Resultat-Produktion &amp; forbrug'!G$4:G$291,'Resultat-Produktion &amp; forbrug'!$A$4:$A$291,'Produktion &amp; forbrug'!$A47,'Resultat-Produktion &amp; forbrug'!$E$4:$E$291,'Produktion &amp; forbrug'!$F47)</f>
        <v>1601127.6966659406</v>
      </c>
      <c r="H47" s="94">
        <f>SUMIFS('Resultat-Produktion &amp; forbrug'!H$4:H$291,'Resultat-Produktion &amp; forbrug'!$A$4:$A$291,'Produktion &amp; forbrug'!$A47,'Resultat-Produktion &amp; forbrug'!$E$4:$E$291,'Produktion &amp; forbrug'!$F47)</f>
        <v>0</v>
      </c>
      <c r="I47" s="94">
        <f>SUMIFS('Resultat-Produktion &amp; forbrug'!I$4:I$291,'Resultat-Produktion &amp; forbrug'!$A$4:$A$291,'Produktion &amp; forbrug'!$A47,'Resultat-Produktion &amp; forbrug'!$E$4:$E$291,'Produktion &amp; forbrug'!$F47)</f>
        <v>0</v>
      </c>
      <c r="J47" s="94">
        <f>SUMIFS('Resultat-Produktion &amp; forbrug'!J$4:J$291,'Resultat-Produktion &amp; forbrug'!$A$4:$A$291,'Produktion &amp; forbrug'!$A47,'Resultat-Produktion &amp; forbrug'!$E$4:$E$291,'Produktion &amp; forbrug'!$F47)</f>
        <v>218476.26548703379</v>
      </c>
      <c r="K47" s="94">
        <f>SUMIFS('Resultat-Produktion &amp; forbrug'!K$4:K$291,'Resultat-Produktion &amp; forbrug'!$A$4:$A$291,'Produktion &amp; forbrug'!$A47,'Resultat-Produktion &amp; forbrug'!$E$4:$E$291,'Produktion &amp; forbrug'!$F47)</f>
        <v>0</v>
      </c>
      <c r="L47" s="94">
        <f>SUMIFS('Resultat-Produktion &amp; forbrug'!L$4:L$291,'Resultat-Produktion &amp; forbrug'!$A$4:$A$291,'Produktion &amp; forbrug'!$A47,'Resultat-Produktion &amp; forbrug'!$E$4:$E$291,'Produktion &amp; forbrug'!$F47)</f>
        <v>0</v>
      </c>
      <c r="M47" s="94">
        <f>SUMIFS('Resultat-Produktion &amp; forbrug'!M$4:M$291,'Resultat-Produktion &amp; forbrug'!$A$4:$A$291,'Produktion &amp; forbrug'!$A47,'Resultat-Produktion &amp; forbrug'!$E$4:$E$291,'Produktion &amp; forbrug'!$F47)</f>
        <v>0</v>
      </c>
      <c r="N47" s="94">
        <f>SUMIFS('Resultat-Produktion &amp; forbrug'!N$4:N$291,'Resultat-Produktion &amp; forbrug'!$A$4:$A$291,'Produktion &amp; forbrug'!$A47,'Resultat-Produktion &amp; forbrug'!$E$4:$E$291,'Produktion &amp; forbrug'!$F47)</f>
        <v>0</v>
      </c>
      <c r="O47" s="179">
        <f t="shared" si="3"/>
        <v>1382651.4311789067</v>
      </c>
      <c r="P47" s="94">
        <f t="shared" si="4"/>
        <v>0</v>
      </c>
      <c r="Q47" s="180">
        <f t="shared" si="5"/>
        <v>0</v>
      </c>
      <c r="R47">
        <f>IFERROR(VLOOKUP(A47,[1]Energiindhold!$A$2:$C$11,3,FALSE),IFERROR(VLOOKUP(A47,[1]Biogasudbytte!$A$2:$B$18,2,FALSE)*[1]Energiindhold!$C$10,0))*P47</f>
        <v>0</v>
      </c>
      <c r="S47">
        <f>IF(A47&lt;&gt;"Biogas",IFERROR(VLOOKUP(A47,[1]Biogasudbytte!$A$2:$B$18,2,FALSE)*[1]Energiindhold!$C$10,0)*K47*IFERROR(VLOOKUP(A47,Biogasanlæg!$F$3:$G$8,2,FALSE),1)+IFERROR(VLOOKUP(A47,[1]Energiindhold!$A$2:$C$11,3,FALSE),0)*M47+IF(F47&lt;&gt;År1,R47,0),0)</f>
        <v>0</v>
      </c>
      <c r="T47">
        <f>IFERROR(VLOOKUP(A47,[1]Biogasudbytte!$A$2:$B$18,2,FALSE)*[1]Energiindhold!$C$10,0)*K47*IFERROR(VLOOKUP(A47,Biogasanlæg!$F$3:$G$8,2,FALSE),1)</f>
        <v>0</v>
      </c>
      <c r="U47" s="170">
        <f t="shared" si="6"/>
        <v>0</v>
      </c>
      <c r="V47" s="169">
        <f>P47*IFERROR(VLOOKUP(A47,[1]Tørstofindhold!A$2:B$24,2,FALSE),0)</f>
        <v>0</v>
      </c>
      <c r="W47">
        <f>IF(F47=År1,Q47,SUM(P47,Q47))*IFERROR(VLOOKUP(A47,[1]Tørstofindhold!A$2:B$24,2,FALSE),0)</f>
        <v>0</v>
      </c>
      <c r="X47">
        <f>K47*IFERROR(VLOOKUP(A47,[1]Tørstofindhold!A$2:B$24,2,FALSE),0)</f>
        <v>0</v>
      </c>
      <c r="Y47" s="170">
        <f t="shared" si="7"/>
        <v>0</v>
      </c>
      <c r="Z47">
        <f t="shared" si="9"/>
        <v>0</v>
      </c>
      <c r="AA47">
        <f t="shared" si="10"/>
        <v>1</v>
      </c>
      <c r="AC47" s="94">
        <f t="shared" si="8"/>
        <v>1601127.6966659406</v>
      </c>
      <c r="AD47">
        <f>AC47*E47*10000*VLOOKUP(A47,[1]kcal!$A$2:$C$49,3,FALSE)/1000000000000</f>
        <v>3.1221990084985847</v>
      </c>
      <c r="AG47" s="94"/>
      <c r="AH47" s="401"/>
    </row>
    <row r="48" spans="1:34" x14ac:dyDescent="0.25">
      <c r="A48" s="171" t="s">
        <v>99</v>
      </c>
      <c r="B48" s="171" t="s">
        <v>226</v>
      </c>
      <c r="C48" s="171" t="str">
        <f>IFERROR(VLOOKUP(A48,'Kategorisering af kcal'!$J$2:$K$18,2,FALSE),"")</f>
        <v>Fisk mm</v>
      </c>
      <c r="D48" s="171">
        <f>IF(COUNTIFS('Resultater - Danmark'!$D$3:$D$504,'Produktion &amp; forbrug'!A48,'Resultater - Danmark'!$A$3:$A$504,"Til energi")+COUNTIFS('Resultater - Danmark'!$D$3:$D$504,'Produktion &amp; forbrug'!A48,'Resultater - Danmark'!$A$3:$A$504,"Biogasanlæg")&gt;0,1,0)</f>
        <v>1</v>
      </c>
      <c r="E48" s="171">
        <v>1</v>
      </c>
      <c r="F48" s="171">
        <f t="shared" si="2"/>
        <v>2019</v>
      </c>
      <c r="G48" s="94">
        <f>SUMIFS('Resultat-Produktion &amp; forbrug'!G$4:G$291,'Resultat-Produktion &amp; forbrug'!$A$4:$A$291,'Produktion &amp; forbrug'!$A48,'Resultat-Produktion &amp; forbrug'!$E$4:$E$291,'Produktion &amp; forbrug'!$F48)</f>
        <v>76.5</v>
      </c>
      <c r="H48" s="94">
        <f ca="1">SUMIFS('Resultat-Produktion &amp; forbrug'!H$4:H$291,'Resultat-Produktion &amp; forbrug'!$A$4:$A$291,'Produktion &amp; forbrug'!$A48,'Resultat-Produktion &amp; forbrug'!$E$4:$E$291,'Produktion &amp; forbrug'!$F48)</f>
        <v>0</v>
      </c>
      <c r="I48" s="94">
        <f>SUMIFS('Resultat-Produktion &amp; forbrug'!I$4:I$291,'Resultat-Produktion &amp; forbrug'!$A$4:$A$291,'Produktion &amp; forbrug'!$A48,'Resultat-Produktion &amp; forbrug'!$E$4:$E$291,'Produktion &amp; forbrug'!$F48)</f>
        <v>0</v>
      </c>
      <c r="J48" s="94">
        <f>SUMIFS('Resultat-Produktion &amp; forbrug'!J$4:J$291,'Resultat-Produktion &amp; forbrug'!$A$4:$A$291,'Produktion &amp; forbrug'!$A48,'Resultat-Produktion &amp; forbrug'!$E$4:$E$291,'Produktion &amp; forbrug'!$F48)</f>
        <v>0</v>
      </c>
      <c r="K48" s="94">
        <f>SUMIFS('Resultat-Produktion &amp; forbrug'!K$4:K$291,'Resultat-Produktion &amp; forbrug'!$A$4:$A$291,'Produktion &amp; forbrug'!$A48,'Resultat-Produktion &amp; forbrug'!$E$4:$E$291,'Produktion &amp; forbrug'!$F48)</f>
        <v>0</v>
      </c>
      <c r="L48" s="94">
        <f>SUMIFS('Resultat-Produktion &amp; forbrug'!L$4:L$291,'Resultat-Produktion &amp; forbrug'!$A$4:$A$291,'Produktion &amp; forbrug'!$A48,'Resultat-Produktion &amp; forbrug'!$E$4:$E$291,'Produktion &amp; forbrug'!$F48)</f>
        <v>0</v>
      </c>
      <c r="M48" s="94">
        <f>SUMIFS('Resultat-Produktion &amp; forbrug'!M$4:M$291,'Resultat-Produktion &amp; forbrug'!$A$4:$A$291,'Produktion &amp; forbrug'!$A48,'Resultat-Produktion &amp; forbrug'!$E$4:$E$291,'Produktion &amp; forbrug'!$F48)</f>
        <v>0</v>
      </c>
      <c r="N48" s="94">
        <f>SUMIFS('Resultat-Produktion &amp; forbrug'!N$4:N$291,'Resultat-Produktion &amp; forbrug'!$A$4:$A$291,'Produktion &amp; forbrug'!$A48,'Resultat-Produktion &amp; forbrug'!$E$4:$E$291,'Produktion &amp; forbrug'!$F48)</f>
        <v>0</v>
      </c>
      <c r="O48" s="179">
        <f t="shared" ca="1" si="3"/>
        <v>76.5</v>
      </c>
      <c r="P48" s="94">
        <f t="shared" ca="1" si="4"/>
        <v>76.5</v>
      </c>
      <c r="Q48" s="180">
        <f t="shared" si="5"/>
        <v>0</v>
      </c>
      <c r="R48">
        <f ca="1">IFERROR(VLOOKUP(A48,[1]Energiindhold!$A$2:$C$11,3,FALSE),IFERROR(VLOOKUP(A48,[1]Biogasudbytte!$A$2:$B$18,2,FALSE)*[1]Energiindhold!$C$10,0))*P48</f>
        <v>6.8658750000000004E-5</v>
      </c>
      <c r="S48">
        <f>IF(A48&lt;&gt;"Biogas",IFERROR(VLOOKUP(A48,[1]Biogasudbytte!$A$2:$B$18,2,FALSE)*[1]Energiindhold!$C$10,0)*K48*IFERROR(VLOOKUP(A48,Biogasanlæg!$F$3:$G$8,2,FALSE),1)+IFERROR(VLOOKUP(A48,[1]Energiindhold!$A$2:$C$11,3,FALSE),0)*M48+IF(F48&lt;&gt;År1,R48,0),0)</f>
        <v>0</v>
      </c>
      <c r="T48">
        <f>IFERROR(VLOOKUP(A48,[1]Biogasudbytte!$A$2:$B$18,2,FALSE)*[1]Energiindhold!$C$10,0)*K48*IFERROR(VLOOKUP(A48,Biogasanlæg!$F$3:$G$8,2,FALSE),1)</f>
        <v>0</v>
      </c>
      <c r="U48" s="170">
        <f t="shared" si="6"/>
        <v>0</v>
      </c>
      <c r="V48" s="169">
        <f ca="1">P48*IFERROR(VLOOKUP(A48,[1]Tørstofindhold!A$2:B$24,2,FALSE),0)</f>
        <v>11.475</v>
      </c>
      <c r="W48">
        <f>IF(F48=År1,Q48,SUM(P48,Q48))*IFERROR(VLOOKUP(A48,[1]Tørstofindhold!A$2:B$24,2,FALSE),0)</f>
        <v>0</v>
      </c>
      <c r="X48">
        <f>K48*IFERROR(VLOOKUP(A48,[1]Tørstofindhold!A$2:B$24,2,FALSE),0)</f>
        <v>0</v>
      </c>
      <c r="Y48" s="170">
        <f t="shared" si="7"/>
        <v>0</v>
      </c>
      <c r="Z48">
        <f t="shared" ca="1" si="9"/>
        <v>0</v>
      </c>
      <c r="AA48">
        <f t="shared" ca="1" si="10"/>
        <v>1</v>
      </c>
      <c r="AC48" s="94">
        <f t="shared" ca="1" si="8"/>
        <v>76.5</v>
      </c>
      <c r="AD48">
        <f ca="1">AC48*E48*10000*VLOOKUP(A48,[1]kcal!$A$2:$C$49,3,FALSE)/1000000000000</f>
        <v>3.1211999999999999E-5</v>
      </c>
    </row>
    <row r="49" spans="1:30" x14ac:dyDescent="0.25">
      <c r="A49" s="171" t="s">
        <v>104</v>
      </c>
      <c r="B49" s="171"/>
      <c r="C49" s="171" t="str">
        <f>IFERROR(VLOOKUP(A49,'Kategorisering af kcal'!$J$2:$K$18,2,FALSE),"")</f>
        <v/>
      </c>
      <c r="D49" s="171">
        <f>IF(COUNTIFS('Resultater - Danmark'!$D$3:$D$504,'Produktion &amp; forbrug'!A49,'Resultater - Danmark'!$A$3:$A$504,"Til energi")+COUNTIFS('Resultater - Danmark'!$D$3:$D$504,'Produktion &amp; forbrug'!A49,'Resultater - Danmark'!$A$3:$A$504,"Biogasanlæg")&gt;0,1,0)</f>
        <v>1</v>
      </c>
      <c r="E49" s="171">
        <v>0</v>
      </c>
      <c r="F49" s="171">
        <f t="shared" si="2"/>
        <v>2019</v>
      </c>
      <c r="G49" s="94">
        <f>SUMIFS('Resultat-Produktion &amp; forbrug'!G$4:G$291,'Resultat-Produktion &amp; forbrug'!$A$4:$A$291,'Produktion &amp; forbrug'!$A49,'Resultat-Produktion &amp; forbrug'!$E$4:$E$291,'Produktion &amp; forbrug'!$F49)</f>
        <v>0</v>
      </c>
      <c r="H49" s="94">
        <f>SUMIFS('Resultat-Produktion &amp; forbrug'!H$4:H$291,'Resultat-Produktion &amp; forbrug'!$A$4:$A$291,'Produktion &amp; forbrug'!$A49,'Resultat-Produktion &amp; forbrug'!$E$4:$E$291,'Produktion &amp; forbrug'!$F49)</f>
        <v>0</v>
      </c>
      <c r="I49" s="94">
        <f>SUMIFS('Resultat-Produktion &amp; forbrug'!I$4:I$291,'Resultat-Produktion &amp; forbrug'!$A$4:$A$291,'Produktion &amp; forbrug'!$A49,'Resultat-Produktion &amp; forbrug'!$E$4:$E$291,'Produktion &amp; forbrug'!$F49)</f>
        <v>0</v>
      </c>
      <c r="J49" s="94">
        <f>SUMIFS('Resultat-Produktion &amp; forbrug'!J$4:J$291,'Resultat-Produktion &amp; forbrug'!$A$4:$A$291,'Produktion &amp; forbrug'!$A49,'Resultat-Produktion &amp; forbrug'!$E$4:$E$291,'Produktion &amp; forbrug'!$F49)</f>
        <v>0</v>
      </c>
      <c r="K49" s="94">
        <f>SUMIFS('Resultat-Produktion &amp; forbrug'!K$4:K$291,'Resultat-Produktion &amp; forbrug'!$A$4:$A$291,'Produktion &amp; forbrug'!$A49,'Resultat-Produktion &amp; forbrug'!$E$4:$E$291,'Produktion &amp; forbrug'!$F49)</f>
        <v>0</v>
      </c>
      <c r="L49" s="94">
        <f>SUMIFS('Resultat-Produktion &amp; forbrug'!L$4:L$291,'Resultat-Produktion &amp; forbrug'!$A$4:$A$291,'Produktion &amp; forbrug'!$A49,'Resultat-Produktion &amp; forbrug'!$E$4:$E$291,'Produktion &amp; forbrug'!$F49)</f>
        <v>0</v>
      </c>
      <c r="M49" s="94">
        <f>SUMIFS('Resultat-Produktion &amp; forbrug'!M$4:M$291,'Resultat-Produktion &amp; forbrug'!$A$4:$A$291,'Produktion &amp; forbrug'!$A49,'Resultat-Produktion &amp; forbrug'!$E$4:$E$291,'Produktion &amp; forbrug'!$F49)</f>
        <v>0</v>
      </c>
      <c r="N49" s="94">
        <f>SUMIFS('Resultat-Produktion &amp; forbrug'!N$4:N$291,'Resultat-Produktion &amp; forbrug'!$A$4:$A$291,'Produktion &amp; forbrug'!$A49,'Resultat-Produktion &amp; forbrug'!$E$4:$E$291,'Produktion &amp; forbrug'!$F49)</f>
        <v>0</v>
      </c>
      <c r="O49" s="179">
        <f t="shared" si="3"/>
        <v>0</v>
      </c>
      <c r="P49" s="94">
        <f t="shared" si="4"/>
        <v>0</v>
      </c>
      <c r="Q49" s="180">
        <f t="shared" si="5"/>
        <v>0</v>
      </c>
      <c r="R49">
        <f>IFERROR(VLOOKUP(A49,[1]Energiindhold!$A$2:$C$11,3,FALSE),IFERROR(VLOOKUP(A49,[1]Biogasudbytte!$A$2:$B$18,2,FALSE)*[1]Energiindhold!$C$10,0))*P49</f>
        <v>0</v>
      </c>
      <c r="S49">
        <f>IF(A49&lt;&gt;"Biogas",IFERROR(VLOOKUP(A49,[1]Biogasudbytte!$A$2:$B$18,2,FALSE)*[1]Energiindhold!$C$10,0)*K49*IFERROR(VLOOKUP(A49,Biogasanlæg!$F$3:$G$8,2,FALSE),1)+IFERROR(VLOOKUP(A49,[1]Energiindhold!$A$2:$C$11,3,FALSE),0)*M49+IF(F49&lt;&gt;År1,R49,0),0)</f>
        <v>0</v>
      </c>
      <c r="T49">
        <f>IFERROR(VLOOKUP(A49,[1]Biogasudbytte!$A$2:$B$18,2,FALSE)*[1]Energiindhold!$C$10,0)*K49*IFERROR(VLOOKUP(A49,Biogasanlæg!$F$3:$G$8,2,FALSE),1)</f>
        <v>0</v>
      </c>
      <c r="U49" s="170">
        <f t="shared" si="6"/>
        <v>0</v>
      </c>
      <c r="V49" s="169">
        <f>P49*IFERROR(VLOOKUP(A49,[1]Tørstofindhold!A$2:B$24,2,FALSE),0)</f>
        <v>0</v>
      </c>
      <c r="W49">
        <f>IF(F49=År1,Q49,SUM(P49,Q49))*IFERROR(VLOOKUP(A49,[1]Tørstofindhold!A$2:B$24,2,FALSE),0)</f>
        <v>0</v>
      </c>
      <c r="X49">
        <f>K49*IFERROR(VLOOKUP(A49,[1]Tørstofindhold!A$2:B$24,2,FALSE),0)</f>
        <v>0</v>
      </c>
      <c r="Y49" s="170">
        <f t="shared" si="7"/>
        <v>0</v>
      </c>
      <c r="Z49">
        <f t="shared" si="9"/>
        <v>0</v>
      </c>
      <c r="AA49">
        <f t="shared" si="10"/>
        <v>0</v>
      </c>
      <c r="AC49" s="94">
        <f t="shared" si="8"/>
        <v>0</v>
      </c>
      <c r="AD49">
        <f>AC49*E49*10000*VLOOKUP(A49,[1]kcal!$A$2:$C$49,3,FALSE)/1000000000000</f>
        <v>0</v>
      </c>
    </row>
    <row r="50" spans="1:30" x14ac:dyDescent="0.25">
      <c r="A50" s="171" t="s">
        <v>119</v>
      </c>
      <c r="B50" s="171" t="s">
        <v>225</v>
      </c>
      <c r="C50" s="171" t="str">
        <f>IFERROR(VLOOKUP(A50,'Kategorisering af kcal'!$J$2:$K$18,2,FALSE),"")</f>
        <v/>
      </c>
      <c r="D50" s="171">
        <f>IF(COUNTIFS('Resultater - Danmark'!$D$3:$D$504,'Produktion &amp; forbrug'!A50,'Resultater - Danmark'!$A$3:$A$504,"Til energi")+COUNTIFS('Resultater - Danmark'!$D$3:$D$504,'Produktion &amp; forbrug'!A50,'Resultater - Danmark'!$A$3:$A$504,"Biogasanlæg")&gt;0,1,0)</f>
        <v>1</v>
      </c>
      <c r="E50" s="171">
        <v>0</v>
      </c>
      <c r="F50" s="171">
        <f t="shared" si="2"/>
        <v>2019</v>
      </c>
      <c r="G50" s="94">
        <f ca="1">SUMIFS('Resultat-Produktion &amp; forbrug'!G$4:G$291,'Resultat-Produktion &amp; forbrug'!$A$4:$A$291,'Produktion &amp; forbrug'!$A50,'Resultat-Produktion &amp; forbrug'!$E$4:$E$291,'Produktion &amp; forbrug'!$F50)</f>
        <v>3010292.0648196544</v>
      </c>
      <c r="H50" s="94">
        <f>SUMIFS('Resultat-Produktion &amp; forbrug'!H$4:H$291,'Resultat-Produktion &amp; forbrug'!$A$4:$A$291,'Produktion &amp; forbrug'!$A50,'Resultat-Produktion &amp; forbrug'!$E$4:$E$291,'Produktion &amp; forbrug'!$F50)</f>
        <v>0</v>
      </c>
      <c r="I50" s="94">
        <f>SUMIFS('Resultat-Produktion &amp; forbrug'!I$4:I$291,'Resultat-Produktion &amp; forbrug'!$A$4:$A$291,'Produktion &amp; forbrug'!$A50,'Resultat-Produktion &amp; forbrug'!$E$4:$E$291,'Produktion &amp; forbrug'!$F50)</f>
        <v>0</v>
      </c>
      <c r="J50" s="94">
        <f>SUMIFS('Resultat-Produktion &amp; forbrug'!J$4:J$291,'Resultat-Produktion &amp; forbrug'!$A$4:$A$291,'Produktion &amp; forbrug'!$A50,'Resultat-Produktion &amp; forbrug'!$E$4:$E$291,'Produktion &amp; forbrug'!$F50)</f>
        <v>0</v>
      </c>
      <c r="K50" s="94">
        <f>SUMIFS('Resultat-Produktion &amp; forbrug'!K$4:K$291,'Resultat-Produktion &amp; forbrug'!$A$4:$A$291,'Produktion &amp; forbrug'!$A50,'Resultat-Produktion &amp; forbrug'!$E$4:$E$291,'Produktion &amp; forbrug'!$F50)</f>
        <v>0</v>
      </c>
      <c r="L50" s="94">
        <f>SUMIFS('Resultat-Produktion &amp; forbrug'!L$4:L$291,'Resultat-Produktion &amp; forbrug'!$A$4:$A$291,'Produktion &amp; forbrug'!$A50,'Resultat-Produktion &amp; forbrug'!$E$4:$E$291,'Produktion &amp; forbrug'!$F50)</f>
        <v>0</v>
      </c>
      <c r="M50" s="94">
        <f ca="1">SUMIFS('Resultat-Produktion &amp; forbrug'!M$4:M$291,'Resultat-Produktion &amp; forbrug'!$A$4:$A$291,'Produktion &amp; forbrug'!$A50,'Resultat-Produktion &amp; forbrug'!$E$4:$E$291,'Produktion &amp; forbrug'!$F50)</f>
        <v>3010292.0648196544</v>
      </c>
      <c r="N50" s="94">
        <f>SUMIFS('Resultat-Produktion &amp; forbrug'!N$4:N$291,'Resultat-Produktion &amp; forbrug'!$A$4:$A$291,'Produktion &amp; forbrug'!$A50,'Resultat-Produktion &amp; forbrug'!$E$4:$E$291,'Produktion &amp; forbrug'!$F50)</f>
        <v>0</v>
      </c>
      <c r="O50" s="179">
        <f t="shared" ca="1" si="3"/>
        <v>0</v>
      </c>
      <c r="P50" s="94">
        <f t="shared" ca="1" si="4"/>
        <v>0</v>
      </c>
      <c r="Q50" s="180">
        <f t="shared" ca="1" si="5"/>
        <v>3010292.0648196544</v>
      </c>
      <c r="R50">
        <f ca="1">IFERROR(VLOOKUP(A50,[1]Energiindhold!$A$2:$C$11,3,FALSE),IFERROR(VLOOKUP(A50,[1]Biogasudbytte!$A$2:$B$18,2,FALSE)*[1]Energiindhold!$C$10,0))*P50</f>
        <v>0</v>
      </c>
      <c r="S50">
        <f ca="1">IF(A50&lt;&gt;"Biogas",IFERROR(VLOOKUP(A50,[1]Biogasudbytte!$A$2:$B$18,2,FALSE)*[1]Energiindhold!$C$10,0)*K50*IFERROR(VLOOKUP(A50,Biogasanlæg!$F$3:$G$8,2,FALSE),1)+IFERROR(VLOOKUP(A50,[1]Energiindhold!$A$2:$C$11,3,FALSE),0)*M50+IF(F50&lt;&gt;År1,R50,0),0)</f>
        <v>43.629875452920864</v>
      </c>
      <c r="T50">
        <f>IFERROR(VLOOKUP(A50,[1]Biogasudbytte!$A$2:$B$18,2,FALSE)*[1]Energiindhold!$C$10,0)*K50*IFERROR(VLOOKUP(A50,Biogasanlæg!$F$3:$G$8,2,FALSE),1)</f>
        <v>0</v>
      </c>
      <c r="U50" s="170">
        <f t="shared" ca="1" si="6"/>
        <v>43.629875452920864</v>
      </c>
      <c r="V50" s="169">
        <f ca="1">P50*IFERROR(VLOOKUP(A50,[1]Tørstofindhold!A$2:B$24,2,FALSE),0)</f>
        <v>0</v>
      </c>
      <c r="W50">
        <f ca="1">IF(F50=År1,Q50,SUM(P50,Q50))*IFERROR(VLOOKUP(A50,[1]Tørstofindhold!A$2:B$24,2,FALSE),0)</f>
        <v>1488840.2837253874</v>
      </c>
      <c r="X50">
        <f>K50*IFERROR(VLOOKUP(A50,[1]Tørstofindhold!A$2:B$24,2,FALSE),0)</f>
        <v>0</v>
      </c>
      <c r="Y50" s="170">
        <f t="shared" ca="1" si="7"/>
        <v>1488840.2837253874</v>
      </c>
      <c r="Z50">
        <f t="shared" ca="1" si="9"/>
        <v>0</v>
      </c>
      <c r="AA50">
        <f t="shared" ca="1" si="10"/>
        <v>0</v>
      </c>
      <c r="AC50" s="94">
        <f t="shared" ca="1" si="8"/>
        <v>3010292.0648196544</v>
      </c>
      <c r="AD50">
        <f ca="1">AC50*E50*10000*VLOOKUP(A50,[1]kcal!$A$2:$C$49,3,FALSE)/1000000000000</f>
        <v>0</v>
      </c>
    </row>
    <row r="51" spans="1:30" x14ac:dyDescent="0.25">
      <c r="A51" s="171" t="s">
        <v>118</v>
      </c>
      <c r="B51" s="171"/>
      <c r="C51" s="171" t="str">
        <f>IFERROR(VLOOKUP(A51,'Kategorisering af kcal'!$J$2:$K$18,2,FALSE),"")</f>
        <v/>
      </c>
      <c r="D51" s="171">
        <f>IF(COUNTIFS('Resultater - Danmark'!$D$3:$D$504,'Produktion &amp; forbrug'!A51,'Resultater - Danmark'!$A$3:$A$504,"Til energi")+COUNTIFS('Resultater - Danmark'!$D$3:$D$504,'Produktion &amp; forbrug'!A51,'Resultater - Danmark'!$A$3:$A$504,"Biogasanlæg")&gt;0,1,0)</f>
        <v>0</v>
      </c>
      <c r="E51" s="171">
        <v>0</v>
      </c>
      <c r="F51" s="171">
        <f t="shared" si="2"/>
        <v>2019</v>
      </c>
      <c r="G51" s="94">
        <f ca="1">SUMIFS('Resultat-Produktion &amp; forbrug'!G$4:G$291,'Resultat-Produktion &amp; forbrug'!$A$4:$A$291,'Produktion &amp; forbrug'!$A51,'Resultat-Produktion &amp; forbrug'!$E$4:$E$291,'Produktion &amp; forbrug'!$F51)</f>
        <v>827707.93518034508</v>
      </c>
      <c r="H51" s="94">
        <f>SUMIFS('Resultat-Produktion &amp; forbrug'!H$4:H$291,'Resultat-Produktion &amp; forbrug'!$A$4:$A$291,'Produktion &amp; forbrug'!$A51,'Resultat-Produktion &amp; forbrug'!$E$4:$E$291,'Produktion &amp; forbrug'!$F51)</f>
        <v>0</v>
      </c>
      <c r="I51" s="94">
        <f>SUMIFS('Resultat-Produktion &amp; forbrug'!I$4:I$291,'Resultat-Produktion &amp; forbrug'!$A$4:$A$291,'Produktion &amp; forbrug'!$A51,'Resultat-Produktion &amp; forbrug'!$E$4:$E$291,'Produktion &amp; forbrug'!$F51)</f>
        <v>0</v>
      </c>
      <c r="J51" s="94">
        <f>SUMIFS('Resultat-Produktion &amp; forbrug'!J$4:J$291,'Resultat-Produktion &amp; forbrug'!$A$4:$A$291,'Produktion &amp; forbrug'!$A51,'Resultat-Produktion &amp; forbrug'!$E$4:$E$291,'Produktion &amp; forbrug'!$F51)</f>
        <v>0</v>
      </c>
      <c r="K51" s="94">
        <f>SUMIFS('Resultat-Produktion &amp; forbrug'!K$4:K$291,'Resultat-Produktion &amp; forbrug'!$A$4:$A$291,'Produktion &amp; forbrug'!$A51,'Resultat-Produktion &amp; forbrug'!$E$4:$E$291,'Produktion &amp; forbrug'!$F51)</f>
        <v>0</v>
      </c>
      <c r="L51" s="94">
        <f>SUMIFS('Resultat-Produktion &amp; forbrug'!L$4:L$291,'Resultat-Produktion &amp; forbrug'!$A$4:$A$291,'Produktion &amp; forbrug'!$A51,'Resultat-Produktion &amp; forbrug'!$E$4:$E$291,'Produktion &amp; forbrug'!$F51)</f>
        <v>0</v>
      </c>
      <c r="M51" s="94">
        <f>SUMIFS('Resultat-Produktion &amp; forbrug'!M$4:M$291,'Resultat-Produktion &amp; forbrug'!$A$4:$A$291,'Produktion &amp; forbrug'!$A51,'Resultat-Produktion &amp; forbrug'!$E$4:$E$291,'Produktion &amp; forbrug'!$F51)</f>
        <v>0</v>
      </c>
      <c r="N51" s="94">
        <f ca="1">SUMIFS('Resultat-Produktion &amp; forbrug'!N$4:N$291,'Resultat-Produktion &amp; forbrug'!$A$4:$A$291,'Produktion &amp; forbrug'!$A51,'Resultat-Produktion &amp; forbrug'!$E$4:$E$291,'Produktion &amp; forbrug'!$F51)</f>
        <v>827707.93518034508</v>
      </c>
      <c r="O51" s="179">
        <f t="shared" ca="1" si="3"/>
        <v>0</v>
      </c>
      <c r="P51" s="94">
        <f t="shared" si="4"/>
        <v>0</v>
      </c>
      <c r="Q51" s="180">
        <f t="shared" si="5"/>
        <v>0</v>
      </c>
      <c r="R51">
        <f>IFERROR(VLOOKUP(A51,[1]Energiindhold!$A$2:$C$11,3,FALSE),IFERROR(VLOOKUP(A51,[1]Biogasudbytte!$A$2:$B$18,2,FALSE)*[1]Energiindhold!$C$10,0))*P51</f>
        <v>0</v>
      </c>
      <c r="S51">
        <f>IF(A51&lt;&gt;"Biogas",IFERROR(VLOOKUP(A51,[1]Biogasudbytte!$A$2:$B$18,2,FALSE)*[1]Energiindhold!$C$10,0)*K51*IFERROR(VLOOKUP(A51,Biogasanlæg!$F$3:$G$8,2,FALSE),1)+IFERROR(VLOOKUP(A51,[1]Energiindhold!$A$2:$C$11,3,FALSE),0)*M51+IF(F51&lt;&gt;År1,R51,0),0)</f>
        <v>0</v>
      </c>
      <c r="T51">
        <f>IFERROR(VLOOKUP(A51,[1]Biogasudbytte!$A$2:$B$18,2,FALSE)*[1]Energiindhold!$C$10,0)*K51*IFERROR(VLOOKUP(A51,Biogasanlæg!$F$3:$G$8,2,FALSE),1)</f>
        <v>0</v>
      </c>
      <c r="U51" s="170">
        <f t="shared" si="6"/>
        <v>0</v>
      </c>
      <c r="V51" s="169">
        <f>P51*IFERROR(VLOOKUP(A51,[1]Tørstofindhold!A$2:B$24,2,FALSE),0)</f>
        <v>0</v>
      </c>
      <c r="W51">
        <f>IF(F51=År1,Q51,SUM(P51,Q51))*IFERROR(VLOOKUP(A51,[1]Tørstofindhold!A$2:B$24,2,FALSE),0)</f>
        <v>0</v>
      </c>
      <c r="X51">
        <f>K51*IFERROR(VLOOKUP(A51,[1]Tørstofindhold!A$2:B$24,2,FALSE),0)</f>
        <v>0</v>
      </c>
      <c r="Y51" s="170">
        <f t="shared" si="7"/>
        <v>0</v>
      </c>
      <c r="Z51">
        <f t="shared" ca="1" si="9"/>
        <v>0</v>
      </c>
      <c r="AA51">
        <f t="shared" ca="1" si="10"/>
        <v>0</v>
      </c>
      <c r="AC51" s="94">
        <f t="shared" ca="1" si="8"/>
        <v>827707.93518034508</v>
      </c>
      <c r="AD51">
        <f ca="1">AC51*E51*10000*VLOOKUP(A51,[1]kcal!$A$2:$C$49,3,FALSE)/1000000000000</f>
        <v>0</v>
      </c>
    </row>
    <row r="52" spans="1:30" x14ac:dyDescent="0.25">
      <c r="A52" s="171" t="str">
        <f t="shared" ref="A52:A115" si="11">A4</f>
        <v>Æg</v>
      </c>
      <c r="B52" s="171" t="str">
        <f t="shared" ref="B52:B115" si="12">IF(B4&lt;&gt;"",B4,"")</f>
        <v/>
      </c>
      <c r="C52" s="171" t="str">
        <f>IFERROR(VLOOKUP(A52,'Kategorisering af kcal'!$J$2:$K$18,2,FALSE),"")</f>
        <v>Æg</v>
      </c>
      <c r="D52" s="171">
        <f>IF(COUNTIFS('Resultater - Danmark'!$D$3:$D$504,'Produktion &amp; forbrug'!A52,'Resultater - Danmark'!$A$3:$A$504,"Til energi")+COUNTIFS('Resultater - Danmark'!$D$3:$D$504,'Produktion &amp; forbrug'!A52,'Resultater - Danmark'!$A$3:$A$504,"Biogasanlæg")&gt;0,1,0)</f>
        <v>0</v>
      </c>
      <c r="E52" s="171">
        <f>E4</f>
        <v>1</v>
      </c>
      <c r="F52" s="171">
        <f t="shared" ref="F52:F99" si="13">År2</f>
        <v>2030</v>
      </c>
      <c r="G52" s="94">
        <f ca="1">SUMIFS('Resultat-Produktion &amp; forbrug'!G$4:G$291,'Resultat-Produktion &amp; forbrug'!$A$4:$A$291,'Produktion &amp; forbrug'!$A52,'Resultat-Produktion &amp; forbrug'!$E$4:$E$291,'Produktion &amp; forbrug'!$F52)</f>
        <v>231735.42929078528</v>
      </c>
      <c r="H52" s="94">
        <f>SUMIFS('Resultat-Produktion &amp; forbrug'!H$4:H$291,'Resultat-Produktion &amp; forbrug'!$A$4:$A$291,'Produktion &amp; forbrug'!$A52,'Resultat-Produktion &amp; forbrug'!$E$4:$E$291,'Produktion &amp; forbrug'!$F52)</f>
        <v>0</v>
      </c>
      <c r="I52" s="94">
        <f>SUMIFS('Resultat-Produktion &amp; forbrug'!I$4:I$291,'Resultat-Produktion &amp; forbrug'!$A$4:$A$291,'Produktion &amp; forbrug'!$A52,'Resultat-Produktion &amp; forbrug'!$E$4:$E$291,'Produktion &amp; forbrug'!$F52)</f>
        <v>0</v>
      </c>
      <c r="J52" s="94">
        <f>SUMIFS('Resultat-Produktion &amp; forbrug'!J$4:J$291,'Resultat-Produktion &amp; forbrug'!$A$4:$A$291,'Produktion &amp; forbrug'!$A52,'Resultat-Produktion &amp; forbrug'!$E$4:$E$291,'Produktion &amp; forbrug'!$F52)</f>
        <v>60789.12467762841</v>
      </c>
      <c r="K52" s="94">
        <f>SUMIFS('Resultat-Produktion &amp; forbrug'!K$4:K$291,'Resultat-Produktion &amp; forbrug'!$A$4:$A$291,'Produktion &amp; forbrug'!$A52,'Resultat-Produktion &amp; forbrug'!$E$4:$E$291,'Produktion &amp; forbrug'!$F52)</f>
        <v>0</v>
      </c>
      <c r="L52" s="94">
        <f>SUMIFS('Resultat-Produktion &amp; forbrug'!L$4:L$291,'Resultat-Produktion &amp; forbrug'!$A$4:$A$291,'Produktion &amp; forbrug'!$A52,'Resultat-Produktion &amp; forbrug'!$E$4:$E$291,'Produktion &amp; forbrug'!$F52)</f>
        <v>0</v>
      </c>
      <c r="M52" s="94">
        <f>SUMIFS('Resultat-Produktion &amp; forbrug'!M$4:M$291,'Resultat-Produktion &amp; forbrug'!$A$4:$A$291,'Produktion &amp; forbrug'!$A52,'Resultat-Produktion &amp; forbrug'!$E$4:$E$291,'Produktion &amp; forbrug'!$F52)</f>
        <v>0</v>
      </c>
      <c r="N52" s="94">
        <f>SUMIFS('Resultat-Produktion &amp; forbrug'!N$4:N$291,'Resultat-Produktion &amp; forbrug'!$A$4:$A$291,'Produktion &amp; forbrug'!$A52,'Resultat-Produktion &amp; forbrug'!$E$4:$E$291,'Produktion &amp; forbrug'!$F52)</f>
        <v>0</v>
      </c>
      <c r="O52" s="179">
        <f t="shared" ca="1" si="3"/>
        <v>170946.30461315688</v>
      </c>
      <c r="P52" s="94">
        <f t="shared" si="4"/>
        <v>0</v>
      </c>
      <c r="Q52" s="180">
        <f t="shared" si="5"/>
        <v>0</v>
      </c>
      <c r="R52">
        <f>IFERROR(VLOOKUP(A52,[1]Energiindhold!$A$2:$C$11,3,FALSE),IFERROR(VLOOKUP(A52,[1]Biogasudbytte!$A$2:$B$18,2,FALSE)*[1]Energiindhold!$C$10,0))*P52</f>
        <v>0</v>
      </c>
      <c r="S52">
        <f>IF(A52&lt;&gt;"Biogas",IFERROR(VLOOKUP(A52,[1]Biogasudbytte!$A$2:$B$18,2,FALSE)*[1]Energiindhold!$C$10,0)*K52*IFERROR(VLOOKUP(A52,Biogasanlæg!$F$3:$G$8,2,FALSE),1)+IFERROR(VLOOKUP(A52,[1]Energiindhold!$A$2:$C$11,3,FALSE),0)*M52+IF(F52&lt;&gt;År1,R52,0),0)</f>
        <v>0</v>
      </c>
      <c r="T52">
        <f>IFERROR(VLOOKUP(A52,[1]Biogasudbytte!$A$2:$B$18,2,FALSE)*[1]Energiindhold!$C$10,0)*K52*IFERROR(VLOOKUP(A52,Biogasanlæg!$F$3:$G$8,2,FALSE),1)</f>
        <v>0</v>
      </c>
      <c r="U52" s="170">
        <f t="shared" si="6"/>
        <v>0</v>
      </c>
      <c r="V52" s="169">
        <f>P52*IFERROR(VLOOKUP(A52,[1]Tørstofindhold!A$2:B$24,2,FALSE),0)</f>
        <v>0</v>
      </c>
      <c r="W52">
        <f>IF(F52=År1,Q52,SUM(P52,Q52))*IFERROR(VLOOKUP(A52,[1]Tørstofindhold!A$2:B$24,2,FALSE),0)</f>
        <v>0</v>
      </c>
      <c r="X52">
        <f>K52*IFERROR(VLOOKUP(A52,[1]Tørstofindhold!A$2:B$24,2,FALSE),0)</f>
        <v>0</v>
      </c>
      <c r="Y52" s="170">
        <f t="shared" si="7"/>
        <v>0</v>
      </c>
      <c r="Z52">
        <f t="shared" ca="1" si="9"/>
        <v>0</v>
      </c>
      <c r="AA52">
        <f t="shared" ca="1" si="10"/>
        <v>1</v>
      </c>
      <c r="AC52" s="94">
        <f t="shared" ca="1" si="8"/>
        <v>231735.42929078528</v>
      </c>
      <c r="AD52">
        <f ca="1">AC52*E52*10000*VLOOKUP(A52,[1]kcal!$A$2:$C$49,3,FALSE)/1000000000000</f>
        <v>0.31979489242128367</v>
      </c>
    </row>
    <row r="53" spans="1:30" x14ac:dyDescent="0.25">
      <c r="A53" s="171" t="str">
        <f t="shared" si="11"/>
        <v>Bælgsæd</v>
      </c>
      <c r="B53" s="171" t="str">
        <f t="shared" si="12"/>
        <v/>
      </c>
      <c r="C53" s="171" t="str">
        <f>IFERROR(VLOOKUP(A53,'Kategorisering af kcal'!$J$2:$K$18,2,FALSE),"")</f>
        <v>Bælgsæd</v>
      </c>
      <c r="D53" s="171">
        <f>IF(COUNTIFS('Resultater - Danmark'!$D$3:$D$504,'Produktion &amp; forbrug'!A53,'Resultater - Danmark'!$A$3:$A$504,"Til energi")+COUNTIFS('Resultater - Danmark'!$D$3:$D$504,'Produktion &amp; forbrug'!A53,'Resultater - Danmark'!$A$3:$A$504,"Biogasanlæg")&gt;0,1,0)</f>
        <v>0</v>
      </c>
      <c r="E53" s="171">
        <f t="shared" ref="E53:E116" si="14">E5</f>
        <v>1</v>
      </c>
      <c r="F53" s="171">
        <f t="shared" si="13"/>
        <v>2030</v>
      </c>
      <c r="G53" s="94">
        <f>SUMIFS('Resultat-Produktion &amp; forbrug'!G$4:G$291,'Resultat-Produktion &amp; forbrug'!$A$4:$A$291,'Produktion &amp; forbrug'!$A53,'Resultat-Produktion &amp; forbrug'!$E$4:$E$291,'Produktion &amp; forbrug'!$F53)</f>
        <v>284612.73912207026</v>
      </c>
      <c r="H53" s="94">
        <f ca="1">SUMIFS('Resultat-Produktion &amp; forbrug'!H$4:H$291,'Resultat-Produktion &amp; forbrug'!$A$4:$A$291,'Produktion &amp; forbrug'!$A53,'Resultat-Produktion &amp; forbrug'!$E$4:$E$291,'Produktion &amp; forbrug'!$F53)</f>
        <v>70594.781553755733</v>
      </c>
      <c r="I53" s="94">
        <f>SUMIFS('Resultat-Produktion &amp; forbrug'!I$4:I$291,'Resultat-Produktion &amp; forbrug'!$A$4:$A$291,'Produktion &amp; forbrug'!$A53,'Resultat-Produktion &amp; forbrug'!$E$4:$E$291,'Produktion &amp; forbrug'!$F53)</f>
        <v>0</v>
      </c>
      <c r="J53" s="94">
        <f>SUMIFS('Resultat-Produktion &amp; forbrug'!J$4:J$291,'Resultat-Produktion &amp; forbrug'!$A$4:$A$291,'Produktion &amp; forbrug'!$A53,'Resultat-Produktion &amp; forbrug'!$E$4:$E$291,'Produktion &amp; forbrug'!$F53)</f>
        <v>0</v>
      </c>
      <c r="K53" s="94">
        <f>SUMIFS('Resultat-Produktion &amp; forbrug'!K$4:K$291,'Resultat-Produktion &amp; forbrug'!$A$4:$A$291,'Produktion &amp; forbrug'!$A53,'Resultat-Produktion &amp; forbrug'!$E$4:$E$291,'Produktion &amp; forbrug'!$F53)</f>
        <v>0</v>
      </c>
      <c r="L53" s="94">
        <f>SUMIFS('Resultat-Produktion &amp; forbrug'!L$4:L$291,'Resultat-Produktion &amp; forbrug'!$A$4:$A$291,'Produktion &amp; forbrug'!$A53,'Resultat-Produktion &amp; forbrug'!$E$4:$E$291,'Produktion &amp; forbrug'!$F53)</f>
        <v>0</v>
      </c>
      <c r="M53" s="94">
        <f>SUMIFS('Resultat-Produktion &amp; forbrug'!M$4:M$291,'Resultat-Produktion &amp; forbrug'!$A$4:$A$291,'Produktion &amp; forbrug'!$A53,'Resultat-Produktion &amp; forbrug'!$E$4:$E$291,'Produktion &amp; forbrug'!$F53)</f>
        <v>0</v>
      </c>
      <c r="N53" s="94">
        <f>SUMIFS('Resultat-Produktion &amp; forbrug'!N$4:N$291,'Resultat-Produktion &amp; forbrug'!$A$4:$A$291,'Produktion &amp; forbrug'!$A53,'Resultat-Produktion &amp; forbrug'!$E$4:$E$291,'Produktion &amp; forbrug'!$F53)</f>
        <v>0</v>
      </c>
      <c r="O53" s="179">
        <f t="shared" ca="1" si="3"/>
        <v>214017.95756831451</v>
      </c>
      <c r="P53" s="94">
        <f t="shared" si="4"/>
        <v>0</v>
      </c>
      <c r="Q53" s="180">
        <f t="shared" si="5"/>
        <v>0</v>
      </c>
      <c r="R53">
        <f>IFERROR(VLOOKUP(A53,[1]Energiindhold!$A$2:$C$11,3,FALSE),IFERROR(VLOOKUP(A53,[1]Biogasudbytte!$A$2:$B$18,2,FALSE)*[1]Energiindhold!$C$10,0))*P53</f>
        <v>0</v>
      </c>
      <c r="S53">
        <f>IF(A53&lt;&gt;"Biogas",IFERROR(VLOOKUP(A53,[1]Biogasudbytte!$A$2:$B$18,2,FALSE)*[1]Energiindhold!$C$10,0)*K53*IFERROR(VLOOKUP(A53,Biogasanlæg!$F$3:$G$8,2,FALSE),1)+IFERROR(VLOOKUP(A53,[1]Energiindhold!$A$2:$C$11,3,FALSE),0)*M53+IF(F53&lt;&gt;År1,R53,0),0)</f>
        <v>0</v>
      </c>
      <c r="T53">
        <f>IFERROR(VLOOKUP(A53,[1]Biogasudbytte!$A$2:$B$18,2,FALSE)*[1]Energiindhold!$C$10,0)*K53*IFERROR(VLOOKUP(A53,Biogasanlæg!$F$3:$G$8,2,FALSE),1)</f>
        <v>0</v>
      </c>
      <c r="U53" s="170">
        <f t="shared" si="6"/>
        <v>0</v>
      </c>
      <c r="V53" s="169">
        <f>P53*IFERROR(VLOOKUP(A53,[1]Tørstofindhold!A$2:B$24,2,FALSE),0)</f>
        <v>0</v>
      </c>
      <c r="W53">
        <f>IF(F53=År1,Q53,SUM(P53,Q53))*IFERROR(VLOOKUP(A53,[1]Tørstofindhold!A$2:B$24,2,FALSE),0)</f>
        <v>0</v>
      </c>
      <c r="X53">
        <f>K53*IFERROR(VLOOKUP(A53,[1]Tørstofindhold!A$2:B$24,2,FALSE),0)</f>
        <v>0</v>
      </c>
      <c r="Y53" s="170">
        <f t="shared" si="7"/>
        <v>0</v>
      </c>
      <c r="Z53">
        <f t="shared" ca="1" si="9"/>
        <v>0</v>
      </c>
      <c r="AA53">
        <f t="shared" ca="1" si="10"/>
        <v>1</v>
      </c>
      <c r="AC53" s="94">
        <f t="shared" ca="1" si="8"/>
        <v>214017.95756831451</v>
      </c>
      <c r="AD53">
        <f ca="1">AC53*E53*10000*VLOOKUP(A53,[1]kcal!$A$2:$C$49,3,FALSE)/1000000000000</f>
        <v>1.4863547153119443</v>
      </c>
    </row>
    <row r="54" spans="1:30" x14ac:dyDescent="0.25">
      <c r="A54" s="171" t="str">
        <f t="shared" si="11"/>
        <v>Bioaffald</v>
      </c>
      <c r="B54" s="171" t="str">
        <f t="shared" si="12"/>
        <v>Bionedbrydeligt affald</v>
      </c>
      <c r="C54" s="171" t="str">
        <f>IFERROR(VLOOKUP(A54,'Kategorisering af kcal'!$J$2:$K$18,2,FALSE),"")</f>
        <v/>
      </c>
      <c r="D54" s="171">
        <f>IF(COUNTIFS('Resultater - Danmark'!$D$3:$D$504,'Produktion &amp; forbrug'!A54,'Resultater - Danmark'!$A$3:$A$504,"Til energi")+COUNTIFS('Resultater - Danmark'!$D$3:$D$504,'Produktion &amp; forbrug'!A54,'Resultater - Danmark'!$A$3:$A$504,"Biogasanlæg")&gt;0,1,0)</f>
        <v>1</v>
      </c>
      <c r="E54" s="171">
        <f t="shared" si="14"/>
        <v>0</v>
      </c>
      <c r="F54" s="171">
        <f t="shared" si="13"/>
        <v>2030</v>
      </c>
      <c r="G54" s="94">
        <f ca="1">SUMIFS('Resultat-Produktion &amp; forbrug'!G$4:G$291,'Resultat-Produktion &amp; forbrug'!$A$4:$A$291,'Produktion &amp; forbrug'!$A54,'Resultat-Produktion &amp; forbrug'!$E$4:$E$291,'Produktion &amp; forbrug'!$F54)</f>
        <v>363994.97174274386</v>
      </c>
      <c r="H54" s="94">
        <f>SUMIFS('Resultat-Produktion &amp; forbrug'!H$4:H$291,'Resultat-Produktion &amp; forbrug'!$A$4:$A$291,'Produktion &amp; forbrug'!$A54,'Resultat-Produktion &amp; forbrug'!$E$4:$E$291,'Produktion &amp; forbrug'!$F54)</f>
        <v>0</v>
      </c>
      <c r="I54" s="94">
        <f>SUMIFS('Resultat-Produktion &amp; forbrug'!I$4:I$291,'Resultat-Produktion &amp; forbrug'!$A$4:$A$291,'Produktion &amp; forbrug'!$A54,'Resultat-Produktion &amp; forbrug'!$E$4:$E$291,'Produktion &amp; forbrug'!$F54)</f>
        <v>0</v>
      </c>
      <c r="J54" s="94">
        <f>SUMIFS('Resultat-Produktion &amp; forbrug'!J$4:J$291,'Resultat-Produktion &amp; forbrug'!$A$4:$A$291,'Produktion &amp; forbrug'!$A54,'Resultat-Produktion &amp; forbrug'!$E$4:$E$291,'Produktion &amp; forbrug'!$F54)</f>
        <v>0</v>
      </c>
      <c r="K54" s="94">
        <f ca="1">SUMIFS('Resultat-Produktion &amp; forbrug'!K$4:K$291,'Resultat-Produktion &amp; forbrug'!$A$4:$A$291,'Produktion &amp; forbrug'!$A54,'Resultat-Produktion &amp; forbrug'!$E$4:$E$291,'Produktion &amp; forbrug'!$F54)</f>
        <v>0</v>
      </c>
      <c r="L54" s="94">
        <f>SUMIFS('Resultat-Produktion &amp; forbrug'!L$4:L$291,'Resultat-Produktion &amp; forbrug'!$A$4:$A$291,'Produktion &amp; forbrug'!$A54,'Resultat-Produktion &amp; forbrug'!$E$4:$E$291,'Produktion &amp; forbrug'!$F54)</f>
        <v>0</v>
      </c>
      <c r="M54" s="94">
        <f ca="1">SUMIFS('Resultat-Produktion &amp; forbrug'!M$4:M$291,'Resultat-Produktion &amp; forbrug'!$A$4:$A$291,'Produktion &amp; forbrug'!$A54,'Resultat-Produktion &amp; forbrug'!$E$4:$E$291,'Produktion &amp; forbrug'!$F54)</f>
        <v>363994.97174274386</v>
      </c>
      <c r="N54" s="94">
        <f ca="1">SUMIFS('Resultat-Produktion &amp; forbrug'!N$4:N$291,'Resultat-Produktion &amp; forbrug'!$A$4:$A$291,'Produktion &amp; forbrug'!$A54,'Resultat-Produktion &amp; forbrug'!$E$4:$E$291,'Produktion &amp; forbrug'!$F54)</f>
        <v>0</v>
      </c>
      <c r="O54" s="179">
        <f t="shared" ca="1" si="3"/>
        <v>0</v>
      </c>
      <c r="P54" s="94">
        <f t="shared" ca="1" si="4"/>
        <v>0</v>
      </c>
      <c r="Q54" s="180">
        <f t="shared" ca="1" si="5"/>
        <v>363994.97174274386</v>
      </c>
      <c r="R54">
        <f ca="1">IFERROR(VLOOKUP(A54,[1]Energiindhold!$A$2:$C$11,3,FALSE),IFERROR(VLOOKUP(A54,[1]Biogasudbytte!$A$2:$B$18,2,FALSE)*[1]Energiindhold!$C$10,0))*P54</f>
        <v>0</v>
      </c>
      <c r="S54">
        <f ca="1">IF(A54&lt;&gt;"Biogas",IFERROR(VLOOKUP(A54,[1]Biogasudbytte!$A$2:$B$18,2,FALSE)*[1]Energiindhold!$C$10,0)*K54*IFERROR(VLOOKUP(A54,Biogasanlæg!$F$3:$G$8,2,FALSE),1)+IFERROR(VLOOKUP(A54,[1]Energiindhold!$A$2:$C$11,3,FALSE),0)*M54+IF(F54&lt;&gt;År1,R54,0),0)</f>
        <v>6.4981185039678975</v>
      </c>
      <c r="T54">
        <f ca="1">IFERROR(VLOOKUP(A54,[1]Biogasudbytte!$A$2:$B$18,2,FALSE)*[1]Energiindhold!$C$10,0)*K54*IFERROR(VLOOKUP(A54,Biogasanlæg!$F$3:$G$8,2,FALSE),1)</f>
        <v>0</v>
      </c>
      <c r="U54" s="170">
        <f t="shared" ca="1" si="6"/>
        <v>6.4981185039678975</v>
      </c>
      <c r="V54" s="169">
        <f ca="1">P54*IFERROR(VLOOKUP(A54,[1]Tørstofindhold!A$2:B$24,2,FALSE),0)</f>
        <v>0</v>
      </c>
      <c r="W54">
        <f ca="1">IF(F54=År1,Q54,SUM(P54,Q54))*IFERROR(VLOOKUP(A54,[1]Tørstofindhold!A$2:B$24,2,FALSE),0)</f>
        <v>101918.5920879683</v>
      </c>
      <c r="X54">
        <f ca="1">K54*IFERROR(VLOOKUP(A54,[1]Tørstofindhold!A$2:B$24,2,FALSE),0)</f>
        <v>0</v>
      </c>
      <c r="Y54" s="170">
        <f t="shared" ca="1" si="7"/>
        <v>101918.5920879683</v>
      </c>
      <c r="Z54">
        <f t="shared" ca="1" si="9"/>
        <v>0</v>
      </c>
      <c r="AA54">
        <f t="shared" ca="1" si="10"/>
        <v>0</v>
      </c>
      <c r="AC54" s="94">
        <f t="shared" ca="1" si="8"/>
        <v>363994.97174274386</v>
      </c>
      <c r="AD54">
        <f ca="1">AC54*E54*10000*VLOOKUP(A54,[1]kcal!$A$2:$C$49,3,FALSE)/1000000000000</f>
        <v>0</v>
      </c>
    </row>
    <row r="55" spans="1:30" x14ac:dyDescent="0.25">
      <c r="A55" s="171" t="str">
        <f t="shared" si="11"/>
        <v>Biogas</v>
      </c>
      <c r="B55" s="171" t="str">
        <f t="shared" si="12"/>
        <v/>
      </c>
      <c r="C55" s="171" t="str">
        <f>IFERROR(VLOOKUP(A55,'Kategorisering af kcal'!$J$2:$K$18,2,FALSE),"")</f>
        <v/>
      </c>
      <c r="D55" s="171">
        <f>IF(COUNTIFS('Resultater - Danmark'!$D$3:$D$504,'Produktion &amp; forbrug'!A55,'Resultater - Danmark'!$A$3:$A$504,"Til energi")+COUNTIFS('Resultater - Danmark'!$D$3:$D$504,'Produktion &amp; forbrug'!A55,'Resultater - Danmark'!$A$3:$A$504,"Biogasanlæg")&gt;0,1,0)</f>
        <v>1</v>
      </c>
      <c r="E55" s="171">
        <f t="shared" si="14"/>
        <v>0</v>
      </c>
      <c r="F55" s="171">
        <f t="shared" si="13"/>
        <v>2030</v>
      </c>
      <c r="G55" s="94">
        <f ca="1">SUMIFS('Resultat-Produktion &amp; forbrug'!G$4:G$291,'Resultat-Produktion &amp; forbrug'!$A$4:$A$291,'Produktion &amp; forbrug'!$A55,'Resultat-Produktion &amp; forbrug'!$E$4:$E$291,'Produktion &amp; forbrug'!$F55)</f>
        <v>600506310.45722592</v>
      </c>
      <c r="H55" s="94">
        <f>SUMIFS('Resultat-Produktion &amp; forbrug'!H$4:H$291,'Resultat-Produktion &amp; forbrug'!$A$4:$A$291,'Produktion &amp; forbrug'!$A55,'Resultat-Produktion &amp; forbrug'!$E$4:$E$291,'Produktion &amp; forbrug'!$F55)</f>
        <v>0</v>
      </c>
      <c r="I55" s="94">
        <f>SUMIFS('Resultat-Produktion &amp; forbrug'!I$4:I$291,'Resultat-Produktion &amp; forbrug'!$A$4:$A$291,'Produktion &amp; forbrug'!$A55,'Resultat-Produktion &amp; forbrug'!$E$4:$E$291,'Produktion &amp; forbrug'!$F55)</f>
        <v>0</v>
      </c>
      <c r="J55" s="94">
        <f>SUMIFS('Resultat-Produktion &amp; forbrug'!J$4:J$291,'Resultat-Produktion &amp; forbrug'!$A$4:$A$291,'Produktion &amp; forbrug'!$A55,'Resultat-Produktion &amp; forbrug'!$E$4:$E$291,'Produktion &amp; forbrug'!$F55)</f>
        <v>0</v>
      </c>
      <c r="K55" s="94">
        <f>SUMIFS('Resultat-Produktion &amp; forbrug'!K$4:K$291,'Resultat-Produktion &amp; forbrug'!$A$4:$A$291,'Produktion &amp; forbrug'!$A55,'Resultat-Produktion &amp; forbrug'!$E$4:$E$291,'Produktion &amp; forbrug'!$F55)</f>
        <v>0</v>
      </c>
      <c r="L55" s="94">
        <f>SUMIFS('Resultat-Produktion &amp; forbrug'!L$4:L$291,'Resultat-Produktion &amp; forbrug'!$A$4:$A$291,'Produktion &amp; forbrug'!$A55,'Resultat-Produktion &amp; forbrug'!$E$4:$E$291,'Produktion &amp; forbrug'!$F55)</f>
        <v>0</v>
      </c>
      <c r="M55" s="94">
        <f ca="1">SUMIFS('Resultat-Produktion &amp; forbrug'!M$4:M$291,'Resultat-Produktion &amp; forbrug'!$A$4:$A$291,'Produktion &amp; forbrug'!$A55,'Resultat-Produktion &amp; forbrug'!$E$4:$E$291,'Produktion &amp; forbrug'!$F55)</f>
        <v>600506310.45722592</v>
      </c>
      <c r="N55" s="94">
        <f>SUMIFS('Resultat-Produktion &amp; forbrug'!N$4:N$291,'Resultat-Produktion &amp; forbrug'!$A$4:$A$291,'Produktion &amp; forbrug'!$A55,'Resultat-Produktion &amp; forbrug'!$E$4:$E$291,'Produktion &amp; forbrug'!$F55)</f>
        <v>0</v>
      </c>
      <c r="O55" s="179">
        <f t="shared" ca="1" si="3"/>
        <v>0</v>
      </c>
      <c r="P55" s="94">
        <f t="shared" ca="1" si="4"/>
        <v>0</v>
      </c>
      <c r="Q55" s="180">
        <f t="shared" ca="1" si="5"/>
        <v>600506310.45722592</v>
      </c>
      <c r="R55">
        <f ca="1">IFERROR(VLOOKUP(A55,[1]Energiindhold!$A$2:$C$11,3,FALSE),IFERROR(VLOOKUP(A55,[1]Biogasudbytte!$A$2:$B$18,2,FALSE)*[1]Energiindhold!$C$10,0))*P55</f>
        <v>0</v>
      </c>
      <c r="S55">
        <f>IF(A55&lt;&gt;"Biogas",IFERROR(VLOOKUP(A55,[1]Biogasudbytte!$A$2:$B$18,2,FALSE)*[1]Energiindhold!$C$10,0)*K55*IFERROR(VLOOKUP(A55,Biogasanlæg!$F$3:$G$8,2,FALSE),1)+IFERROR(VLOOKUP(A55,[1]Energiindhold!$A$2:$C$11,3,FALSE),0)*M55+IF(F55&lt;&gt;År1,R55,0),0)</f>
        <v>0</v>
      </c>
      <c r="T55">
        <f>IFERROR(VLOOKUP(A55,[1]Biogasudbytte!$A$2:$B$18,2,FALSE)*[1]Energiindhold!$C$10,0)*K55*IFERROR(VLOOKUP(A55,Biogasanlæg!$F$3:$G$8,2,FALSE),1)</f>
        <v>0</v>
      </c>
      <c r="U55" s="170">
        <f t="shared" si="6"/>
        <v>0</v>
      </c>
      <c r="V55" s="169">
        <f ca="1">P55*IFERROR(VLOOKUP(A55,[1]Tørstofindhold!A$2:B$24,2,FALSE),0)</f>
        <v>0</v>
      </c>
      <c r="W55">
        <f ca="1">IF(F55=År1,Q55,SUM(P55,Q55))*IFERROR(VLOOKUP(A55,[1]Tørstofindhold!A$2:B$24,2,FALSE),0)</f>
        <v>0</v>
      </c>
      <c r="X55">
        <f>K55*IFERROR(VLOOKUP(A55,[1]Tørstofindhold!A$2:B$24,2,FALSE),0)</f>
        <v>0</v>
      </c>
      <c r="Y55" s="170">
        <f t="shared" ca="1" si="7"/>
        <v>0</v>
      </c>
      <c r="Z55">
        <f t="shared" ca="1" si="9"/>
        <v>0</v>
      </c>
      <c r="AA55">
        <f t="shared" ca="1" si="10"/>
        <v>0</v>
      </c>
      <c r="AC55" s="94">
        <f t="shared" ca="1" si="8"/>
        <v>600506310.45722592</v>
      </c>
      <c r="AD55">
        <f ca="1">AC55*E55*10000*VLOOKUP(A55,[1]kcal!$A$2:$C$49,3,FALSE)/1000000000000</f>
        <v>0</v>
      </c>
    </row>
    <row r="56" spans="1:30" x14ac:dyDescent="0.25">
      <c r="A56" s="171" t="str">
        <f t="shared" si="11"/>
        <v>Biogasgylle</v>
      </c>
      <c r="B56" s="171" t="str">
        <f t="shared" si="12"/>
        <v/>
      </c>
      <c r="C56" s="171" t="str">
        <f>IFERROR(VLOOKUP(A56,'Kategorisering af kcal'!$J$2:$K$18,2,FALSE),"")</f>
        <v/>
      </c>
      <c r="D56" s="171">
        <f>IF(COUNTIFS('Resultater - Danmark'!$D$3:$D$504,'Produktion &amp; forbrug'!A56,'Resultater - Danmark'!$A$3:$A$504,"Til energi")+COUNTIFS('Resultater - Danmark'!$D$3:$D$504,'Produktion &amp; forbrug'!A56,'Resultater - Danmark'!$A$3:$A$504,"Biogasanlæg")&gt;0,1,0)</f>
        <v>0</v>
      </c>
      <c r="E56" s="171">
        <f t="shared" si="14"/>
        <v>0</v>
      </c>
      <c r="F56" s="171">
        <f t="shared" si="13"/>
        <v>2030</v>
      </c>
      <c r="G56" s="94">
        <f ca="1">SUMIFS('Resultat-Produktion &amp; forbrug'!G$4:G$291,'Resultat-Produktion &amp; forbrug'!$A$4:$A$291,'Produktion &amp; forbrug'!$A56,'Resultat-Produktion &amp; forbrug'!$E$4:$E$291,'Produktion &amp; forbrug'!$F56)</f>
        <v>28950393.886534661</v>
      </c>
      <c r="H56" s="94">
        <f>SUMIFS('Resultat-Produktion &amp; forbrug'!H$4:H$291,'Resultat-Produktion &amp; forbrug'!$A$4:$A$291,'Produktion &amp; forbrug'!$A56,'Resultat-Produktion &amp; forbrug'!$E$4:$E$291,'Produktion &amp; forbrug'!$F56)</f>
        <v>0</v>
      </c>
      <c r="I56" s="94">
        <f>SUMIFS('Resultat-Produktion &amp; forbrug'!I$4:I$291,'Resultat-Produktion &amp; forbrug'!$A$4:$A$291,'Produktion &amp; forbrug'!$A56,'Resultat-Produktion &amp; forbrug'!$E$4:$E$291,'Produktion &amp; forbrug'!$F56)</f>
        <v>0</v>
      </c>
      <c r="J56" s="94">
        <f>SUMIFS('Resultat-Produktion &amp; forbrug'!J$4:J$291,'Resultat-Produktion &amp; forbrug'!$A$4:$A$291,'Produktion &amp; forbrug'!$A56,'Resultat-Produktion &amp; forbrug'!$E$4:$E$291,'Produktion &amp; forbrug'!$F56)</f>
        <v>0</v>
      </c>
      <c r="K56" s="94">
        <f>SUMIFS('Resultat-Produktion &amp; forbrug'!K$4:K$291,'Resultat-Produktion &amp; forbrug'!$A$4:$A$291,'Produktion &amp; forbrug'!$A56,'Resultat-Produktion &amp; forbrug'!$E$4:$E$291,'Produktion &amp; forbrug'!$F56)</f>
        <v>0</v>
      </c>
      <c r="L56" s="94">
        <f ca="1">SUMIFS('Resultat-Produktion &amp; forbrug'!L$4:L$291,'Resultat-Produktion &amp; forbrug'!$A$4:$A$291,'Produktion &amp; forbrug'!$A56,'Resultat-Produktion &amp; forbrug'!$E$4:$E$291,'Produktion &amp; forbrug'!$F56)</f>
        <v>23357523.299669795</v>
      </c>
      <c r="M56" s="94">
        <f>SUMIFS('Resultat-Produktion &amp; forbrug'!M$4:M$291,'Resultat-Produktion &amp; forbrug'!$A$4:$A$291,'Produktion &amp; forbrug'!$A56,'Resultat-Produktion &amp; forbrug'!$E$4:$E$291,'Produktion &amp; forbrug'!$F56)</f>
        <v>0</v>
      </c>
      <c r="N56" s="94">
        <f>SUMIFS('Resultat-Produktion &amp; forbrug'!N$4:N$291,'Resultat-Produktion &amp; forbrug'!$A$4:$A$291,'Produktion &amp; forbrug'!$A56,'Resultat-Produktion &amp; forbrug'!$E$4:$E$291,'Produktion &amp; forbrug'!$F56)</f>
        <v>0</v>
      </c>
      <c r="O56" s="179">
        <f t="shared" ca="1" si="3"/>
        <v>5592870.5868648663</v>
      </c>
      <c r="P56" s="94">
        <f t="shared" si="4"/>
        <v>0</v>
      </c>
      <c r="Q56" s="180">
        <f t="shared" si="5"/>
        <v>0</v>
      </c>
      <c r="R56">
        <f>IFERROR(VLOOKUP(A56,[1]Energiindhold!$A$2:$C$11,3,FALSE),IFERROR(VLOOKUP(A56,[1]Biogasudbytte!$A$2:$B$18,2,FALSE)*[1]Energiindhold!$C$10,0))*P56</f>
        <v>0</v>
      </c>
      <c r="S56">
        <f>IF(A56&lt;&gt;"Biogas",IFERROR(VLOOKUP(A56,[1]Biogasudbytte!$A$2:$B$18,2,FALSE)*[1]Energiindhold!$C$10,0)*K56*IFERROR(VLOOKUP(A56,Biogasanlæg!$F$3:$G$8,2,FALSE),1)+IFERROR(VLOOKUP(A56,[1]Energiindhold!$A$2:$C$11,3,FALSE),0)*M56+IF(F56&lt;&gt;År1,R56,0),0)</f>
        <v>0</v>
      </c>
      <c r="T56">
        <f>IFERROR(VLOOKUP(A56,[1]Biogasudbytte!$A$2:$B$18,2,FALSE)*[1]Energiindhold!$C$10,0)*K56*IFERROR(VLOOKUP(A56,Biogasanlæg!$F$3:$G$8,2,FALSE),1)</f>
        <v>0</v>
      </c>
      <c r="U56" s="170">
        <f t="shared" si="6"/>
        <v>0</v>
      </c>
      <c r="V56" s="169">
        <f>P56*IFERROR(VLOOKUP(A56,[1]Tørstofindhold!A$2:B$24,2,FALSE),0)</f>
        <v>0</v>
      </c>
      <c r="W56">
        <f>IF(F56=År1,Q56,SUM(P56,Q56))*IFERROR(VLOOKUP(A56,[1]Tørstofindhold!A$2:B$24,2,FALSE),0)</f>
        <v>0</v>
      </c>
      <c r="X56">
        <f>K56*IFERROR(VLOOKUP(A56,[1]Tørstofindhold!A$2:B$24,2,FALSE),0)</f>
        <v>0</v>
      </c>
      <c r="Y56" s="170">
        <f t="shared" si="7"/>
        <v>0</v>
      </c>
      <c r="Z56">
        <f t="shared" ca="1" si="9"/>
        <v>0</v>
      </c>
      <c r="AA56">
        <f t="shared" ca="1" si="10"/>
        <v>1</v>
      </c>
      <c r="AC56" s="94">
        <f t="shared" ca="1" si="8"/>
        <v>5592870.5868648663</v>
      </c>
      <c r="AD56">
        <f ca="1">AC56*E56*10000*VLOOKUP(A56,[1]kcal!$A$2:$C$49,3,FALSE)/1000000000000</f>
        <v>0</v>
      </c>
    </row>
    <row r="57" spans="1:30" x14ac:dyDescent="0.25">
      <c r="A57" s="171" t="str">
        <f t="shared" si="11"/>
        <v>Brun saft</v>
      </c>
      <c r="B57" s="171" t="str">
        <f t="shared" si="12"/>
        <v>Bionedbrydeligt affald</v>
      </c>
      <c r="C57" s="171" t="str">
        <f>IFERROR(VLOOKUP(A57,'Kategorisering af kcal'!$J$2:$K$18,2,FALSE),"")</f>
        <v/>
      </c>
      <c r="D57" s="171">
        <f>IF(COUNTIFS('Resultater - Danmark'!$D$3:$D$504,'Produktion &amp; forbrug'!A57,'Resultater - Danmark'!$A$3:$A$504,"Til energi")+COUNTIFS('Resultater - Danmark'!$D$3:$D$504,'Produktion &amp; forbrug'!A57,'Resultater - Danmark'!$A$3:$A$504,"Biogasanlæg")&gt;0,1,0)</f>
        <v>1</v>
      </c>
      <c r="E57" s="171">
        <f t="shared" si="14"/>
        <v>0</v>
      </c>
      <c r="F57" s="171">
        <f t="shared" si="13"/>
        <v>2030</v>
      </c>
      <c r="G57" s="94">
        <f ca="1">SUMIFS('Resultat-Produktion &amp; forbrug'!G$4:G$291,'Resultat-Produktion &amp; forbrug'!$A$4:$A$291,'Produktion &amp; forbrug'!$A57,'Resultat-Produktion &amp; forbrug'!$E$4:$E$291,'Produktion &amp; forbrug'!$F57)</f>
        <v>0</v>
      </c>
      <c r="H57" s="94">
        <f>SUMIFS('Resultat-Produktion &amp; forbrug'!H$4:H$291,'Resultat-Produktion &amp; forbrug'!$A$4:$A$291,'Produktion &amp; forbrug'!$A57,'Resultat-Produktion &amp; forbrug'!$E$4:$E$291,'Produktion &amp; forbrug'!$F57)</f>
        <v>0</v>
      </c>
      <c r="I57" s="94">
        <f>SUMIFS('Resultat-Produktion &amp; forbrug'!I$4:I$291,'Resultat-Produktion &amp; forbrug'!$A$4:$A$291,'Produktion &amp; forbrug'!$A57,'Resultat-Produktion &amp; forbrug'!$E$4:$E$291,'Produktion &amp; forbrug'!$F57)</f>
        <v>0</v>
      </c>
      <c r="J57" s="94">
        <f>SUMIFS('Resultat-Produktion &amp; forbrug'!J$4:J$291,'Resultat-Produktion &amp; forbrug'!$A$4:$A$291,'Produktion &amp; forbrug'!$A57,'Resultat-Produktion &amp; forbrug'!$E$4:$E$291,'Produktion &amp; forbrug'!$F57)</f>
        <v>0</v>
      </c>
      <c r="K57" s="94">
        <f ca="1">SUMIFS('Resultat-Produktion &amp; forbrug'!K$4:K$291,'Resultat-Produktion &amp; forbrug'!$A$4:$A$291,'Produktion &amp; forbrug'!$A57,'Resultat-Produktion &amp; forbrug'!$E$4:$E$291,'Produktion &amp; forbrug'!$F57)</f>
        <v>0</v>
      </c>
      <c r="L57" s="94">
        <f>SUMIFS('Resultat-Produktion &amp; forbrug'!L$4:L$291,'Resultat-Produktion &amp; forbrug'!$A$4:$A$291,'Produktion &amp; forbrug'!$A57,'Resultat-Produktion &amp; forbrug'!$E$4:$E$291,'Produktion &amp; forbrug'!$F57)</f>
        <v>0</v>
      </c>
      <c r="M57" s="94">
        <f>SUMIFS('Resultat-Produktion &amp; forbrug'!M$4:M$291,'Resultat-Produktion &amp; forbrug'!$A$4:$A$291,'Produktion &amp; forbrug'!$A57,'Resultat-Produktion &amp; forbrug'!$E$4:$E$291,'Produktion &amp; forbrug'!$F57)</f>
        <v>0</v>
      </c>
      <c r="N57" s="94">
        <f>SUMIFS('Resultat-Produktion &amp; forbrug'!N$4:N$291,'Resultat-Produktion &amp; forbrug'!$A$4:$A$291,'Produktion &amp; forbrug'!$A57,'Resultat-Produktion &amp; forbrug'!$E$4:$E$291,'Produktion &amp; forbrug'!$F57)</f>
        <v>0</v>
      </c>
      <c r="O57" s="179">
        <f t="shared" ca="1" si="3"/>
        <v>0</v>
      </c>
      <c r="P57" s="94">
        <f t="shared" ca="1" si="4"/>
        <v>0</v>
      </c>
      <c r="Q57" s="180">
        <f t="shared" ca="1" si="5"/>
        <v>0</v>
      </c>
      <c r="R57">
        <f ca="1">IFERROR(VLOOKUP(A57,[1]Energiindhold!$A$2:$C$11,3,FALSE),IFERROR(VLOOKUP(A57,[1]Biogasudbytte!$A$2:$B$18,2,FALSE)*[1]Energiindhold!$C$10,0))*P57</f>
        <v>0</v>
      </c>
      <c r="S57">
        <f ca="1">IF(A57&lt;&gt;"Biogas",IFERROR(VLOOKUP(A57,[1]Biogasudbytte!$A$2:$B$18,2,FALSE)*[1]Energiindhold!$C$10,0)*K57*IFERROR(VLOOKUP(A57,Biogasanlæg!$F$3:$G$8,2,FALSE),1)+IFERROR(VLOOKUP(A57,[1]Energiindhold!$A$2:$C$11,3,FALSE),0)*M57+IF(F57&lt;&gt;År1,R57,0),0)</f>
        <v>0</v>
      </c>
      <c r="T57">
        <f ca="1">IFERROR(VLOOKUP(A57,[1]Biogasudbytte!$A$2:$B$18,2,FALSE)*[1]Energiindhold!$C$10,0)*K57*IFERROR(VLOOKUP(A57,Biogasanlæg!$F$3:$G$8,2,FALSE),1)</f>
        <v>0</v>
      </c>
      <c r="U57" s="170">
        <f t="shared" ca="1" si="6"/>
        <v>0</v>
      </c>
      <c r="V57" s="169">
        <f ca="1">P57*IFERROR(VLOOKUP(A57,[1]Tørstofindhold!A$2:B$24,2,FALSE),0)</f>
        <v>0</v>
      </c>
      <c r="W57">
        <f ca="1">IF(F57=År1,Q57,SUM(P57,Q57))*IFERROR(VLOOKUP(A57,[1]Tørstofindhold!A$2:B$24,2,FALSE),0)</f>
        <v>0</v>
      </c>
      <c r="X57">
        <f ca="1">K57*IFERROR(VLOOKUP(A57,[1]Tørstofindhold!A$2:B$24,2,FALSE),0)</f>
        <v>0</v>
      </c>
      <c r="Y57" s="170">
        <f t="shared" ca="1" si="7"/>
        <v>0</v>
      </c>
      <c r="Z57">
        <f t="shared" ca="1" si="9"/>
        <v>0</v>
      </c>
      <c r="AA57">
        <f t="shared" ca="1" si="10"/>
        <v>0</v>
      </c>
      <c r="AC57" s="94">
        <f t="shared" ca="1" si="8"/>
        <v>0</v>
      </c>
      <c r="AD57">
        <f ca="1">AC57*E57*10000*VLOOKUP(A57,[1]kcal!$A$2:$C$49,3,FALSE)/1000000000000</f>
        <v>0</v>
      </c>
    </row>
    <row r="58" spans="1:30" x14ac:dyDescent="0.25">
      <c r="A58" s="171" t="str">
        <f t="shared" si="11"/>
        <v>Dybstrøelse</v>
      </c>
      <c r="B58" s="171" t="str">
        <f t="shared" si="12"/>
        <v>Husdyrgødning</v>
      </c>
      <c r="C58" s="171" t="str">
        <f>IFERROR(VLOOKUP(A58,'Kategorisering af kcal'!$J$2:$K$18,2,FALSE),"")</f>
        <v/>
      </c>
      <c r="D58" s="171">
        <f>IF(COUNTIFS('Resultater - Danmark'!$D$3:$D$504,'Produktion &amp; forbrug'!A58,'Resultater - Danmark'!$A$3:$A$504,"Til energi")+COUNTIFS('Resultater - Danmark'!$D$3:$D$504,'Produktion &amp; forbrug'!A58,'Resultater - Danmark'!$A$3:$A$504,"Biogasanlæg")&gt;0,1,0)</f>
        <v>1</v>
      </c>
      <c r="E58" s="171">
        <f t="shared" si="14"/>
        <v>0</v>
      </c>
      <c r="F58" s="171">
        <f t="shared" si="13"/>
        <v>2030</v>
      </c>
      <c r="G58" s="94">
        <f ca="1">SUMIFS('Resultat-Produktion &amp; forbrug'!G$4:G$291,'Resultat-Produktion &amp; forbrug'!$A$4:$A$291,'Produktion &amp; forbrug'!$A58,'Resultat-Produktion &amp; forbrug'!$E$4:$E$291,'Produktion &amp; forbrug'!$F58)</f>
        <v>2918712.0403360021</v>
      </c>
      <c r="H58" s="94">
        <f>SUMIFS('Resultat-Produktion &amp; forbrug'!H$4:H$291,'Resultat-Produktion &amp; forbrug'!$A$4:$A$291,'Produktion &amp; forbrug'!$A58,'Resultat-Produktion &amp; forbrug'!$E$4:$E$291,'Produktion &amp; forbrug'!$F58)</f>
        <v>0</v>
      </c>
      <c r="I58" s="94">
        <f>SUMIFS('Resultat-Produktion &amp; forbrug'!I$4:I$291,'Resultat-Produktion &amp; forbrug'!$A$4:$A$291,'Produktion &amp; forbrug'!$A58,'Resultat-Produktion &amp; forbrug'!$E$4:$E$291,'Produktion &amp; forbrug'!$F58)</f>
        <v>0</v>
      </c>
      <c r="J58" s="94">
        <f>SUMIFS('Resultat-Produktion &amp; forbrug'!J$4:J$291,'Resultat-Produktion &amp; forbrug'!$A$4:$A$291,'Produktion &amp; forbrug'!$A58,'Resultat-Produktion &amp; forbrug'!$E$4:$E$291,'Produktion &amp; forbrug'!$F58)</f>
        <v>0</v>
      </c>
      <c r="K58" s="94">
        <f ca="1">SUMIFS('Resultat-Produktion &amp; forbrug'!K$4:K$291,'Resultat-Produktion &amp; forbrug'!$A$4:$A$291,'Produktion &amp; forbrug'!$A58,'Resultat-Produktion &amp; forbrug'!$E$4:$E$291,'Produktion &amp; forbrug'!$F58)</f>
        <v>2189034.0302520012</v>
      </c>
      <c r="L58" s="94">
        <f ca="1">SUMIFS('Resultat-Produktion &amp; forbrug'!L$4:L$291,'Resultat-Produktion &amp; forbrug'!$A$4:$A$291,'Produktion &amp; forbrug'!$A58,'Resultat-Produktion &amp; forbrug'!$E$4:$E$291,'Produktion &amp; forbrug'!$F58)</f>
        <v>276235.24667465733</v>
      </c>
      <c r="M58" s="94">
        <f>SUMIFS('Resultat-Produktion &amp; forbrug'!M$4:M$291,'Resultat-Produktion &amp; forbrug'!$A$4:$A$291,'Produktion &amp; forbrug'!$A58,'Resultat-Produktion &amp; forbrug'!$E$4:$E$291,'Produktion &amp; forbrug'!$F58)</f>
        <v>0</v>
      </c>
      <c r="N58" s="94">
        <f>SUMIFS('Resultat-Produktion &amp; forbrug'!N$4:N$291,'Resultat-Produktion &amp; forbrug'!$A$4:$A$291,'Produktion &amp; forbrug'!$A58,'Resultat-Produktion &amp; forbrug'!$E$4:$E$291,'Produktion &amp; forbrug'!$F58)</f>
        <v>0</v>
      </c>
      <c r="O58" s="179">
        <f t="shared" ca="1" si="3"/>
        <v>453442.76340934355</v>
      </c>
      <c r="P58" s="94">
        <f t="shared" ca="1" si="4"/>
        <v>453442.76340934355</v>
      </c>
      <c r="Q58" s="180">
        <f t="shared" ca="1" si="5"/>
        <v>2189034.0302520012</v>
      </c>
      <c r="R58">
        <f ca="1">IFERROR(VLOOKUP(A58,[1]Energiindhold!$A$2:$C$11,3,FALSE),IFERROR(VLOOKUP(A58,[1]Biogasudbytte!$A$2:$B$18,2,FALSE)*[1]Energiindhold!$C$10,0))*P58</f>
        <v>0.97671571238372601</v>
      </c>
      <c r="S58">
        <f ca="1">IF(A58&lt;&gt;"Biogas",IFERROR(VLOOKUP(A58,[1]Biogasudbytte!$A$2:$B$18,2,FALSE)*[1]Energiindhold!$C$10,0)*K58*IFERROR(VLOOKUP(A58,Biogasanlæg!$F$3:$G$8,2,FALSE),1)+IFERROR(VLOOKUP(A58,[1]Energiindhold!$A$2:$C$11,3,FALSE),0)*M58+IF(F58&lt;&gt;År1,R58,0),0)</f>
        <v>5.6918950135465369</v>
      </c>
      <c r="T58">
        <f ca="1">IFERROR(VLOOKUP(A58,[1]Biogasudbytte!$A$2:$B$18,2,FALSE)*[1]Energiindhold!$C$10,0)*K58*IFERROR(VLOOKUP(A58,Biogasanlæg!$F$3:$G$8,2,FALSE),1)</f>
        <v>4.7151793011628111</v>
      </c>
      <c r="U58" s="170">
        <f t="shared" ca="1" si="6"/>
        <v>0.97671571238372579</v>
      </c>
      <c r="V58" s="169">
        <f ca="1">P58*IFERROR(VLOOKUP(A58,[1]Tørstofindhold!A$2:B$24,2,FALSE),0)</f>
        <v>136032.82902280305</v>
      </c>
      <c r="W58">
        <f ca="1">IF(F58=År1,Q58,SUM(P58,Q58))*IFERROR(VLOOKUP(A58,[1]Tørstofindhold!A$2:B$24,2,FALSE),0)</f>
        <v>792743.03809840337</v>
      </c>
      <c r="X58">
        <f ca="1">K58*IFERROR(VLOOKUP(A58,[1]Tørstofindhold!A$2:B$24,2,FALSE),0)</f>
        <v>656710.20907560037</v>
      </c>
      <c r="Y58" s="170">
        <f t="shared" ca="1" si="7"/>
        <v>136032.82902280299</v>
      </c>
      <c r="Z58">
        <f t="shared" ca="1" si="9"/>
        <v>0</v>
      </c>
      <c r="AA58">
        <f t="shared" ca="1" si="10"/>
        <v>1</v>
      </c>
      <c r="AC58" s="94">
        <f t="shared" ca="1" si="8"/>
        <v>453442.76340934355</v>
      </c>
      <c r="AD58">
        <f ca="1">AC58*E58*10000*VLOOKUP(A58,[1]kcal!$A$2:$C$49,3,FALSE)/1000000000000</f>
        <v>0</v>
      </c>
    </row>
    <row r="59" spans="1:30" x14ac:dyDescent="0.25">
      <c r="A59" s="171" t="str">
        <f t="shared" si="11"/>
        <v>Fiberfraktion</v>
      </c>
      <c r="B59" s="171" t="str">
        <f t="shared" si="12"/>
        <v/>
      </c>
      <c r="C59" s="171" t="str">
        <f>IFERROR(VLOOKUP(A59,'Kategorisering af kcal'!$J$2:$K$18,2,FALSE),"")</f>
        <v/>
      </c>
      <c r="D59" s="171">
        <f>IF(COUNTIFS('Resultater - Danmark'!$D$3:$D$504,'Produktion &amp; forbrug'!A59,'Resultater - Danmark'!$A$3:$A$504,"Til energi")+COUNTIFS('Resultater - Danmark'!$D$3:$D$504,'Produktion &amp; forbrug'!A59,'Resultater - Danmark'!$A$3:$A$504,"Biogasanlæg")&gt;0,1,0)</f>
        <v>0</v>
      </c>
      <c r="E59" s="171">
        <f t="shared" si="14"/>
        <v>0</v>
      </c>
      <c r="F59" s="171">
        <f t="shared" si="13"/>
        <v>2030</v>
      </c>
      <c r="G59" s="94">
        <f ca="1">SUMIFS('Resultat-Produktion &amp; forbrug'!G$4:G$291,'Resultat-Produktion &amp; forbrug'!$A$4:$A$291,'Produktion &amp; forbrug'!$A59,'Resultat-Produktion &amp; forbrug'!$E$4:$E$291,'Produktion &amp; forbrug'!$F59)</f>
        <v>0</v>
      </c>
      <c r="H59" s="94">
        <f ca="1">SUMIFS('Resultat-Produktion &amp; forbrug'!H$4:H$291,'Resultat-Produktion &amp; forbrug'!$A$4:$A$291,'Produktion &amp; forbrug'!$A59,'Resultat-Produktion &amp; forbrug'!$E$4:$E$291,'Produktion &amp; forbrug'!$F59)</f>
        <v>0</v>
      </c>
      <c r="I59" s="94">
        <f>SUMIFS('Resultat-Produktion &amp; forbrug'!I$4:I$291,'Resultat-Produktion &amp; forbrug'!$A$4:$A$291,'Produktion &amp; forbrug'!$A59,'Resultat-Produktion &amp; forbrug'!$E$4:$E$291,'Produktion &amp; forbrug'!$F59)</f>
        <v>0</v>
      </c>
      <c r="J59" s="94">
        <f>SUMIFS('Resultat-Produktion &amp; forbrug'!J$4:J$291,'Resultat-Produktion &amp; forbrug'!$A$4:$A$291,'Produktion &amp; forbrug'!$A59,'Resultat-Produktion &amp; forbrug'!$E$4:$E$291,'Produktion &amp; forbrug'!$F59)</f>
        <v>0</v>
      </c>
      <c r="K59" s="94">
        <f>SUMIFS('Resultat-Produktion &amp; forbrug'!K$4:K$291,'Resultat-Produktion &amp; forbrug'!$A$4:$A$291,'Produktion &amp; forbrug'!$A59,'Resultat-Produktion &amp; forbrug'!$E$4:$E$291,'Produktion &amp; forbrug'!$F59)</f>
        <v>0</v>
      </c>
      <c r="L59" s="94">
        <f>SUMIFS('Resultat-Produktion &amp; forbrug'!L$4:L$291,'Resultat-Produktion &amp; forbrug'!$A$4:$A$291,'Produktion &amp; forbrug'!$A59,'Resultat-Produktion &amp; forbrug'!$E$4:$E$291,'Produktion &amp; forbrug'!$F59)</f>
        <v>0</v>
      </c>
      <c r="M59" s="94">
        <f>SUMIFS('Resultat-Produktion &amp; forbrug'!M$4:M$291,'Resultat-Produktion &amp; forbrug'!$A$4:$A$291,'Produktion &amp; forbrug'!$A59,'Resultat-Produktion &amp; forbrug'!$E$4:$E$291,'Produktion &amp; forbrug'!$F59)</f>
        <v>0</v>
      </c>
      <c r="N59" s="94">
        <f>SUMIFS('Resultat-Produktion &amp; forbrug'!N$4:N$291,'Resultat-Produktion &amp; forbrug'!$A$4:$A$291,'Produktion &amp; forbrug'!$A59,'Resultat-Produktion &amp; forbrug'!$E$4:$E$291,'Produktion &amp; forbrug'!$F59)</f>
        <v>0</v>
      </c>
      <c r="O59" s="179">
        <f t="shared" ca="1" si="3"/>
        <v>0</v>
      </c>
      <c r="P59" s="94">
        <f t="shared" si="4"/>
        <v>0</v>
      </c>
      <c r="Q59" s="180">
        <f t="shared" si="5"/>
        <v>0</v>
      </c>
      <c r="R59">
        <f>IFERROR(VLOOKUP(A59,[1]Energiindhold!$A$2:$C$11,3,FALSE),IFERROR(VLOOKUP(A59,[1]Biogasudbytte!$A$2:$B$18,2,FALSE)*[1]Energiindhold!$C$10,0))*P59</f>
        <v>0</v>
      </c>
      <c r="S59">
        <f>IF(A59&lt;&gt;"Biogas",IFERROR(VLOOKUP(A59,[1]Biogasudbytte!$A$2:$B$18,2,FALSE)*[1]Energiindhold!$C$10,0)*K59*IFERROR(VLOOKUP(A59,Biogasanlæg!$F$3:$G$8,2,FALSE),1)+IFERROR(VLOOKUP(A59,[1]Energiindhold!$A$2:$C$11,3,FALSE),0)*M59+IF(F59&lt;&gt;År1,R59,0),0)</f>
        <v>0</v>
      </c>
      <c r="T59">
        <f>IFERROR(VLOOKUP(A59,[1]Biogasudbytte!$A$2:$B$18,2,FALSE)*[1]Energiindhold!$C$10,0)*K59*IFERROR(VLOOKUP(A59,Biogasanlæg!$F$3:$G$8,2,FALSE),1)</f>
        <v>0</v>
      </c>
      <c r="U59" s="170">
        <f t="shared" si="6"/>
        <v>0</v>
      </c>
      <c r="V59" s="169">
        <f>P59*IFERROR(VLOOKUP(A59,[1]Tørstofindhold!A$2:B$24,2,FALSE),0)</f>
        <v>0</v>
      </c>
      <c r="W59">
        <f>IF(F59=År1,Q59,SUM(P59,Q59))*IFERROR(VLOOKUP(A59,[1]Tørstofindhold!A$2:B$24,2,FALSE),0)</f>
        <v>0</v>
      </c>
      <c r="X59">
        <f>K59*IFERROR(VLOOKUP(A59,[1]Tørstofindhold!A$2:B$24,2,FALSE),0)</f>
        <v>0</v>
      </c>
      <c r="Y59" s="170">
        <f t="shared" si="7"/>
        <v>0</v>
      </c>
      <c r="Z59">
        <f t="shared" ca="1" si="9"/>
        <v>0</v>
      </c>
      <c r="AA59">
        <f t="shared" ca="1" si="10"/>
        <v>0</v>
      </c>
      <c r="AC59" s="94">
        <f t="shared" ca="1" si="8"/>
        <v>0</v>
      </c>
      <c r="AD59">
        <f ca="1">AC59*E59*10000*VLOOKUP(A59,[1]kcal!$A$2:$C$49,3,FALSE)/1000000000000</f>
        <v>0</v>
      </c>
    </row>
    <row r="60" spans="1:30" x14ac:dyDescent="0.25">
      <c r="A60" s="171" t="str">
        <f t="shared" si="11"/>
        <v>Fjerkrægylle</v>
      </c>
      <c r="B60" s="171" t="str">
        <f t="shared" si="12"/>
        <v>Husdyrgødning</v>
      </c>
      <c r="C60" s="171" t="str">
        <f>IFERROR(VLOOKUP(A60,'Kategorisering af kcal'!$J$2:$K$18,2,FALSE),"")</f>
        <v/>
      </c>
      <c r="D60" s="171">
        <f>IF(COUNTIFS('Resultater - Danmark'!$D$3:$D$504,'Produktion &amp; forbrug'!A60,'Resultater - Danmark'!$A$3:$A$504,"Til energi")+COUNTIFS('Resultater - Danmark'!$D$3:$D$504,'Produktion &amp; forbrug'!A60,'Resultater - Danmark'!$A$3:$A$504,"Biogasanlæg")&gt;0,1,0)</f>
        <v>1</v>
      </c>
      <c r="E60" s="171">
        <f t="shared" si="14"/>
        <v>0</v>
      </c>
      <c r="F60" s="171">
        <f t="shared" si="13"/>
        <v>2030</v>
      </c>
      <c r="G60" s="94">
        <f ca="1">SUMIFS('Resultat-Produktion &amp; forbrug'!G$4:G$291,'Resultat-Produktion &amp; forbrug'!$A$4:$A$291,'Produktion &amp; forbrug'!$A60,'Resultat-Produktion &amp; forbrug'!$E$4:$E$291,'Produktion &amp; forbrug'!$F60)</f>
        <v>9042.9280606983375</v>
      </c>
      <c r="H60" s="94">
        <f>SUMIFS('Resultat-Produktion &amp; forbrug'!H$4:H$291,'Resultat-Produktion &amp; forbrug'!$A$4:$A$291,'Produktion &amp; forbrug'!$A60,'Resultat-Produktion &amp; forbrug'!$E$4:$E$291,'Produktion &amp; forbrug'!$F60)</f>
        <v>0</v>
      </c>
      <c r="I60" s="94">
        <f>SUMIFS('Resultat-Produktion &amp; forbrug'!I$4:I$291,'Resultat-Produktion &amp; forbrug'!$A$4:$A$291,'Produktion &amp; forbrug'!$A60,'Resultat-Produktion &amp; forbrug'!$E$4:$E$291,'Produktion &amp; forbrug'!$F60)</f>
        <v>0</v>
      </c>
      <c r="J60" s="94">
        <f>SUMIFS('Resultat-Produktion &amp; forbrug'!J$4:J$291,'Resultat-Produktion &amp; forbrug'!$A$4:$A$291,'Produktion &amp; forbrug'!$A60,'Resultat-Produktion &amp; forbrug'!$E$4:$E$291,'Produktion &amp; forbrug'!$F60)</f>
        <v>0</v>
      </c>
      <c r="K60" s="94">
        <f ca="1">SUMIFS('Resultat-Produktion &amp; forbrug'!K$4:K$291,'Resultat-Produktion &amp; forbrug'!$A$4:$A$291,'Produktion &amp; forbrug'!$A60,'Resultat-Produktion &amp; forbrug'!$E$4:$E$291,'Produktion &amp; forbrug'!$F60)</f>
        <v>6782.1960455237531</v>
      </c>
      <c r="L60" s="94">
        <f ca="1">SUMIFS('Resultat-Produktion &amp; forbrug'!L$4:L$291,'Resultat-Produktion &amp; forbrug'!$A$4:$A$291,'Produktion &amp; forbrug'!$A60,'Resultat-Produktion &amp; forbrug'!$E$4:$E$291,'Produktion &amp; forbrug'!$F60)</f>
        <v>2260.7320151745844</v>
      </c>
      <c r="M60" s="94">
        <f>SUMIFS('Resultat-Produktion &amp; forbrug'!M$4:M$291,'Resultat-Produktion &amp; forbrug'!$A$4:$A$291,'Produktion &amp; forbrug'!$A60,'Resultat-Produktion &amp; forbrug'!$E$4:$E$291,'Produktion &amp; forbrug'!$F60)</f>
        <v>0</v>
      </c>
      <c r="N60" s="94">
        <f>SUMIFS('Resultat-Produktion &amp; forbrug'!N$4:N$291,'Resultat-Produktion &amp; forbrug'!$A$4:$A$291,'Produktion &amp; forbrug'!$A60,'Resultat-Produktion &amp; forbrug'!$E$4:$E$291,'Produktion &amp; forbrug'!$F60)</f>
        <v>0</v>
      </c>
      <c r="O60" s="179">
        <f t="shared" ca="1" si="3"/>
        <v>0</v>
      </c>
      <c r="P60" s="94">
        <f t="shared" ca="1" si="4"/>
        <v>0</v>
      </c>
      <c r="Q60" s="180">
        <f t="shared" ca="1" si="5"/>
        <v>6782.1960455237531</v>
      </c>
      <c r="R60">
        <f ca="1">IFERROR(VLOOKUP(A60,[1]Energiindhold!$A$2:$C$11,3,FALSE),IFERROR(VLOOKUP(A60,[1]Biogasudbytte!$A$2:$B$18,2,FALSE)*[1]Energiindhold!$C$10,0))*P60</f>
        <v>0</v>
      </c>
      <c r="S60">
        <f ca="1">IF(A60&lt;&gt;"Biogas",IFERROR(VLOOKUP(A60,[1]Biogasudbytte!$A$2:$B$18,2,FALSE)*[1]Energiindhold!$C$10,0)*K60*IFERROR(VLOOKUP(A60,Biogasanlæg!$F$3:$G$8,2,FALSE),1)+IFERROR(VLOOKUP(A60,[1]Energiindhold!$A$2:$C$11,3,FALSE),0)*M60+IF(F60&lt;&gt;År1,R60,0),0)</f>
        <v>3.1895989782493661E-3</v>
      </c>
      <c r="T60">
        <f ca="1">IFERROR(VLOOKUP(A60,[1]Biogasudbytte!$A$2:$B$18,2,FALSE)*[1]Energiindhold!$C$10,0)*K60*IFERROR(VLOOKUP(A60,Biogasanlæg!$F$3:$G$8,2,FALSE),1)</f>
        <v>3.1895989782493661E-3</v>
      </c>
      <c r="U60" s="170">
        <f t="shared" ca="1" si="6"/>
        <v>0</v>
      </c>
      <c r="V60" s="169">
        <f ca="1">P60*IFERROR(VLOOKUP(A60,[1]Tørstofindhold!A$2:B$24,2,FALSE),0)</f>
        <v>0</v>
      </c>
      <c r="W60">
        <f ca="1">IF(F60=År1,Q60,SUM(P60,Q60))*IFERROR(VLOOKUP(A60,[1]Tørstofindhold!A$2:B$24,2,FALSE),0)</f>
        <v>427.27835086799644</v>
      </c>
      <c r="X60">
        <f ca="1">K60*IFERROR(VLOOKUP(A60,[1]Tørstofindhold!A$2:B$24,2,FALSE),0)</f>
        <v>427.27835086799644</v>
      </c>
      <c r="Y60" s="170">
        <f t="shared" ca="1" si="7"/>
        <v>0</v>
      </c>
      <c r="Z60">
        <f t="shared" ca="1" si="9"/>
        <v>0</v>
      </c>
      <c r="AA60">
        <f t="shared" ca="1" si="10"/>
        <v>0</v>
      </c>
      <c r="AC60" s="94">
        <f t="shared" ca="1" si="8"/>
        <v>0</v>
      </c>
      <c r="AD60">
        <f ca="1">AC60*E60*10000*VLOOKUP(A60,[1]kcal!$A$2:$C$49,3,FALSE)/1000000000000</f>
        <v>0</v>
      </c>
    </row>
    <row r="61" spans="1:30" x14ac:dyDescent="0.25">
      <c r="A61" s="171" t="str">
        <f t="shared" si="11"/>
        <v>Fjerkrækød</v>
      </c>
      <c r="B61" s="171" t="str">
        <f t="shared" si="12"/>
        <v/>
      </c>
      <c r="C61" s="171" t="str">
        <f>IFERROR(VLOOKUP(A61,'Kategorisering af kcal'!$J$2:$K$18,2,FALSE),"")</f>
        <v>Kød</v>
      </c>
      <c r="D61" s="171">
        <f>IF(COUNTIFS('Resultater - Danmark'!$D$3:$D$504,'Produktion &amp; forbrug'!A61,'Resultater - Danmark'!$A$3:$A$504,"Til energi")+COUNTIFS('Resultater - Danmark'!$D$3:$D$504,'Produktion &amp; forbrug'!A61,'Resultater - Danmark'!$A$3:$A$504,"Biogasanlæg")&gt;0,1,0)</f>
        <v>0</v>
      </c>
      <c r="E61" s="171">
        <f t="shared" si="14"/>
        <v>1</v>
      </c>
      <c r="F61" s="171">
        <f t="shared" si="13"/>
        <v>2030</v>
      </c>
      <c r="G61" s="94">
        <f ca="1">SUMIFS('Resultat-Produktion &amp; forbrug'!G$4:G$291,'Resultat-Produktion &amp; forbrug'!$A$4:$A$291,'Produktion &amp; forbrug'!$A61,'Resultat-Produktion &amp; forbrug'!$E$4:$E$291,'Produktion &amp; forbrug'!$F61)</f>
        <v>196872.93522310784</v>
      </c>
      <c r="H61" s="94">
        <f>SUMIFS('Resultat-Produktion &amp; forbrug'!H$4:H$291,'Resultat-Produktion &amp; forbrug'!$A$4:$A$291,'Produktion &amp; forbrug'!$A61,'Resultat-Produktion &amp; forbrug'!$E$4:$E$291,'Produktion &amp; forbrug'!$F61)</f>
        <v>0</v>
      </c>
      <c r="I61" s="94">
        <f>SUMIFS('Resultat-Produktion &amp; forbrug'!I$4:I$291,'Resultat-Produktion &amp; forbrug'!$A$4:$A$291,'Produktion &amp; forbrug'!$A61,'Resultat-Produktion &amp; forbrug'!$E$4:$E$291,'Produktion &amp; forbrug'!$F61)</f>
        <v>0</v>
      </c>
      <c r="J61" s="94">
        <f>SUMIFS('Resultat-Produktion &amp; forbrug'!J$4:J$291,'Resultat-Produktion &amp; forbrug'!$A$4:$A$291,'Produktion &amp; forbrug'!$A61,'Resultat-Produktion &amp; forbrug'!$E$4:$E$291,'Produktion &amp; forbrug'!$F61)</f>
        <v>65854.885067430776</v>
      </c>
      <c r="K61" s="94">
        <f>SUMIFS('Resultat-Produktion &amp; forbrug'!K$4:K$291,'Resultat-Produktion &amp; forbrug'!$A$4:$A$291,'Produktion &amp; forbrug'!$A61,'Resultat-Produktion &amp; forbrug'!$E$4:$E$291,'Produktion &amp; forbrug'!$F61)</f>
        <v>0</v>
      </c>
      <c r="L61" s="94">
        <f>SUMIFS('Resultat-Produktion &amp; forbrug'!L$4:L$291,'Resultat-Produktion &amp; forbrug'!$A$4:$A$291,'Produktion &amp; forbrug'!$A61,'Resultat-Produktion &amp; forbrug'!$E$4:$E$291,'Produktion &amp; forbrug'!$F61)</f>
        <v>0</v>
      </c>
      <c r="M61" s="94">
        <f>SUMIFS('Resultat-Produktion &amp; forbrug'!M$4:M$291,'Resultat-Produktion &amp; forbrug'!$A$4:$A$291,'Produktion &amp; forbrug'!$A61,'Resultat-Produktion &amp; forbrug'!$E$4:$E$291,'Produktion &amp; forbrug'!$F61)</f>
        <v>0</v>
      </c>
      <c r="N61" s="94">
        <f>SUMIFS('Resultat-Produktion &amp; forbrug'!N$4:N$291,'Resultat-Produktion &amp; forbrug'!$A$4:$A$291,'Produktion &amp; forbrug'!$A61,'Resultat-Produktion &amp; forbrug'!$E$4:$E$291,'Produktion &amp; forbrug'!$F61)</f>
        <v>0</v>
      </c>
      <c r="O61" s="179">
        <f t="shared" ca="1" si="3"/>
        <v>131018.05015567706</v>
      </c>
      <c r="P61" s="94">
        <f t="shared" si="4"/>
        <v>0</v>
      </c>
      <c r="Q61" s="180">
        <f t="shared" si="5"/>
        <v>0</v>
      </c>
      <c r="R61">
        <f>IFERROR(VLOOKUP(A61,[1]Energiindhold!$A$2:$C$11,3,FALSE),IFERROR(VLOOKUP(A61,[1]Biogasudbytte!$A$2:$B$18,2,FALSE)*[1]Energiindhold!$C$10,0))*P61</f>
        <v>0</v>
      </c>
      <c r="S61">
        <f>IF(A61&lt;&gt;"Biogas",IFERROR(VLOOKUP(A61,[1]Biogasudbytte!$A$2:$B$18,2,FALSE)*[1]Energiindhold!$C$10,0)*K61*IFERROR(VLOOKUP(A61,Biogasanlæg!$F$3:$G$8,2,FALSE),1)+IFERROR(VLOOKUP(A61,[1]Energiindhold!$A$2:$C$11,3,FALSE),0)*M61+IF(F61&lt;&gt;År1,R61,0),0)</f>
        <v>0</v>
      </c>
      <c r="T61">
        <f>IFERROR(VLOOKUP(A61,[1]Biogasudbytte!$A$2:$B$18,2,FALSE)*[1]Energiindhold!$C$10,0)*K61*IFERROR(VLOOKUP(A61,Biogasanlæg!$F$3:$G$8,2,FALSE),1)</f>
        <v>0</v>
      </c>
      <c r="U61" s="170">
        <f t="shared" si="6"/>
        <v>0</v>
      </c>
      <c r="V61" s="169">
        <f>P61*IFERROR(VLOOKUP(A61,[1]Tørstofindhold!A$2:B$24,2,FALSE),0)</f>
        <v>0</v>
      </c>
      <c r="W61">
        <f>IF(F61=År1,Q61,SUM(P61,Q61))*IFERROR(VLOOKUP(A61,[1]Tørstofindhold!A$2:B$24,2,FALSE),0)</f>
        <v>0</v>
      </c>
      <c r="X61">
        <f>K61*IFERROR(VLOOKUP(A61,[1]Tørstofindhold!A$2:B$24,2,FALSE),0)</f>
        <v>0</v>
      </c>
      <c r="Y61" s="170">
        <f t="shared" si="7"/>
        <v>0</v>
      </c>
      <c r="Z61">
        <f t="shared" ca="1" si="9"/>
        <v>0</v>
      </c>
      <c r="AA61">
        <f t="shared" ca="1" si="10"/>
        <v>1</v>
      </c>
      <c r="AC61" s="94">
        <f t="shared" ca="1" si="8"/>
        <v>196872.93522310784</v>
      </c>
      <c r="AD61">
        <f ca="1">AC61*E61*10000*VLOOKUP(A61,[1]kcal!$A$2:$C$49,3,FALSE)/1000000000000</f>
        <v>0.29924686153912389</v>
      </c>
    </row>
    <row r="62" spans="1:30" x14ac:dyDescent="0.25">
      <c r="A62" s="171" t="str">
        <f t="shared" si="11"/>
        <v>Frø</v>
      </c>
      <c r="B62" s="171" t="str">
        <f t="shared" si="12"/>
        <v/>
      </c>
      <c r="C62" s="171" t="str">
        <f>IFERROR(VLOOKUP(A62,'Kategorisering af kcal'!$J$2:$K$18,2,FALSE),"")</f>
        <v/>
      </c>
      <c r="D62" s="171">
        <f>IF(COUNTIFS('Resultater - Danmark'!$D$3:$D$504,'Produktion &amp; forbrug'!A62,'Resultater - Danmark'!$A$3:$A$504,"Til energi")+COUNTIFS('Resultater - Danmark'!$D$3:$D$504,'Produktion &amp; forbrug'!A62,'Resultater - Danmark'!$A$3:$A$504,"Biogasanlæg")&gt;0,1,0)</f>
        <v>0</v>
      </c>
      <c r="E62" s="171">
        <f t="shared" si="14"/>
        <v>0</v>
      </c>
      <c r="F62" s="171">
        <f t="shared" si="13"/>
        <v>2030</v>
      </c>
      <c r="G62" s="94">
        <f>SUMIFS('Resultat-Produktion &amp; forbrug'!G$4:G$291,'Resultat-Produktion &amp; forbrug'!$A$4:$A$291,'Produktion &amp; forbrug'!$A62,'Resultat-Produktion &amp; forbrug'!$E$4:$E$291,'Produktion &amp; forbrug'!$F62)</f>
        <v>1505023.3782807803</v>
      </c>
      <c r="H62" s="94">
        <f>SUMIFS('Resultat-Produktion &amp; forbrug'!H$4:H$291,'Resultat-Produktion &amp; forbrug'!$A$4:$A$291,'Produktion &amp; forbrug'!$A62,'Resultat-Produktion &amp; forbrug'!$E$4:$E$291,'Produktion &amp; forbrug'!$F62)</f>
        <v>0</v>
      </c>
      <c r="I62" s="94">
        <f>SUMIFS('Resultat-Produktion &amp; forbrug'!I$4:I$291,'Resultat-Produktion &amp; forbrug'!$A$4:$A$291,'Produktion &amp; forbrug'!$A62,'Resultat-Produktion &amp; forbrug'!$E$4:$E$291,'Produktion &amp; forbrug'!$F62)</f>
        <v>0</v>
      </c>
      <c r="J62" s="94">
        <f>SUMIFS('Resultat-Produktion &amp; forbrug'!J$4:J$291,'Resultat-Produktion &amp; forbrug'!$A$4:$A$291,'Produktion &amp; forbrug'!$A62,'Resultat-Produktion &amp; forbrug'!$E$4:$E$291,'Produktion &amp; forbrug'!$F62)</f>
        <v>0</v>
      </c>
      <c r="K62" s="94">
        <f>SUMIFS('Resultat-Produktion &amp; forbrug'!K$4:K$291,'Resultat-Produktion &amp; forbrug'!$A$4:$A$291,'Produktion &amp; forbrug'!$A62,'Resultat-Produktion &amp; forbrug'!$E$4:$E$291,'Produktion &amp; forbrug'!$F62)</f>
        <v>0</v>
      </c>
      <c r="L62" s="94">
        <f>SUMIFS('Resultat-Produktion &amp; forbrug'!L$4:L$291,'Resultat-Produktion &amp; forbrug'!$A$4:$A$291,'Produktion &amp; forbrug'!$A62,'Resultat-Produktion &amp; forbrug'!$E$4:$E$291,'Produktion &amp; forbrug'!$F62)</f>
        <v>0</v>
      </c>
      <c r="M62" s="94">
        <f>SUMIFS('Resultat-Produktion &amp; forbrug'!M$4:M$291,'Resultat-Produktion &amp; forbrug'!$A$4:$A$291,'Produktion &amp; forbrug'!$A62,'Resultat-Produktion &amp; forbrug'!$E$4:$E$291,'Produktion &amp; forbrug'!$F62)</f>
        <v>0</v>
      </c>
      <c r="N62" s="94">
        <f>SUMIFS('Resultat-Produktion &amp; forbrug'!N$4:N$291,'Resultat-Produktion &amp; forbrug'!$A$4:$A$291,'Produktion &amp; forbrug'!$A62,'Resultat-Produktion &amp; forbrug'!$E$4:$E$291,'Produktion &amp; forbrug'!$F62)</f>
        <v>0</v>
      </c>
      <c r="O62" s="179">
        <f t="shared" si="3"/>
        <v>1505023.3782807803</v>
      </c>
      <c r="P62" s="94">
        <f t="shared" si="4"/>
        <v>0</v>
      </c>
      <c r="Q62" s="180">
        <f t="shared" si="5"/>
        <v>0</v>
      </c>
      <c r="R62">
        <f>IFERROR(VLOOKUP(A62,[1]Energiindhold!$A$2:$C$11,3,FALSE),IFERROR(VLOOKUP(A62,[1]Biogasudbytte!$A$2:$B$18,2,FALSE)*[1]Energiindhold!$C$10,0))*P62</f>
        <v>0</v>
      </c>
      <c r="S62">
        <f>IF(A62&lt;&gt;"Biogas",IFERROR(VLOOKUP(A62,[1]Biogasudbytte!$A$2:$B$18,2,FALSE)*[1]Energiindhold!$C$10,0)*K62*IFERROR(VLOOKUP(A62,Biogasanlæg!$F$3:$G$8,2,FALSE),1)+IFERROR(VLOOKUP(A62,[1]Energiindhold!$A$2:$C$11,3,FALSE),0)*M62+IF(F62&lt;&gt;År1,R62,0),0)</f>
        <v>0</v>
      </c>
      <c r="T62">
        <f>IFERROR(VLOOKUP(A62,[1]Biogasudbytte!$A$2:$B$18,2,FALSE)*[1]Energiindhold!$C$10,0)*K62*IFERROR(VLOOKUP(A62,Biogasanlæg!$F$3:$G$8,2,FALSE),1)</f>
        <v>0</v>
      </c>
      <c r="U62" s="170">
        <f t="shared" si="6"/>
        <v>0</v>
      </c>
      <c r="V62" s="169">
        <f>P62*IFERROR(VLOOKUP(A62,[1]Tørstofindhold!A$2:B$24,2,FALSE),0)</f>
        <v>0</v>
      </c>
      <c r="W62">
        <f>IF(F62=År1,Q62,SUM(P62,Q62))*IFERROR(VLOOKUP(A62,[1]Tørstofindhold!A$2:B$24,2,FALSE),0)</f>
        <v>0</v>
      </c>
      <c r="X62">
        <f>K62*IFERROR(VLOOKUP(A62,[1]Tørstofindhold!A$2:B$24,2,FALSE),0)</f>
        <v>0</v>
      </c>
      <c r="Y62" s="170">
        <f t="shared" si="7"/>
        <v>0</v>
      </c>
      <c r="Z62">
        <f t="shared" si="9"/>
        <v>0</v>
      </c>
      <c r="AA62">
        <f t="shared" si="10"/>
        <v>1</v>
      </c>
      <c r="AC62" s="94">
        <f t="shared" si="8"/>
        <v>1505023.3782807803</v>
      </c>
      <c r="AD62">
        <f>AC62*E62*10000*VLOOKUP(A62,[1]kcal!$A$2:$C$49,3,FALSE)/1000000000000</f>
        <v>0</v>
      </c>
    </row>
    <row r="63" spans="1:30" x14ac:dyDescent="0.25">
      <c r="A63" s="171" t="str">
        <f t="shared" si="11"/>
        <v>Frugt</v>
      </c>
      <c r="B63" s="171" t="str">
        <f t="shared" si="12"/>
        <v/>
      </c>
      <c r="C63" s="171" t="str">
        <f>IFERROR(VLOOKUP(A63,'Kategorisering af kcal'!$J$2:$K$18,2,FALSE),"")</f>
        <v>Frugt</v>
      </c>
      <c r="D63" s="171">
        <f>IF(COUNTIFS('Resultater - Danmark'!$D$3:$D$504,'Produktion &amp; forbrug'!A63,'Resultater - Danmark'!$A$3:$A$504,"Til energi")+COUNTIFS('Resultater - Danmark'!$D$3:$D$504,'Produktion &amp; forbrug'!A63,'Resultater - Danmark'!$A$3:$A$504,"Biogasanlæg")&gt;0,1,0)</f>
        <v>0</v>
      </c>
      <c r="E63" s="171">
        <f t="shared" si="14"/>
        <v>1</v>
      </c>
      <c r="F63" s="171">
        <f t="shared" si="13"/>
        <v>2030</v>
      </c>
      <c r="G63" s="94">
        <f>SUMIFS('Resultat-Produktion &amp; forbrug'!G$4:G$291,'Resultat-Produktion &amp; forbrug'!$A$4:$A$291,'Produktion &amp; forbrug'!$A63,'Resultat-Produktion &amp; forbrug'!$E$4:$E$291,'Produktion &amp; forbrug'!$F63)</f>
        <v>41916.857506008091</v>
      </c>
      <c r="H63" s="94">
        <f>SUMIFS('Resultat-Produktion &amp; forbrug'!H$4:H$291,'Resultat-Produktion &amp; forbrug'!$A$4:$A$291,'Produktion &amp; forbrug'!$A63,'Resultat-Produktion &amp; forbrug'!$E$4:$E$291,'Produktion &amp; forbrug'!$F63)</f>
        <v>0</v>
      </c>
      <c r="I63" s="94">
        <f>SUMIFS('Resultat-Produktion &amp; forbrug'!I$4:I$291,'Resultat-Produktion &amp; forbrug'!$A$4:$A$291,'Produktion &amp; forbrug'!$A63,'Resultat-Produktion &amp; forbrug'!$E$4:$E$291,'Produktion &amp; forbrug'!$F63)</f>
        <v>0</v>
      </c>
      <c r="J63" s="94">
        <f>SUMIFS('Resultat-Produktion &amp; forbrug'!J$4:J$291,'Resultat-Produktion &amp; forbrug'!$A$4:$A$291,'Produktion &amp; forbrug'!$A63,'Resultat-Produktion &amp; forbrug'!$E$4:$E$291,'Produktion &amp; forbrug'!$F63)</f>
        <v>481247.23703122488</v>
      </c>
      <c r="K63" s="94">
        <f>SUMIFS('Resultat-Produktion &amp; forbrug'!K$4:K$291,'Resultat-Produktion &amp; forbrug'!$A$4:$A$291,'Produktion &amp; forbrug'!$A63,'Resultat-Produktion &amp; forbrug'!$E$4:$E$291,'Produktion &amp; forbrug'!$F63)</f>
        <v>0</v>
      </c>
      <c r="L63" s="94">
        <f>SUMIFS('Resultat-Produktion &amp; forbrug'!L$4:L$291,'Resultat-Produktion &amp; forbrug'!$A$4:$A$291,'Produktion &amp; forbrug'!$A63,'Resultat-Produktion &amp; forbrug'!$E$4:$E$291,'Produktion &amp; forbrug'!$F63)</f>
        <v>0</v>
      </c>
      <c r="M63" s="94">
        <f>SUMIFS('Resultat-Produktion &amp; forbrug'!M$4:M$291,'Resultat-Produktion &amp; forbrug'!$A$4:$A$291,'Produktion &amp; forbrug'!$A63,'Resultat-Produktion &amp; forbrug'!$E$4:$E$291,'Produktion &amp; forbrug'!$F63)</f>
        <v>0</v>
      </c>
      <c r="N63" s="94">
        <f>SUMIFS('Resultat-Produktion &amp; forbrug'!N$4:N$291,'Resultat-Produktion &amp; forbrug'!$A$4:$A$291,'Produktion &amp; forbrug'!$A63,'Resultat-Produktion &amp; forbrug'!$E$4:$E$291,'Produktion &amp; forbrug'!$F63)</f>
        <v>0</v>
      </c>
      <c r="O63" s="179">
        <f t="shared" si="3"/>
        <v>-439330.37952521676</v>
      </c>
      <c r="P63" s="94">
        <f t="shared" si="4"/>
        <v>0</v>
      </c>
      <c r="Q63" s="180">
        <f t="shared" si="5"/>
        <v>0</v>
      </c>
      <c r="R63">
        <f>IFERROR(VLOOKUP(A63,[1]Energiindhold!$A$2:$C$11,3,FALSE),IFERROR(VLOOKUP(A63,[1]Biogasudbytte!$A$2:$B$18,2,FALSE)*[1]Energiindhold!$C$10,0))*P63</f>
        <v>0</v>
      </c>
      <c r="S63">
        <f>IF(A63&lt;&gt;"Biogas",IFERROR(VLOOKUP(A63,[1]Biogasudbytte!$A$2:$B$18,2,FALSE)*[1]Energiindhold!$C$10,0)*K63*IFERROR(VLOOKUP(A63,Biogasanlæg!$F$3:$G$8,2,FALSE),1)+IFERROR(VLOOKUP(A63,[1]Energiindhold!$A$2:$C$11,3,FALSE),0)*M63+IF(F63&lt;&gt;År1,R63,0),0)</f>
        <v>0</v>
      </c>
      <c r="T63">
        <f>IFERROR(VLOOKUP(A63,[1]Biogasudbytte!$A$2:$B$18,2,FALSE)*[1]Energiindhold!$C$10,0)*K63*IFERROR(VLOOKUP(A63,Biogasanlæg!$F$3:$G$8,2,FALSE),1)</f>
        <v>0</v>
      </c>
      <c r="U63" s="170">
        <f t="shared" si="6"/>
        <v>0</v>
      </c>
      <c r="V63" s="169">
        <f>P63*IFERROR(VLOOKUP(A63,[1]Tørstofindhold!A$2:B$24,2,FALSE),0)</f>
        <v>0</v>
      </c>
      <c r="W63">
        <f>IF(F63=År1,Q63,SUM(P63,Q63))*IFERROR(VLOOKUP(A63,[1]Tørstofindhold!A$2:B$24,2,FALSE),0)</f>
        <v>0</v>
      </c>
      <c r="X63">
        <f>K63*IFERROR(VLOOKUP(A63,[1]Tørstofindhold!A$2:B$24,2,FALSE),0)</f>
        <v>0</v>
      </c>
      <c r="Y63" s="170">
        <f t="shared" si="7"/>
        <v>0</v>
      </c>
      <c r="Z63">
        <f t="shared" si="9"/>
        <v>1</v>
      </c>
      <c r="AA63">
        <f t="shared" si="10"/>
        <v>0</v>
      </c>
      <c r="AC63" s="94">
        <f t="shared" si="8"/>
        <v>41916.857506008091</v>
      </c>
      <c r="AD63">
        <f>AC63*E63*10000*VLOOKUP(A63,[1]kcal!$A$2:$C$49,3,FALSE)/1000000000000</f>
        <v>2.1796765903124207E-2</v>
      </c>
    </row>
    <row r="64" spans="1:30" x14ac:dyDescent="0.25">
      <c r="A64" s="171" t="str">
        <f t="shared" si="11"/>
        <v>Glycerin</v>
      </c>
      <c r="B64" s="171" t="str">
        <f t="shared" si="12"/>
        <v>Glycerin</v>
      </c>
      <c r="C64" s="171" t="str">
        <f>IFERROR(VLOOKUP(A64,'Kategorisering af kcal'!$J$2:$K$18,2,FALSE),"")</f>
        <v/>
      </c>
      <c r="D64" s="171">
        <f>IF(COUNTIFS('Resultater - Danmark'!$D$3:$D$504,'Produktion &amp; forbrug'!A64,'Resultater - Danmark'!$A$3:$A$504,"Til energi")+COUNTIFS('Resultater - Danmark'!$D$3:$D$504,'Produktion &amp; forbrug'!A64,'Resultater - Danmark'!$A$3:$A$504,"Biogasanlæg")&gt;0,1,0)</f>
        <v>1</v>
      </c>
      <c r="E64" s="171">
        <f t="shared" si="14"/>
        <v>0</v>
      </c>
      <c r="F64" s="171">
        <f t="shared" si="13"/>
        <v>2030</v>
      </c>
      <c r="G64" s="94">
        <f>SUMIFS('Resultat-Produktion &amp; forbrug'!G$4:G$291,'Resultat-Produktion &amp; forbrug'!$A$4:$A$291,'Produktion &amp; forbrug'!$A64,'Resultat-Produktion &amp; forbrug'!$E$4:$E$291,'Produktion &amp; forbrug'!$F64)</f>
        <v>0</v>
      </c>
      <c r="H64" s="94">
        <f>SUMIFS('Resultat-Produktion &amp; forbrug'!H$4:H$291,'Resultat-Produktion &amp; forbrug'!$A$4:$A$291,'Produktion &amp; forbrug'!$A64,'Resultat-Produktion &amp; forbrug'!$E$4:$E$291,'Produktion &amp; forbrug'!$F64)</f>
        <v>0</v>
      </c>
      <c r="I64" s="94">
        <f>SUMIFS('Resultat-Produktion &amp; forbrug'!I$4:I$291,'Resultat-Produktion &amp; forbrug'!$A$4:$A$291,'Produktion &amp; forbrug'!$A64,'Resultat-Produktion &amp; forbrug'!$E$4:$E$291,'Produktion &amp; forbrug'!$F64)</f>
        <v>0</v>
      </c>
      <c r="J64" s="94">
        <f>SUMIFS('Resultat-Produktion &amp; forbrug'!J$4:J$291,'Resultat-Produktion &amp; forbrug'!$A$4:$A$291,'Produktion &amp; forbrug'!$A64,'Resultat-Produktion &amp; forbrug'!$E$4:$E$291,'Produktion &amp; forbrug'!$F64)</f>
        <v>0</v>
      </c>
      <c r="K64" s="94">
        <f>SUMIFS('Resultat-Produktion &amp; forbrug'!K$4:K$291,'Resultat-Produktion &amp; forbrug'!$A$4:$A$291,'Produktion &amp; forbrug'!$A64,'Resultat-Produktion &amp; forbrug'!$E$4:$E$291,'Produktion &amp; forbrug'!$F64)</f>
        <v>142742</v>
      </c>
      <c r="L64" s="94">
        <f>SUMIFS('Resultat-Produktion &amp; forbrug'!L$4:L$291,'Resultat-Produktion &amp; forbrug'!$A$4:$A$291,'Produktion &amp; forbrug'!$A64,'Resultat-Produktion &amp; forbrug'!$E$4:$E$291,'Produktion &amp; forbrug'!$F64)</f>
        <v>0</v>
      </c>
      <c r="M64" s="94">
        <f>SUMIFS('Resultat-Produktion &amp; forbrug'!M$4:M$291,'Resultat-Produktion &amp; forbrug'!$A$4:$A$291,'Produktion &amp; forbrug'!$A64,'Resultat-Produktion &amp; forbrug'!$E$4:$E$291,'Produktion &amp; forbrug'!$F64)</f>
        <v>0</v>
      </c>
      <c r="N64" s="94">
        <f>SUMIFS('Resultat-Produktion &amp; forbrug'!N$4:N$291,'Resultat-Produktion &amp; forbrug'!$A$4:$A$291,'Produktion &amp; forbrug'!$A64,'Resultat-Produktion &amp; forbrug'!$E$4:$E$291,'Produktion &amp; forbrug'!$F64)</f>
        <v>0</v>
      </c>
      <c r="O64" s="179">
        <f t="shared" si="3"/>
        <v>-142742</v>
      </c>
      <c r="P64" s="94">
        <f t="shared" si="4"/>
        <v>0</v>
      </c>
      <c r="Q64" s="180">
        <f t="shared" si="5"/>
        <v>142742</v>
      </c>
      <c r="R64">
        <f>IFERROR(VLOOKUP(A64,[1]Energiindhold!$A$2:$C$11,3,FALSE),IFERROR(VLOOKUP(A64,[1]Biogasudbytte!$A$2:$B$18,2,FALSE)*[1]Energiindhold!$C$10,0))*P64</f>
        <v>0</v>
      </c>
      <c r="S64">
        <f>IF(A64&lt;&gt;"Biogas",IFERROR(VLOOKUP(A64,[1]Biogasudbytte!$A$2:$B$18,2,FALSE)*[1]Energiindhold!$C$10,0)*K64*IFERROR(VLOOKUP(A64,Biogasanlæg!$F$3:$G$8,2,FALSE),1)+IFERROR(VLOOKUP(A64,[1]Energiindhold!$A$2:$C$11,3,FALSE),0)*M64+IF(F64&lt;&gt;År1,R64,0),0)</f>
        <v>2.1694819870080004</v>
      </c>
      <c r="T64">
        <f>IFERROR(VLOOKUP(A64,[1]Biogasudbytte!$A$2:$B$18,2,FALSE)*[1]Energiindhold!$C$10,0)*K64*IFERROR(VLOOKUP(A64,Biogasanlæg!$F$3:$G$8,2,FALSE),1)</f>
        <v>2.1694819870080004</v>
      </c>
      <c r="U64" s="170">
        <f t="shared" si="6"/>
        <v>0</v>
      </c>
      <c r="V64" s="169">
        <f>P64*IFERROR(VLOOKUP(A64,[1]Tørstofindhold!A$2:B$24,2,FALSE),0)</f>
        <v>0</v>
      </c>
      <c r="W64">
        <f>IF(F64=År1,Q64,SUM(P64,Q64))*IFERROR(VLOOKUP(A64,[1]Tørstofindhold!A$2:B$24,2,FALSE),0)</f>
        <v>128467.8</v>
      </c>
      <c r="X64">
        <f>K64*IFERROR(VLOOKUP(A64,[1]Tørstofindhold!A$2:B$24,2,FALSE),0)</f>
        <v>128467.8</v>
      </c>
      <c r="Y64" s="170">
        <f t="shared" si="7"/>
        <v>0</v>
      </c>
      <c r="Z64">
        <f t="shared" si="9"/>
        <v>1</v>
      </c>
      <c r="AA64">
        <f t="shared" si="10"/>
        <v>0</v>
      </c>
      <c r="AC64" s="94">
        <f t="shared" si="8"/>
        <v>-142742</v>
      </c>
      <c r="AD64">
        <f>AC64*E64*10000*VLOOKUP(A64,[1]kcal!$A$2:$C$49,3,FALSE)/1000000000000</f>
        <v>0</v>
      </c>
    </row>
    <row r="65" spans="1:30" x14ac:dyDescent="0.25">
      <c r="A65" s="171" t="str">
        <f t="shared" si="11"/>
        <v>Græs</v>
      </c>
      <c r="B65" s="171" t="str">
        <f t="shared" si="12"/>
        <v>Græs og urter</v>
      </c>
      <c r="C65" s="171" t="str">
        <f>IFERROR(VLOOKUP(A65,'Kategorisering af kcal'!$J$2:$K$18,2,FALSE),"")</f>
        <v/>
      </c>
      <c r="D65" s="171">
        <f>IF(COUNTIFS('Resultater - Danmark'!$D$3:$D$504,'Produktion &amp; forbrug'!A65,'Resultater - Danmark'!$A$3:$A$504,"Til energi")+COUNTIFS('Resultater - Danmark'!$D$3:$D$504,'Produktion &amp; forbrug'!A65,'Resultater - Danmark'!$A$3:$A$504,"Biogasanlæg")&gt;0,1,0)</f>
        <v>1</v>
      </c>
      <c r="E65" s="171">
        <f t="shared" si="14"/>
        <v>0</v>
      </c>
      <c r="F65" s="171">
        <f t="shared" si="13"/>
        <v>2030</v>
      </c>
      <c r="G65" s="94">
        <f>SUMIFS('Resultat-Produktion &amp; forbrug'!G$4:G$291,'Resultat-Produktion &amp; forbrug'!$A$4:$A$291,'Produktion &amp; forbrug'!$A65,'Resultat-Produktion &amp; forbrug'!$E$4:$E$291,'Produktion &amp; forbrug'!$F65)</f>
        <v>17573868.96676768</v>
      </c>
      <c r="H65" s="94">
        <f ca="1">SUMIFS('Resultat-Produktion &amp; forbrug'!H$4:H$291,'Resultat-Produktion &amp; forbrug'!$A$4:$A$291,'Produktion &amp; forbrug'!$A65,'Resultat-Produktion &amp; forbrug'!$E$4:$E$291,'Produktion &amp; forbrug'!$F65)</f>
        <v>13394379.31674801</v>
      </c>
      <c r="I65" s="94">
        <f>SUMIFS('Resultat-Produktion &amp; forbrug'!I$4:I$291,'Resultat-Produktion &amp; forbrug'!$A$4:$A$291,'Produktion &amp; forbrug'!$A65,'Resultat-Produktion &amp; forbrug'!$E$4:$E$291,'Produktion &amp; forbrug'!$F65)</f>
        <v>0</v>
      </c>
      <c r="J65" s="94">
        <f>SUMIFS('Resultat-Produktion &amp; forbrug'!J$4:J$291,'Resultat-Produktion &amp; forbrug'!$A$4:$A$291,'Produktion &amp; forbrug'!$A65,'Resultat-Produktion &amp; forbrug'!$E$4:$E$291,'Produktion &amp; forbrug'!$F65)</f>
        <v>0</v>
      </c>
      <c r="K65" s="94">
        <f>SUMIFS('Resultat-Produktion &amp; forbrug'!K$4:K$291,'Resultat-Produktion &amp; forbrug'!$A$4:$A$291,'Produktion &amp; forbrug'!$A65,'Resultat-Produktion &amp; forbrug'!$E$4:$E$291,'Produktion &amp; forbrug'!$F65)</f>
        <v>0</v>
      </c>
      <c r="L65" s="94">
        <f>SUMIFS('Resultat-Produktion &amp; forbrug'!L$4:L$291,'Resultat-Produktion &amp; forbrug'!$A$4:$A$291,'Produktion &amp; forbrug'!$A65,'Resultat-Produktion &amp; forbrug'!$E$4:$E$291,'Produktion &amp; forbrug'!$F65)</f>
        <v>0</v>
      </c>
      <c r="M65" s="94">
        <f>SUMIFS('Resultat-Produktion &amp; forbrug'!M$4:M$291,'Resultat-Produktion &amp; forbrug'!$A$4:$A$291,'Produktion &amp; forbrug'!$A65,'Resultat-Produktion &amp; forbrug'!$E$4:$E$291,'Produktion &amp; forbrug'!$F65)</f>
        <v>0</v>
      </c>
      <c r="N65" s="94">
        <f ca="1">SUMIFS('Resultat-Produktion &amp; forbrug'!N$4:N$291,'Resultat-Produktion &amp; forbrug'!$A$4:$A$291,'Produktion &amp; forbrug'!$A65,'Resultat-Produktion &amp; forbrug'!$E$4:$E$291,'Produktion &amp; forbrug'!$F65)</f>
        <v>0</v>
      </c>
      <c r="O65" s="179">
        <f t="shared" ca="1" si="3"/>
        <v>4179489.6500196699</v>
      </c>
      <c r="P65" s="94">
        <f t="shared" ca="1" si="4"/>
        <v>4179489.6500196699</v>
      </c>
      <c r="Q65" s="180">
        <f t="shared" si="5"/>
        <v>0</v>
      </c>
      <c r="R65">
        <f ca="1">IFERROR(VLOOKUP(A65,[1]Energiindhold!$A$2:$C$11,3,FALSE),IFERROR(VLOOKUP(A65,[1]Biogasudbytte!$A$2:$B$18,2,FALSE)*[1]Energiindhold!$C$10,0))*P65</f>
        <v>7.6897385198299411</v>
      </c>
      <c r="S65">
        <f ca="1">IF(A65&lt;&gt;"Biogas",IFERROR(VLOOKUP(A65,[1]Biogasudbytte!$A$2:$B$18,2,FALSE)*[1]Energiindhold!$C$10,0)*K65*IFERROR(VLOOKUP(A65,Biogasanlæg!$F$3:$G$8,2,FALSE),1)+IFERROR(VLOOKUP(A65,[1]Energiindhold!$A$2:$C$11,3,FALSE),0)*M65+IF(F65&lt;&gt;År1,R65,0),0)</f>
        <v>7.6897385198299411</v>
      </c>
      <c r="T65">
        <f>IFERROR(VLOOKUP(A65,[1]Biogasudbytte!$A$2:$B$18,2,FALSE)*[1]Energiindhold!$C$10,0)*K65*IFERROR(VLOOKUP(A65,Biogasanlæg!$F$3:$G$8,2,FALSE),1)</f>
        <v>0</v>
      </c>
      <c r="U65" s="170">
        <f t="shared" ca="1" si="6"/>
        <v>7.6897385198299411</v>
      </c>
      <c r="V65" s="169">
        <f ca="1">P65*IFERROR(VLOOKUP(A65,[1]Tørstofindhold!A$2:B$24,2,FALSE),0)</f>
        <v>1170257.1020055078</v>
      </c>
      <c r="W65">
        <f ca="1">IF(F65=År1,Q65,SUM(P65,Q65))*IFERROR(VLOOKUP(A65,[1]Tørstofindhold!A$2:B$24,2,FALSE),0)</f>
        <v>1170257.1020055078</v>
      </c>
      <c r="X65">
        <f>K65*IFERROR(VLOOKUP(A65,[1]Tørstofindhold!A$2:B$24,2,FALSE),0)</f>
        <v>0</v>
      </c>
      <c r="Y65" s="170">
        <f t="shared" ca="1" si="7"/>
        <v>1170257.1020055078</v>
      </c>
      <c r="Z65">
        <f t="shared" ca="1" si="9"/>
        <v>0</v>
      </c>
      <c r="AA65">
        <f t="shared" ca="1" si="10"/>
        <v>1</v>
      </c>
      <c r="AC65" s="94">
        <f t="shared" ca="1" si="8"/>
        <v>4179489.6500196699</v>
      </c>
      <c r="AD65">
        <f ca="1">AC65*E65*10000*VLOOKUP(A65,[1]kcal!$A$2:$C$49,3,FALSE)/1000000000000</f>
        <v>0</v>
      </c>
    </row>
    <row r="66" spans="1:30" x14ac:dyDescent="0.25">
      <c r="A66" s="171" t="str">
        <f t="shared" si="11"/>
        <v>Græsprotein</v>
      </c>
      <c r="B66" s="171" t="str">
        <f t="shared" si="12"/>
        <v/>
      </c>
      <c r="C66" s="171" t="str">
        <f>IFERROR(VLOOKUP(A66,'Kategorisering af kcal'!$J$2:$K$18,2,FALSE),"")</f>
        <v/>
      </c>
      <c r="D66" s="171">
        <f>IF(COUNTIFS('Resultater - Danmark'!$D$3:$D$504,'Produktion &amp; forbrug'!A66,'Resultater - Danmark'!$A$3:$A$504,"Til energi")+COUNTIFS('Resultater - Danmark'!$D$3:$D$504,'Produktion &amp; forbrug'!A66,'Resultater - Danmark'!$A$3:$A$504,"Biogasanlæg")&gt;0,1,0)</f>
        <v>0</v>
      </c>
      <c r="E66" s="171">
        <f t="shared" si="14"/>
        <v>0</v>
      </c>
      <c r="F66" s="171">
        <f t="shared" si="13"/>
        <v>2030</v>
      </c>
      <c r="G66" s="94">
        <f ca="1">SUMIFS('Resultat-Produktion &amp; forbrug'!G$4:G$291,'Resultat-Produktion &amp; forbrug'!$A$4:$A$291,'Produktion &amp; forbrug'!$A66,'Resultat-Produktion &amp; forbrug'!$E$4:$E$291,'Produktion &amp; forbrug'!$F66)</f>
        <v>0</v>
      </c>
      <c r="H66" s="94">
        <f ca="1">SUMIFS('Resultat-Produktion &amp; forbrug'!H$4:H$291,'Resultat-Produktion &amp; forbrug'!$A$4:$A$291,'Produktion &amp; forbrug'!$A66,'Resultat-Produktion &amp; forbrug'!$E$4:$E$291,'Produktion &amp; forbrug'!$F66)</f>
        <v>0</v>
      </c>
      <c r="I66" s="94">
        <f>SUMIFS('Resultat-Produktion &amp; forbrug'!I$4:I$291,'Resultat-Produktion &amp; forbrug'!$A$4:$A$291,'Produktion &amp; forbrug'!$A66,'Resultat-Produktion &amp; forbrug'!$E$4:$E$291,'Produktion &amp; forbrug'!$F66)</f>
        <v>0</v>
      </c>
      <c r="J66" s="94">
        <f>SUMIFS('Resultat-Produktion &amp; forbrug'!J$4:J$291,'Resultat-Produktion &amp; forbrug'!$A$4:$A$291,'Produktion &amp; forbrug'!$A66,'Resultat-Produktion &amp; forbrug'!$E$4:$E$291,'Produktion &amp; forbrug'!$F66)</f>
        <v>0</v>
      </c>
      <c r="K66" s="94">
        <f>SUMIFS('Resultat-Produktion &amp; forbrug'!K$4:K$291,'Resultat-Produktion &amp; forbrug'!$A$4:$A$291,'Produktion &amp; forbrug'!$A66,'Resultat-Produktion &amp; forbrug'!$E$4:$E$291,'Produktion &amp; forbrug'!$F66)</f>
        <v>0</v>
      </c>
      <c r="L66" s="94">
        <f>SUMIFS('Resultat-Produktion &amp; forbrug'!L$4:L$291,'Resultat-Produktion &amp; forbrug'!$A$4:$A$291,'Produktion &amp; forbrug'!$A66,'Resultat-Produktion &amp; forbrug'!$E$4:$E$291,'Produktion &amp; forbrug'!$F66)</f>
        <v>0</v>
      </c>
      <c r="M66" s="94">
        <f>SUMIFS('Resultat-Produktion &amp; forbrug'!M$4:M$291,'Resultat-Produktion &amp; forbrug'!$A$4:$A$291,'Produktion &amp; forbrug'!$A66,'Resultat-Produktion &amp; forbrug'!$E$4:$E$291,'Produktion &amp; forbrug'!$F66)</f>
        <v>0</v>
      </c>
      <c r="N66" s="94">
        <f>SUMIFS('Resultat-Produktion &amp; forbrug'!N$4:N$291,'Resultat-Produktion &amp; forbrug'!$A$4:$A$291,'Produktion &amp; forbrug'!$A66,'Resultat-Produktion &amp; forbrug'!$E$4:$E$291,'Produktion &amp; forbrug'!$F66)</f>
        <v>0</v>
      </c>
      <c r="O66" s="179">
        <f t="shared" ca="1" si="3"/>
        <v>0</v>
      </c>
      <c r="P66" s="94">
        <f t="shared" si="4"/>
        <v>0</v>
      </c>
      <c r="Q66" s="180">
        <f t="shared" si="5"/>
        <v>0</v>
      </c>
      <c r="R66">
        <f>IFERROR(VLOOKUP(A66,[1]Energiindhold!$A$2:$C$11,3,FALSE),IFERROR(VLOOKUP(A66,[1]Biogasudbytte!$A$2:$B$18,2,FALSE)*[1]Energiindhold!$C$10,0))*P66</f>
        <v>0</v>
      </c>
      <c r="S66">
        <f>IF(A66&lt;&gt;"Biogas",IFERROR(VLOOKUP(A66,[1]Biogasudbytte!$A$2:$B$18,2,FALSE)*[1]Energiindhold!$C$10,0)*K66*IFERROR(VLOOKUP(A66,Biogasanlæg!$F$3:$G$8,2,FALSE),1)+IFERROR(VLOOKUP(A66,[1]Energiindhold!$A$2:$C$11,3,FALSE),0)*M66+IF(F66&lt;&gt;År1,R66,0),0)</f>
        <v>0</v>
      </c>
      <c r="T66">
        <f>IFERROR(VLOOKUP(A66,[1]Biogasudbytte!$A$2:$B$18,2,FALSE)*[1]Energiindhold!$C$10,0)*K66*IFERROR(VLOOKUP(A66,Biogasanlæg!$F$3:$G$8,2,FALSE),1)</f>
        <v>0</v>
      </c>
      <c r="U66" s="170">
        <f t="shared" si="6"/>
        <v>0</v>
      </c>
      <c r="V66" s="169">
        <f>P66*IFERROR(VLOOKUP(A66,[1]Tørstofindhold!A$2:B$24,2,FALSE),0)</f>
        <v>0</v>
      </c>
      <c r="W66">
        <f>IF(F66=År1,Q66,SUM(P66,Q66))*IFERROR(VLOOKUP(A66,[1]Tørstofindhold!A$2:B$24,2,FALSE),0)</f>
        <v>0</v>
      </c>
      <c r="X66">
        <f>K66*IFERROR(VLOOKUP(A66,[1]Tørstofindhold!A$2:B$24,2,FALSE),0)</f>
        <v>0</v>
      </c>
      <c r="Y66" s="170">
        <f t="shared" si="7"/>
        <v>0</v>
      </c>
      <c r="Z66">
        <f t="shared" ca="1" si="9"/>
        <v>0</v>
      </c>
      <c r="AA66">
        <f t="shared" ca="1" si="10"/>
        <v>0</v>
      </c>
      <c r="AC66" s="94">
        <f t="shared" ca="1" si="8"/>
        <v>0</v>
      </c>
      <c r="AD66">
        <f ca="1">AC66*E66*10000*VLOOKUP(A66,[1]kcal!$A$2:$C$49,3,FALSE)/1000000000000</f>
        <v>0</v>
      </c>
    </row>
    <row r="67" spans="1:30" x14ac:dyDescent="0.25">
      <c r="A67" s="171" t="str">
        <f t="shared" si="11"/>
        <v>Grøntsager</v>
      </c>
      <c r="B67" s="171" t="str">
        <f t="shared" si="12"/>
        <v/>
      </c>
      <c r="C67" s="171" t="str">
        <f>IFERROR(VLOOKUP(A67,'Kategorisering af kcal'!$J$2:$K$18,2,FALSE),"")</f>
        <v>Grøntsager</v>
      </c>
      <c r="D67" s="171">
        <f>IF(COUNTIFS('Resultater - Danmark'!$D$3:$D$504,'Produktion &amp; forbrug'!A67,'Resultater - Danmark'!$A$3:$A$504,"Til energi")+COUNTIFS('Resultater - Danmark'!$D$3:$D$504,'Produktion &amp; forbrug'!A67,'Resultater - Danmark'!$A$3:$A$504,"Biogasanlæg")&gt;0,1,0)</f>
        <v>0</v>
      </c>
      <c r="E67" s="171">
        <f t="shared" si="14"/>
        <v>1</v>
      </c>
      <c r="F67" s="171">
        <f t="shared" si="13"/>
        <v>2030</v>
      </c>
      <c r="G67" s="94">
        <f>SUMIFS('Resultat-Produktion &amp; forbrug'!G$4:G$291,'Resultat-Produktion &amp; forbrug'!$A$4:$A$291,'Produktion &amp; forbrug'!$A67,'Resultat-Produktion &amp; forbrug'!$E$4:$E$291,'Produktion &amp; forbrug'!$F67)</f>
        <v>282432.65363276482</v>
      </c>
      <c r="H67" s="94">
        <f>SUMIFS('Resultat-Produktion &amp; forbrug'!H$4:H$291,'Resultat-Produktion &amp; forbrug'!$A$4:$A$291,'Produktion &amp; forbrug'!$A67,'Resultat-Produktion &amp; forbrug'!$E$4:$E$291,'Produktion &amp; forbrug'!$F67)</f>
        <v>0</v>
      </c>
      <c r="I67" s="94">
        <f>SUMIFS('Resultat-Produktion &amp; forbrug'!I$4:I$291,'Resultat-Produktion &amp; forbrug'!$A$4:$A$291,'Produktion &amp; forbrug'!$A67,'Resultat-Produktion &amp; forbrug'!$E$4:$E$291,'Produktion &amp; forbrug'!$F67)</f>
        <v>0</v>
      </c>
      <c r="J67" s="94">
        <f>SUMIFS('Resultat-Produktion &amp; forbrug'!J$4:J$291,'Resultat-Produktion &amp; forbrug'!$A$4:$A$291,'Produktion &amp; forbrug'!$A67,'Resultat-Produktion &amp; forbrug'!$E$4:$E$291,'Produktion &amp; forbrug'!$F67)</f>
        <v>504043.1587853356</v>
      </c>
      <c r="K67" s="94">
        <f>SUMIFS('Resultat-Produktion &amp; forbrug'!K$4:K$291,'Resultat-Produktion &amp; forbrug'!$A$4:$A$291,'Produktion &amp; forbrug'!$A67,'Resultat-Produktion &amp; forbrug'!$E$4:$E$291,'Produktion &amp; forbrug'!$F67)</f>
        <v>0</v>
      </c>
      <c r="L67" s="94">
        <f>SUMIFS('Resultat-Produktion &amp; forbrug'!L$4:L$291,'Resultat-Produktion &amp; forbrug'!$A$4:$A$291,'Produktion &amp; forbrug'!$A67,'Resultat-Produktion &amp; forbrug'!$E$4:$E$291,'Produktion &amp; forbrug'!$F67)</f>
        <v>0</v>
      </c>
      <c r="M67" s="94">
        <f>SUMIFS('Resultat-Produktion &amp; forbrug'!M$4:M$291,'Resultat-Produktion &amp; forbrug'!$A$4:$A$291,'Produktion &amp; forbrug'!$A67,'Resultat-Produktion &amp; forbrug'!$E$4:$E$291,'Produktion &amp; forbrug'!$F67)</f>
        <v>0</v>
      </c>
      <c r="N67" s="94">
        <f>SUMIFS('Resultat-Produktion &amp; forbrug'!N$4:N$291,'Resultat-Produktion &amp; forbrug'!$A$4:$A$291,'Produktion &amp; forbrug'!$A67,'Resultat-Produktion &amp; forbrug'!$E$4:$E$291,'Produktion &amp; forbrug'!$F67)</f>
        <v>0</v>
      </c>
      <c r="O67" s="179">
        <f t="shared" si="3"/>
        <v>-221610.50515257078</v>
      </c>
      <c r="P67" s="94">
        <f t="shared" si="4"/>
        <v>0</v>
      </c>
      <c r="Q67" s="180">
        <f t="shared" si="5"/>
        <v>0</v>
      </c>
      <c r="R67">
        <f>IFERROR(VLOOKUP(A67,[1]Energiindhold!$A$2:$C$11,3,FALSE),IFERROR(VLOOKUP(A67,[1]Biogasudbytte!$A$2:$B$18,2,FALSE)*[1]Energiindhold!$C$10,0))*P67</f>
        <v>0</v>
      </c>
      <c r="S67">
        <f>IF(A67&lt;&gt;"Biogas",IFERROR(VLOOKUP(A67,[1]Biogasudbytte!$A$2:$B$18,2,FALSE)*[1]Energiindhold!$C$10,0)*K67*IFERROR(VLOOKUP(A67,Biogasanlæg!$F$3:$G$8,2,FALSE),1)+IFERROR(VLOOKUP(A67,[1]Energiindhold!$A$2:$C$11,3,FALSE),0)*M67+IF(F67&lt;&gt;År1,R67,0),0)</f>
        <v>0</v>
      </c>
      <c r="T67">
        <f>IFERROR(VLOOKUP(A67,[1]Biogasudbytte!$A$2:$B$18,2,FALSE)*[1]Energiindhold!$C$10,0)*K67*IFERROR(VLOOKUP(A67,Biogasanlæg!$F$3:$G$8,2,FALSE),1)</f>
        <v>0</v>
      </c>
      <c r="U67" s="170">
        <f t="shared" si="6"/>
        <v>0</v>
      </c>
      <c r="V67" s="169">
        <f>P67*IFERROR(VLOOKUP(A67,[1]Tørstofindhold!A$2:B$24,2,FALSE),0)</f>
        <v>0</v>
      </c>
      <c r="W67">
        <f>IF(F67=År1,Q67,SUM(P67,Q67))*IFERROR(VLOOKUP(A67,[1]Tørstofindhold!A$2:B$24,2,FALSE),0)</f>
        <v>0</v>
      </c>
      <c r="X67">
        <f>K67*IFERROR(VLOOKUP(A67,[1]Tørstofindhold!A$2:B$24,2,FALSE),0)</f>
        <v>0</v>
      </c>
      <c r="Y67" s="170">
        <f t="shared" si="7"/>
        <v>0</v>
      </c>
      <c r="Z67">
        <f t="shared" si="9"/>
        <v>1</v>
      </c>
      <c r="AA67">
        <f t="shared" si="10"/>
        <v>0</v>
      </c>
      <c r="AC67" s="94">
        <f t="shared" si="8"/>
        <v>282432.65363276482</v>
      </c>
      <c r="AD67">
        <f>AC67*E67*10000*VLOOKUP(A67,[1]kcal!$A$2:$C$49,3,FALSE)/1000000000000</f>
        <v>0.11014873491677828</v>
      </c>
    </row>
    <row r="68" spans="1:30" x14ac:dyDescent="0.25">
      <c r="A68" s="171" t="str">
        <f t="shared" si="11"/>
        <v>Halm</v>
      </c>
      <c r="B68" s="171" t="str">
        <f t="shared" si="12"/>
        <v>Halm og strå</v>
      </c>
      <c r="C68" s="171" t="str">
        <f>IFERROR(VLOOKUP(A68,'Kategorisering af kcal'!$J$2:$K$18,2,FALSE),"")</f>
        <v/>
      </c>
      <c r="D68" s="171">
        <f>IF(COUNTIFS('Resultater - Danmark'!$D$3:$D$504,'Produktion &amp; forbrug'!A68,'Resultater - Danmark'!$A$3:$A$504,"Til energi")+COUNTIFS('Resultater - Danmark'!$D$3:$D$504,'Produktion &amp; forbrug'!A68,'Resultater - Danmark'!$A$3:$A$504,"Biogasanlæg")&gt;0,1,0)</f>
        <v>1</v>
      </c>
      <c r="E68" s="171">
        <f t="shared" si="14"/>
        <v>0</v>
      </c>
      <c r="F68" s="171">
        <f t="shared" si="13"/>
        <v>2030</v>
      </c>
      <c r="G68" s="94">
        <f ca="1">SUMIFS('Resultat-Produktion &amp; forbrug'!G$4:G$291,'Resultat-Produktion &amp; forbrug'!$A$4:$A$291,'Produktion &amp; forbrug'!$A68,'Resultat-Produktion &amp; forbrug'!$E$4:$E$291,'Produktion &amp; forbrug'!$F68)</f>
        <v>4965794.8494110061</v>
      </c>
      <c r="H68" s="94">
        <f ca="1">SUMIFS('Resultat-Produktion &amp; forbrug'!H$4:H$291,'Resultat-Produktion &amp; forbrug'!$A$4:$A$291,'Produktion &amp; forbrug'!$A68,'Resultat-Produktion &amp; forbrug'!$E$4:$E$291,'Produktion &amp; forbrug'!$F68)</f>
        <v>846156.89556793321</v>
      </c>
      <c r="I68" s="94">
        <f ca="1">SUMIFS('Resultat-Produktion &amp; forbrug'!I$4:I$291,'Resultat-Produktion &amp; forbrug'!$A$4:$A$291,'Produktion &amp; forbrug'!$A68,'Resultat-Produktion &amp; forbrug'!$E$4:$E$291,'Produktion &amp; forbrug'!$F68)</f>
        <v>802036.83884204261</v>
      </c>
      <c r="J68" s="94">
        <f>SUMIFS('Resultat-Produktion &amp; forbrug'!J$4:J$291,'Resultat-Produktion &amp; forbrug'!$A$4:$A$291,'Produktion &amp; forbrug'!$A68,'Resultat-Produktion &amp; forbrug'!$E$4:$E$291,'Produktion &amp; forbrug'!$F68)</f>
        <v>0</v>
      </c>
      <c r="K68" s="94">
        <f ca="1">SUMIFS('Resultat-Produktion &amp; forbrug'!K$4:K$291,'Resultat-Produktion &amp; forbrug'!$A$4:$A$291,'Produktion &amp; forbrug'!$A68,'Resultat-Produktion &amp; forbrug'!$E$4:$E$291,'Produktion &amp; forbrug'!$F68)</f>
        <v>0</v>
      </c>
      <c r="L68" s="94">
        <f>SUMIFS('Resultat-Produktion &amp; forbrug'!L$4:L$291,'Resultat-Produktion &amp; forbrug'!$A$4:$A$291,'Produktion &amp; forbrug'!$A68,'Resultat-Produktion &amp; forbrug'!$E$4:$E$291,'Produktion &amp; forbrug'!$F68)</f>
        <v>0</v>
      </c>
      <c r="M68" s="94">
        <f ca="1">SUMIFS('Resultat-Produktion &amp; forbrug'!M$4:M$291,'Resultat-Produktion &amp; forbrug'!$A$4:$A$291,'Produktion &amp; forbrug'!$A68,'Resultat-Produktion &amp; forbrug'!$E$4:$E$291,'Produktion &amp; forbrug'!$F68)</f>
        <v>3317601.1150010298</v>
      </c>
      <c r="N68" s="94">
        <f ca="1">SUMIFS('Resultat-Produktion &amp; forbrug'!N$4:N$291,'Resultat-Produktion &amp; forbrug'!$A$4:$A$291,'Produktion &amp; forbrug'!$A68,'Resultat-Produktion &amp; forbrug'!$E$4:$E$291,'Produktion &amp; forbrug'!$F68)</f>
        <v>0</v>
      </c>
      <c r="O68" s="179">
        <f t="shared" ca="1" si="3"/>
        <v>0</v>
      </c>
      <c r="P68" s="94">
        <f t="shared" ca="1" si="4"/>
        <v>0</v>
      </c>
      <c r="Q68" s="180">
        <f t="shared" ca="1" si="5"/>
        <v>3317601.1150010298</v>
      </c>
      <c r="R68">
        <f ca="1">IFERROR(VLOOKUP(A68,[1]Energiindhold!$A$2:$C$11,3,FALSE),IFERROR(VLOOKUP(A68,[1]Biogasudbytte!$A$2:$B$18,2,FALSE)*[1]Energiindhold!$C$10,0))*P68</f>
        <v>0</v>
      </c>
      <c r="S68">
        <f ca="1">IF(A68&lt;&gt;"Biogas",IFERROR(VLOOKUP(A68,[1]Biogasudbytte!$A$2:$B$18,2,FALSE)*[1]Energiindhold!$C$10,0)*K68*IFERROR(VLOOKUP(A68,Biogasanlæg!$F$3:$G$8,2,FALSE),1)+IFERROR(VLOOKUP(A68,[1]Energiindhold!$A$2:$C$11,3,FALSE),0)*M68+IF(F68&lt;&gt;År1,R68,0),0)</f>
        <v>34.290082635146881</v>
      </c>
      <c r="T68">
        <f ca="1">IFERROR(VLOOKUP(A68,[1]Biogasudbytte!$A$2:$B$18,2,FALSE)*[1]Energiindhold!$C$10,0)*K68*IFERROR(VLOOKUP(A68,Biogasanlæg!$F$3:$G$8,2,FALSE),1)</f>
        <v>0</v>
      </c>
      <c r="U68" s="170">
        <f t="shared" ca="1" si="6"/>
        <v>34.290082635146881</v>
      </c>
      <c r="V68" s="169">
        <f ca="1">P68*IFERROR(VLOOKUP(A68,[1]Tørstofindhold!A$2:B$24,2,FALSE),0)</f>
        <v>0</v>
      </c>
      <c r="W68">
        <f ca="1">IF(F68=År1,Q68,SUM(P68,Q68))*IFERROR(VLOOKUP(A68,[1]Tørstofindhold!A$2:B$24,2,FALSE),0)</f>
        <v>2819960.9477508753</v>
      </c>
      <c r="X68">
        <f ca="1">K68*IFERROR(VLOOKUP(A68,[1]Tørstofindhold!A$2:B$24,2,FALSE),0)</f>
        <v>0</v>
      </c>
      <c r="Y68" s="170">
        <f t="shared" ca="1" si="7"/>
        <v>2819960.9477508753</v>
      </c>
      <c r="Z68">
        <f t="shared" ref="Z68:Z99" ca="1" si="15">IF(SUMIFS($O$4:$O$147,$A$4:$A$147,A68,$F$4:$F$147,F68)&lt;0,1,0)</f>
        <v>0</v>
      </c>
      <c r="AA68">
        <f t="shared" ref="AA68:AA99" ca="1" si="16">IF(SUMIFS($O$4:$O$147,$A$4:$A$147,A68,$F$4:$F$147,F68)&gt;0,1,0)</f>
        <v>0</v>
      </c>
      <c r="AC68" s="94">
        <f t="shared" ca="1" si="8"/>
        <v>3317601.1150010303</v>
      </c>
      <c r="AD68">
        <f ca="1">AC68*E68*10000*VLOOKUP(A68,[1]kcal!$A$2:$C$49,3,FALSE)/1000000000000</f>
        <v>0</v>
      </c>
    </row>
    <row r="69" spans="1:30" x14ac:dyDescent="0.25">
      <c r="A69" s="171" t="str">
        <f t="shared" si="11"/>
        <v>Have/parkaffald</v>
      </c>
      <c r="B69" s="171" t="str">
        <f t="shared" si="12"/>
        <v>Bionedbrydeligt affald</v>
      </c>
      <c r="C69" s="171" t="str">
        <f>IFERROR(VLOOKUP(A69,'Kategorisering af kcal'!$J$2:$K$18,2,FALSE),"")</f>
        <v/>
      </c>
      <c r="D69" s="171">
        <f>IF(COUNTIFS('Resultater - Danmark'!$D$3:$D$504,'Produktion &amp; forbrug'!A69,'Resultater - Danmark'!$A$3:$A$504,"Til energi")+COUNTIFS('Resultater - Danmark'!$D$3:$D$504,'Produktion &amp; forbrug'!A69,'Resultater - Danmark'!$A$3:$A$504,"Biogasanlæg")&gt;0,1,0)</f>
        <v>1</v>
      </c>
      <c r="E69" s="171">
        <f t="shared" si="14"/>
        <v>0</v>
      </c>
      <c r="F69" s="171">
        <f t="shared" si="13"/>
        <v>2030</v>
      </c>
      <c r="G69" s="94">
        <f>SUMIFS('Resultat-Produktion &amp; forbrug'!G$4:G$291,'Resultat-Produktion &amp; forbrug'!$A$4:$A$291,'Produktion &amp; forbrug'!$A69,'Resultat-Produktion &amp; forbrug'!$E$4:$E$291,'Produktion &amp; forbrug'!$F69)</f>
        <v>982809</v>
      </c>
      <c r="H69" s="94">
        <f>SUMIFS('Resultat-Produktion &amp; forbrug'!H$4:H$291,'Resultat-Produktion &amp; forbrug'!$A$4:$A$291,'Produktion &amp; forbrug'!$A69,'Resultat-Produktion &amp; forbrug'!$E$4:$E$291,'Produktion &amp; forbrug'!$F69)</f>
        <v>0</v>
      </c>
      <c r="I69" s="94">
        <f>SUMIFS('Resultat-Produktion &amp; forbrug'!I$4:I$291,'Resultat-Produktion &amp; forbrug'!$A$4:$A$291,'Produktion &amp; forbrug'!$A69,'Resultat-Produktion &amp; forbrug'!$E$4:$E$291,'Produktion &amp; forbrug'!$F69)</f>
        <v>0</v>
      </c>
      <c r="J69" s="94">
        <f>SUMIFS('Resultat-Produktion &amp; forbrug'!J$4:J$291,'Resultat-Produktion &amp; forbrug'!$A$4:$A$291,'Produktion &amp; forbrug'!$A69,'Resultat-Produktion &amp; forbrug'!$E$4:$E$291,'Produktion &amp; forbrug'!$F69)</f>
        <v>0</v>
      </c>
      <c r="K69" s="94">
        <f>SUMIFS('Resultat-Produktion &amp; forbrug'!K$4:K$291,'Resultat-Produktion &amp; forbrug'!$A$4:$A$291,'Produktion &amp; forbrug'!$A69,'Resultat-Produktion &amp; forbrug'!$E$4:$E$291,'Produktion &amp; forbrug'!$F69)</f>
        <v>750000</v>
      </c>
      <c r="L69" s="94">
        <f>SUMIFS('Resultat-Produktion &amp; forbrug'!L$4:L$291,'Resultat-Produktion &amp; forbrug'!$A$4:$A$291,'Produktion &amp; forbrug'!$A69,'Resultat-Produktion &amp; forbrug'!$E$4:$E$291,'Produktion &amp; forbrug'!$F69)</f>
        <v>0</v>
      </c>
      <c r="M69" s="94">
        <f>SUMIFS('Resultat-Produktion &amp; forbrug'!M$4:M$291,'Resultat-Produktion &amp; forbrug'!$A$4:$A$291,'Produktion &amp; forbrug'!$A69,'Resultat-Produktion &amp; forbrug'!$E$4:$E$291,'Produktion &amp; forbrug'!$F69)</f>
        <v>232809.00000000006</v>
      </c>
      <c r="N69" s="94">
        <f>SUMIFS('Resultat-Produktion &amp; forbrug'!N$4:N$291,'Resultat-Produktion &amp; forbrug'!$A$4:$A$291,'Produktion &amp; forbrug'!$A69,'Resultat-Produktion &amp; forbrug'!$E$4:$E$291,'Produktion &amp; forbrug'!$F69)</f>
        <v>0</v>
      </c>
      <c r="O69" s="179">
        <f t="shared" ref="O69:O134" si="17">G69-SUM(H69:N69)</f>
        <v>0</v>
      </c>
      <c r="P69" s="94">
        <f t="shared" ref="P69:P132" si="18">IF(D69=1,MAX(O69,0),0)</f>
        <v>0</v>
      </c>
      <c r="Q69" s="180">
        <f t="shared" ref="Q69:Q134" si="19">SUM(K69,M69)</f>
        <v>982809</v>
      </c>
      <c r="R69">
        <f>IFERROR(VLOOKUP(A69,[1]Energiindhold!$A$2:$C$11,3,FALSE),IFERROR(VLOOKUP(A69,[1]Biogasudbytte!$A$2:$B$18,2,FALSE)*[1]Energiindhold!$C$10,0))*P69</f>
        <v>0</v>
      </c>
      <c r="S69">
        <f>IF(A69&lt;&gt;"Biogas",IFERROR(VLOOKUP(A69,[1]Biogasudbytte!$A$2:$B$18,2,FALSE)*[1]Energiindhold!$C$10,0)*K69*IFERROR(VLOOKUP(A69,Biogasanlæg!$F$3:$G$8,2,FALSE),1)+IFERROR(VLOOKUP(A69,[1]Energiindhold!$A$2:$C$11,3,FALSE),0)*M69+IF(F69&lt;&gt;År1,R69,0),0)</f>
        <v>5.4297101071975513</v>
      </c>
      <c r="T69">
        <f>IFERROR(VLOOKUP(A69,[1]Biogasudbytte!$A$2:$B$18,2,FALSE)*[1]Energiindhold!$C$10,0)*K69*IFERROR(VLOOKUP(A69,Biogasanlæg!$F$3:$G$8,2,FALSE),1)</f>
        <v>1.2735525000000001</v>
      </c>
      <c r="U69" s="170">
        <f t="shared" ref="U69:U134" si="20">S69-T69</f>
        <v>4.1561576071975512</v>
      </c>
      <c r="V69" s="169">
        <f>P69*IFERROR(VLOOKUP(A69,[1]Tørstofindhold!A$2:B$24,2,FALSE),0)</f>
        <v>0</v>
      </c>
      <c r="W69">
        <f>IF(F69=År1,Q69,SUM(P69,Q69))*IFERROR(VLOOKUP(A69,[1]Tørstofindhold!A$2:B$24,2,FALSE),0)</f>
        <v>294842.7</v>
      </c>
      <c r="X69">
        <f>K69*IFERROR(VLOOKUP(A69,[1]Tørstofindhold!A$2:B$24,2,FALSE),0)</f>
        <v>225000</v>
      </c>
      <c r="Y69" s="170">
        <f t="shared" ref="Y69:Y134" si="21">W69-X69</f>
        <v>69842.700000000012</v>
      </c>
      <c r="Z69">
        <f t="shared" si="15"/>
        <v>0</v>
      </c>
      <c r="AA69">
        <f t="shared" si="16"/>
        <v>0</v>
      </c>
      <c r="AC69" s="94">
        <f t="shared" ref="AC69:AC132" si="22">G69-SUMPRODUCT($H$2:$N$2,H69:N69)</f>
        <v>232809</v>
      </c>
      <c r="AD69">
        <f>AC69*E69*10000*VLOOKUP(A69,[1]kcal!$A$2:$C$49,3,FALSE)/1000000000000</f>
        <v>0</v>
      </c>
    </row>
    <row r="70" spans="1:30" x14ac:dyDescent="0.25">
      <c r="A70" s="171" t="str">
        <f t="shared" si="11"/>
        <v>Import af foder</v>
      </c>
      <c r="B70" s="171" t="str">
        <f t="shared" si="12"/>
        <v/>
      </c>
      <c r="C70" s="171" t="str">
        <f>IFERROR(VLOOKUP(A70,'Kategorisering af kcal'!$J$2:$K$18,2,FALSE),"")</f>
        <v>Olieafgrøder</v>
      </c>
      <c r="D70" s="171">
        <f>IF(COUNTIFS('Resultater - Danmark'!$D$3:$D$504,'Produktion &amp; forbrug'!A70,'Resultater - Danmark'!$A$3:$A$504,"Til energi")+COUNTIFS('Resultater - Danmark'!$D$3:$D$504,'Produktion &amp; forbrug'!A70,'Resultater - Danmark'!$A$3:$A$504,"Biogasanlæg")&gt;0,1,0)</f>
        <v>0</v>
      </c>
      <c r="E70" s="171">
        <f t="shared" si="14"/>
        <v>1</v>
      </c>
      <c r="F70" s="171">
        <f t="shared" si="13"/>
        <v>2030</v>
      </c>
      <c r="G70" s="94">
        <f>SUMIFS('Resultat-Produktion &amp; forbrug'!G$4:G$291,'Resultat-Produktion &amp; forbrug'!$A$4:$A$291,'Produktion &amp; forbrug'!$A70,'Resultat-Produktion &amp; forbrug'!$E$4:$E$291,'Produktion &amp; forbrug'!$F70)</f>
        <v>0</v>
      </c>
      <c r="H70" s="94">
        <f ca="1">SUMIFS('Resultat-Produktion &amp; forbrug'!H$4:H$291,'Resultat-Produktion &amp; forbrug'!$A$4:$A$291,'Produktion &amp; forbrug'!$A70,'Resultat-Produktion &amp; forbrug'!$E$4:$E$291,'Produktion &amp; forbrug'!$F70)</f>
        <v>5284803.7857603254</v>
      </c>
      <c r="I70" s="94">
        <f>SUMIFS('Resultat-Produktion &amp; forbrug'!I$4:I$291,'Resultat-Produktion &amp; forbrug'!$A$4:$A$291,'Produktion &amp; forbrug'!$A70,'Resultat-Produktion &amp; forbrug'!$E$4:$E$291,'Produktion &amp; forbrug'!$F70)</f>
        <v>0</v>
      </c>
      <c r="J70" s="94">
        <f>SUMIFS('Resultat-Produktion &amp; forbrug'!J$4:J$291,'Resultat-Produktion &amp; forbrug'!$A$4:$A$291,'Produktion &amp; forbrug'!$A70,'Resultat-Produktion &amp; forbrug'!$E$4:$E$291,'Produktion &amp; forbrug'!$F70)</f>
        <v>0</v>
      </c>
      <c r="K70" s="94">
        <f>SUMIFS('Resultat-Produktion &amp; forbrug'!K$4:K$291,'Resultat-Produktion &amp; forbrug'!$A$4:$A$291,'Produktion &amp; forbrug'!$A70,'Resultat-Produktion &amp; forbrug'!$E$4:$E$291,'Produktion &amp; forbrug'!$F70)</f>
        <v>0</v>
      </c>
      <c r="L70" s="94">
        <f>SUMIFS('Resultat-Produktion &amp; forbrug'!L$4:L$291,'Resultat-Produktion &amp; forbrug'!$A$4:$A$291,'Produktion &amp; forbrug'!$A70,'Resultat-Produktion &amp; forbrug'!$E$4:$E$291,'Produktion &amp; forbrug'!$F70)</f>
        <v>0</v>
      </c>
      <c r="M70" s="94">
        <f>SUMIFS('Resultat-Produktion &amp; forbrug'!M$4:M$291,'Resultat-Produktion &amp; forbrug'!$A$4:$A$291,'Produktion &amp; forbrug'!$A70,'Resultat-Produktion &amp; forbrug'!$E$4:$E$291,'Produktion &amp; forbrug'!$F70)</f>
        <v>0</v>
      </c>
      <c r="N70" s="94">
        <f>SUMIFS('Resultat-Produktion &amp; forbrug'!N$4:N$291,'Resultat-Produktion &amp; forbrug'!$A$4:$A$291,'Produktion &amp; forbrug'!$A70,'Resultat-Produktion &amp; forbrug'!$E$4:$E$291,'Produktion &amp; forbrug'!$F70)</f>
        <v>0</v>
      </c>
      <c r="O70" s="179">
        <f t="shared" ca="1" si="17"/>
        <v>-5284803.7857603254</v>
      </c>
      <c r="P70" s="94">
        <f t="shared" si="18"/>
        <v>0</v>
      </c>
      <c r="Q70" s="180">
        <f t="shared" si="19"/>
        <v>0</v>
      </c>
      <c r="R70">
        <f>IFERROR(VLOOKUP(A70,[1]Energiindhold!$A$2:$C$11,3,FALSE),IFERROR(VLOOKUP(A70,[1]Biogasudbytte!$A$2:$B$18,2,FALSE)*[1]Energiindhold!$C$10,0))*P70</f>
        <v>0</v>
      </c>
      <c r="S70">
        <f>IF(A70&lt;&gt;"Biogas",IFERROR(VLOOKUP(A70,[1]Biogasudbytte!$A$2:$B$18,2,FALSE)*[1]Energiindhold!$C$10,0)*K70*IFERROR(VLOOKUP(A70,Biogasanlæg!$F$3:$G$8,2,FALSE),1)+IFERROR(VLOOKUP(A70,[1]Energiindhold!$A$2:$C$11,3,FALSE),0)*M70+IF(F70&lt;&gt;År1,R70,0),0)</f>
        <v>0</v>
      </c>
      <c r="T70">
        <f>IFERROR(VLOOKUP(A70,[1]Biogasudbytte!$A$2:$B$18,2,FALSE)*[1]Energiindhold!$C$10,0)*K70*IFERROR(VLOOKUP(A70,Biogasanlæg!$F$3:$G$8,2,FALSE),1)</f>
        <v>0</v>
      </c>
      <c r="U70" s="170">
        <f t="shared" si="20"/>
        <v>0</v>
      </c>
      <c r="V70" s="169">
        <f>P70*IFERROR(VLOOKUP(A70,[1]Tørstofindhold!A$2:B$24,2,FALSE),0)</f>
        <v>0</v>
      </c>
      <c r="W70">
        <f>IF(F70=År1,Q70,SUM(P70,Q70))*IFERROR(VLOOKUP(A70,[1]Tørstofindhold!A$2:B$24,2,FALSE),0)</f>
        <v>0</v>
      </c>
      <c r="X70">
        <f>K70*IFERROR(VLOOKUP(A70,[1]Tørstofindhold!A$2:B$24,2,FALSE),0)</f>
        <v>0</v>
      </c>
      <c r="Y70" s="170">
        <f t="shared" si="21"/>
        <v>0</v>
      </c>
      <c r="Z70">
        <f t="shared" ca="1" si="15"/>
        <v>1</v>
      </c>
      <c r="AA70">
        <f t="shared" ca="1" si="16"/>
        <v>0</v>
      </c>
      <c r="AC70" s="94">
        <f t="shared" ca="1" si="22"/>
        <v>-5284803.7857603254</v>
      </c>
      <c r="AD70">
        <f ca="1">AC70*E70*10000*VLOOKUP(A70,[1]kcal!$A$2:$C$49,3,FALSE)/1000000000000</f>
        <v>-3.0123381578833857</v>
      </c>
    </row>
    <row r="71" spans="1:30" x14ac:dyDescent="0.25">
      <c r="A71" s="171" t="str">
        <f t="shared" si="11"/>
        <v>Industriaffald</v>
      </c>
      <c r="B71" s="171" t="str">
        <f t="shared" si="12"/>
        <v>Bionedbrydeligt affald</v>
      </c>
      <c r="C71" s="171" t="str">
        <f>IFERROR(VLOOKUP(A71,'Kategorisering af kcal'!$J$2:$K$18,2,FALSE),"")</f>
        <v/>
      </c>
      <c r="D71" s="171">
        <f>IF(COUNTIFS('Resultater - Danmark'!$D$3:$D$504,'Produktion &amp; forbrug'!A71,'Resultater - Danmark'!$A$3:$A$504,"Til energi")+COUNTIFS('Resultater - Danmark'!$D$3:$D$504,'Produktion &amp; forbrug'!A71,'Resultater - Danmark'!$A$3:$A$504,"Biogasanlæg")&gt;0,1,0)</f>
        <v>1</v>
      </c>
      <c r="E71" s="171">
        <f t="shared" si="14"/>
        <v>0</v>
      </c>
      <c r="F71" s="171">
        <f t="shared" si="13"/>
        <v>2030</v>
      </c>
      <c r="G71" s="94">
        <f ca="1">SUMIFS('Resultat-Produktion &amp; forbrug'!G$4:G$291,'Resultat-Produktion &amp; forbrug'!$A$4:$A$291,'Produktion &amp; forbrug'!$A71,'Resultat-Produktion &amp; forbrug'!$E$4:$E$291,'Produktion &amp; forbrug'!$F71)</f>
        <v>718058.01774869044</v>
      </c>
      <c r="H71" s="94">
        <f>SUMIFS('Resultat-Produktion &amp; forbrug'!H$4:H$291,'Resultat-Produktion &amp; forbrug'!$A$4:$A$291,'Produktion &amp; forbrug'!$A71,'Resultat-Produktion &amp; forbrug'!$E$4:$E$291,'Produktion &amp; forbrug'!$F71)</f>
        <v>0</v>
      </c>
      <c r="I71" s="94">
        <f>SUMIFS('Resultat-Produktion &amp; forbrug'!I$4:I$291,'Resultat-Produktion &amp; forbrug'!$A$4:$A$291,'Produktion &amp; forbrug'!$A71,'Resultat-Produktion &amp; forbrug'!$E$4:$E$291,'Produktion &amp; forbrug'!$F71)</f>
        <v>0</v>
      </c>
      <c r="J71" s="94">
        <f>SUMIFS('Resultat-Produktion &amp; forbrug'!J$4:J$291,'Resultat-Produktion &amp; forbrug'!$A$4:$A$291,'Produktion &amp; forbrug'!$A71,'Resultat-Produktion &amp; forbrug'!$E$4:$E$291,'Produktion &amp; forbrug'!$F71)</f>
        <v>0</v>
      </c>
      <c r="K71" s="94">
        <f ca="1">SUMIFS('Resultat-Produktion &amp; forbrug'!K$4:K$291,'Resultat-Produktion &amp; forbrug'!$A$4:$A$291,'Produktion &amp; forbrug'!$A71,'Resultat-Produktion &amp; forbrug'!$E$4:$E$291,'Produktion &amp; forbrug'!$F71)</f>
        <v>0</v>
      </c>
      <c r="L71" s="94">
        <f>SUMIFS('Resultat-Produktion &amp; forbrug'!L$4:L$291,'Resultat-Produktion &amp; forbrug'!$A$4:$A$291,'Produktion &amp; forbrug'!$A71,'Resultat-Produktion &amp; forbrug'!$E$4:$E$291,'Produktion &amp; forbrug'!$F71)</f>
        <v>0</v>
      </c>
      <c r="M71" s="94">
        <f>SUMIFS('Resultat-Produktion &amp; forbrug'!M$4:M$291,'Resultat-Produktion &amp; forbrug'!$A$4:$A$291,'Produktion &amp; forbrug'!$A71,'Resultat-Produktion &amp; forbrug'!$E$4:$E$291,'Produktion &amp; forbrug'!$F71)</f>
        <v>0</v>
      </c>
      <c r="N71" s="94">
        <f>SUMIFS('Resultat-Produktion &amp; forbrug'!N$4:N$291,'Resultat-Produktion &amp; forbrug'!$A$4:$A$291,'Produktion &amp; forbrug'!$A71,'Resultat-Produktion &amp; forbrug'!$E$4:$E$291,'Produktion &amp; forbrug'!$F71)</f>
        <v>0</v>
      </c>
      <c r="O71" s="179">
        <f t="shared" ca="1" si="17"/>
        <v>718058.01774869044</v>
      </c>
      <c r="P71" s="94">
        <f t="shared" ca="1" si="18"/>
        <v>718058.01774869044</v>
      </c>
      <c r="Q71" s="180">
        <f t="shared" ca="1" si="19"/>
        <v>0</v>
      </c>
      <c r="R71">
        <f ca="1">IFERROR(VLOOKUP(A71,[1]Energiindhold!$A$2:$C$11,3,FALSE),IFERROR(VLOOKUP(A71,[1]Biogasudbytte!$A$2:$B$18,2,FALSE)*[1]Energiindhold!$C$10,0))*P71</f>
        <v>3.1114387384473834</v>
      </c>
      <c r="S71">
        <f ca="1">IF(A71&lt;&gt;"Biogas",IFERROR(VLOOKUP(A71,[1]Biogasudbytte!$A$2:$B$18,2,FALSE)*[1]Energiindhold!$C$10,0)*K71*IFERROR(VLOOKUP(A71,Biogasanlæg!$F$3:$G$8,2,FALSE),1)+IFERROR(VLOOKUP(A71,[1]Energiindhold!$A$2:$C$11,3,FALSE),0)*M71+IF(F71&lt;&gt;År1,R71,0),0)</f>
        <v>3.1114387384473834</v>
      </c>
      <c r="T71">
        <f ca="1">IFERROR(VLOOKUP(A71,[1]Biogasudbytte!$A$2:$B$18,2,FALSE)*[1]Energiindhold!$C$10,0)*K71*IFERROR(VLOOKUP(A71,Biogasanlæg!$F$3:$G$8,2,FALSE),1)</f>
        <v>0</v>
      </c>
      <c r="U71" s="170">
        <f t="shared" ca="1" si="20"/>
        <v>3.1114387384473834</v>
      </c>
      <c r="V71" s="169">
        <f ca="1">P71*IFERROR(VLOOKUP(A71,[1]Tørstofindhold!A$2:B$24,2,FALSE),0)</f>
        <v>301584.36745445</v>
      </c>
      <c r="W71">
        <f ca="1">IF(F71=År1,Q71,SUM(P71,Q71))*IFERROR(VLOOKUP(A71,[1]Tørstofindhold!A$2:B$24,2,FALSE),0)</f>
        <v>301584.36745445</v>
      </c>
      <c r="X71">
        <f ca="1">K71*IFERROR(VLOOKUP(A71,[1]Tørstofindhold!A$2:B$24,2,FALSE),0)</f>
        <v>0</v>
      </c>
      <c r="Y71" s="170">
        <f t="shared" ca="1" si="21"/>
        <v>301584.36745445</v>
      </c>
      <c r="Z71">
        <f t="shared" ca="1" si="15"/>
        <v>0</v>
      </c>
      <c r="AA71">
        <f t="shared" ca="1" si="16"/>
        <v>1</v>
      </c>
      <c r="AC71" s="94">
        <f t="shared" ca="1" si="22"/>
        <v>718058.01774869044</v>
      </c>
      <c r="AD71">
        <f ca="1">AC71*E71*10000*VLOOKUP(A71,[1]kcal!$A$2:$C$49,3,FALSE)/1000000000000</f>
        <v>0</v>
      </c>
    </row>
    <row r="72" spans="1:30" x14ac:dyDescent="0.25">
      <c r="A72" s="171" t="str">
        <f t="shared" si="11"/>
        <v>Juletræer</v>
      </c>
      <c r="B72" s="171" t="str">
        <f t="shared" si="12"/>
        <v/>
      </c>
      <c r="C72" s="171" t="str">
        <f>IFERROR(VLOOKUP(A72,'Kategorisering af kcal'!$J$2:$K$18,2,FALSE),"")</f>
        <v/>
      </c>
      <c r="D72" s="171">
        <f>IF(COUNTIFS('Resultater - Danmark'!$D$3:$D$504,'Produktion &amp; forbrug'!A72,'Resultater - Danmark'!$A$3:$A$504,"Til energi")+COUNTIFS('Resultater - Danmark'!$D$3:$D$504,'Produktion &amp; forbrug'!A72,'Resultater - Danmark'!$A$3:$A$504,"Biogasanlæg")&gt;0,1,0)</f>
        <v>0</v>
      </c>
      <c r="E72" s="171">
        <f t="shared" si="14"/>
        <v>0</v>
      </c>
      <c r="F72" s="171">
        <f t="shared" si="13"/>
        <v>2030</v>
      </c>
      <c r="G72" s="94">
        <f>SUMIFS('Resultat-Produktion &amp; forbrug'!G$4:G$291,'Resultat-Produktion &amp; forbrug'!$A$4:$A$291,'Produktion &amp; forbrug'!$A72,'Resultat-Produktion &amp; forbrug'!$E$4:$E$291,'Produktion &amp; forbrug'!$F72)</f>
        <v>910000.15789808333</v>
      </c>
      <c r="H72" s="94">
        <f>SUMIFS('Resultat-Produktion &amp; forbrug'!H$4:H$291,'Resultat-Produktion &amp; forbrug'!$A$4:$A$291,'Produktion &amp; forbrug'!$A72,'Resultat-Produktion &amp; forbrug'!$E$4:$E$291,'Produktion &amp; forbrug'!$F72)</f>
        <v>0</v>
      </c>
      <c r="I72" s="94">
        <f>SUMIFS('Resultat-Produktion &amp; forbrug'!I$4:I$291,'Resultat-Produktion &amp; forbrug'!$A$4:$A$291,'Produktion &amp; forbrug'!$A72,'Resultat-Produktion &amp; forbrug'!$E$4:$E$291,'Produktion &amp; forbrug'!$F72)</f>
        <v>0</v>
      </c>
      <c r="J72" s="94">
        <f>SUMIFS('Resultat-Produktion &amp; forbrug'!J$4:J$291,'Resultat-Produktion &amp; forbrug'!$A$4:$A$291,'Produktion &amp; forbrug'!$A72,'Resultat-Produktion &amp; forbrug'!$E$4:$E$291,'Produktion &amp; forbrug'!$F72)</f>
        <v>0</v>
      </c>
      <c r="K72" s="94">
        <f>SUMIFS('Resultat-Produktion &amp; forbrug'!K$4:K$291,'Resultat-Produktion &amp; forbrug'!$A$4:$A$291,'Produktion &amp; forbrug'!$A72,'Resultat-Produktion &amp; forbrug'!$E$4:$E$291,'Produktion &amp; forbrug'!$F72)</f>
        <v>0</v>
      </c>
      <c r="L72" s="94">
        <f>SUMIFS('Resultat-Produktion &amp; forbrug'!L$4:L$291,'Resultat-Produktion &amp; forbrug'!$A$4:$A$291,'Produktion &amp; forbrug'!$A72,'Resultat-Produktion &amp; forbrug'!$E$4:$E$291,'Produktion &amp; forbrug'!$F72)</f>
        <v>0</v>
      </c>
      <c r="M72" s="94">
        <f>SUMIFS('Resultat-Produktion &amp; forbrug'!M$4:M$291,'Resultat-Produktion &amp; forbrug'!$A$4:$A$291,'Produktion &amp; forbrug'!$A72,'Resultat-Produktion &amp; forbrug'!$E$4:$E$291,'Produktion &amp; forbrug'!$F72)</f>
        <v>0</v>
      </c>
      <c r="N72" s="94">
        <f>SUMIFS('Resultat-Produktion &amp; forbrug'!N$4:N$291,'Resultat-Produktion &amp; forbrug'!$A$4:$A$291,'Produktion &amp; forbrug'!$A72,'Resultat-Produktion &amp; forbrug'!$E$4:$E$291,'Produktion &amp; forbrug'!$F72)</f>
        <v>0</v>
      </c>
      <c r="O72" s="179">
        <f t="shared" si="17"/>
        <v>910000.15789808333</v>
      </c>
      <c r="P72" s="94">
        <f t="shared" si="18"/>
        <v>0</v>
      </c>
      <c r="Q72" s="180">
        <f t="shared" si="19"/>
        <v>0</v>
      </c>
      <c r="R72">
        <f>IFERROR(VLOOKUP(A72,[1]Energiindhold!$A$2:$C$11,3,FALSE),IFERROR(VLOOKUP(A72,[1]Biogasudbytte!$A$2:$B$18,2,FALSE)*[1]Energiindhold!$C$10,0))*P72</f>
        <v>0</v>
      </c>
      <c r="S72">
        <f>IF(A72&lt;&gt;"Biogas",IFERROR(VLOOKUP(A72,[1]Biogasudbytte!$A$2:$B$18,2,FALSE)*[1]Energiindhold!$C$10,0)*K72*IFERROR(VLOOKUP(A72,Biogasanlæg!$F$3:$G$8,2,FALSE),1)+IFERROR(VLOOKUP(A72,[1]Energiindhold!$A$2:$C$11,3,FALSE),0)*M72+IF(F72&lt;&gt;År1,R72,0),0)</f>
        <v>0</v>
      </c>
      <c r="T72">
        <f>IFERROR(VLOOKUP(A72,[1]Biogasudbytte!$A$2:$B$18,2,FALSE)*[1]Energiindhold!$C$10,0)*K72*IFERROR(VLOOKUP(A72,Biogasanlæg!$F$3:$G$8,2,FALSE),1)</f>
        <v>0</v>
      </c>
      <c r="U72" s="170">
        <f t="shared" si="20"/>
        <v>0</v>
      </c>
      <c r="V72" s="169">
        <f>P72*IFERROR(VLOOKUP(A72,[1]Tørstofindhold!A$2:B$24,2,FALSE),0)</f>
        <v>0</v>
      </c>
      <c r="W72">
        <f>IF(F72=År1,Q72,SUM(P72,Q72))*IFERROR(VLOOKUP(A72,[1]Tørstofindhold!A$2:B$24,2,FALSE),0)</f>
        <v>0</v>
      </c>
      <c r="X72">
        <f>K72*IFERROR(VLOOKUP(A72,[1]Tørstofindhold!A$2:B$24,2,FALSE),0)</f>
        <v>0</v>
      </c>
      <c r="Y72" s="170">
        <f t="shared" si="21"/>
        <v>0</v>
      </c>
      <c r="Z72">
        <f t="shared" si="15"/>
        <v>0</v>
      </c>
      <c r="AA72">
        <f t="shared" si="16"/>
        <v>1</v>
      </c>
      <c r="AC72" s="94">
        <f t="shared" si="22"/>
        <v>910000.15789808333</v>
      </c>
      <c r="AD72">
        <f>AC72*E72*10000*VLOOKUP(A72,[1]kcal!$A$2:$C$49,3,FALSE)/1000000000000</f>
        <v>0</v>
      </c>
    </row>
    <row r="73" spans="1:30" x14ac:dyDescent="0.25">
      <c r="A73" s="171" t="str">
        <f t="shared" si="11"/>
        <v>Kartofler</v>
      </c>
      <c r="B73" s="171" t="str">
        <f t="shared" si="12"/>
        <v/>
      </c>
      <c r="C73" s="171" t="str">
        <f>IFERROR(VLOOKUP(A73,'Kategorisering af kcal'!$J$2:$K$18,2,FALSE),"")</f>
        <v>Kartofler</v>
      </c>
      <c r="D73" s="171">
        <f>IF(COUNTIFS('Resultater - Danmark'!$D$3:$D$504,'Produktion &amp; forbrug'!A73,'Resultater - Danmark'!$A$3:$A$504,"Til energi")+COUNTIFS('Resultater - Danmark'!$D$3:$D$504,'Produktion &amp; forbrug'!A73,'Resultater - Danmark'!$A$3:$A$504,"Biogasanlæg")&gt;0,1,0)</f>
        <v>0</v>
      </c>
      <c r="E73" s="171">
        <f t="shared" si="14"/>
        <v>1</v>
      </c>
      <c r="F73" s="171">
        <f t="shared" si="13"/>
        <v>2030</v>
      </c>
      <c r="G73" s="94">
        <f>SUMIFS('Resultat-Produktion &amp; forbrug'!G$4:G$291,'Resultat-Produktion &amp; forbrug'!$A$4:$A$291,'Produktion &amp; forbrug'!$A73,'Resultat-Produktion &amp; forbrug'!$E$4:$E$291,'Produktion &amp; forbrug'!$F73)</f>
        <v>2244179.7547893296</v>
      </c>
      <c r="H73" s="94">
        <f ca="1">SUMIFS('Resultat-Produktion &amp; forbrug'!H$4:H$291,'Resultat-Produktion &amp; forbrug'!$A$4:$A$291,'Produktion &amp; forbrug'!$A73,'Resultat-Produktion &amp; forbrug'!$E$4:$E$291,'Produktion &amp; forbrug'!$F73)</f>
        <v>0</v>
      </c>
      <c r="I73" s="94">
        <f>SUMIFS('Resultat-Produktion &amp; forbrug'!I$4:I$291,'Resultat-Produktion &amp; forbrug'!$A$4:$A$291,'Produktion &amp; forbrug'!$A73,'Resultat-Produktion &amp; forbrug'!$E$4:$E$291,'Produktion &amp; forbrug'!$F73)</f>
        <v>0</v>
      </c>
      <c r="J73" s="94">
        <f>SUMIFS('Resultat-Produktion &amp; forbrug'!J$4:J$291,'Resultat-Produktion &amp; forbrug'!$A$4:$A$291,'Produktion &amp; forbrug'!$A73,'Resultat-Produktion &amp; forbrug'!$E$4:$E$291,'Produktion &amp; forbrug'!$F73)</f>
        <v>230492.09773600774</v>
      </c>
      <c r="K73" s="94">
        <f>SUMIFS('Resultat-Produktion &amp; forbrug'!K$4:K$291,'Resultat-Produktion &amp; forbrug'!$A$4:$A$291,'Produktion &amp; forbrug'!$A73,'Resultat-Produktion &amp; forbrug'!$E$4:$E$291,'Produktion &amp; forbrug'!$F73)</f>
        <v>0</v>
      </c>
      <c r="L73" s="94">
        <f>SUMIFS('Resultat-Produktion &amp; forbrug'!L$4:L$291,'Resultat-Produktion &amp; forbrug'!$A$4:$A$291,'Produktion &amp; forbrug'!$A73,'Resultat-Produktion &amp; forbrug'!$E$4:$E$291,'Produktion &amp; forbrug'!$F73)</f>
        <v>0</v>
      </c>
      <c r="M73" s="94">
        <f>SUMIFS('Resultat-Produktion &amp; forbrug'!M$4:M$291,'Resultat-Produktion &amp; forbrug'!$A$4:$A$291,'Produktion &amp; forbrug'!$A73,'Resultat-Produktion &amp; forbrug'!$E$4:$E$291,'Produktion &amp; forbrug'!$F73)</f>
        <v>0</v>
      </c>
      <c r="N73" s="94">
        <f>SUMIFS('Resultat-Produktion &amp; forbrug'!N$4:N$291,'Resultat-Produktion &amp; forbrug'!$A$4:$A$291,'Produktion &amp; forbrug'!$A73,'Resultat-Produktion &amp; forbrug'!$E$4:$E$291,'Produktion &amp; forbrug'!$F73)</f>
        <v>0</v>
      </c>
      <c r="O73" s="179">
        <f t="shared" ca="1" si="17"/>
        <v>2013687.6570533218</v>
      </c>
      <c r="P73" s="94">
        <f t="shared" si="18"/>
        <v>0</v>
      </c>
      <c r="Q73" s="180">
        <f t="shared" si="19"/>
        <v>0</v>
      </c>
      <c r="R73">
        <f>IFERROR(VLOOKUP(A73,[1]Energiindhold!$A$2:$C$11,3,FALSE),IFERROR(VLOOKUP(A73,[1]Biogasudbytte!$A$2:$B$18,2,FALSE)*[1]Energiindhold!$C$10,0))*P73</f>
        <v>0</v>
      </c>
      <c r="S73">
        <f>IF(A73&lt;&gt;"Biogas",IFERROR(VLOOKUP(A73,[1]Biogasudbytte!$A$2:$B$18,2,FALSE)*[1]Energiindhold!$C$10,0)*K73*IFERROR(VLOOKUP(A73,Biogasanlæg!$F$3:$G$8,2,FALSE),1)+IFERROR(VLOOKUP(A73,[1]Energiindhold!$A$2:$C$11,3,FALSE),0)*M73+IF(F73&lt;&gt;År1,R73,0),0)</f>
        <v>0</v>
      </c>
      <c r="T73">
        <f>IFERROR(VLOOKUP(A73,[1]Biogasudbytte!$A$2:$B$18,2,FALSE)*[1]Energiindhold!$C$10,0)*K73*IFERROR(VLOOKUP(A73,Biogasanlæg!$F$3:$G$8,2,FALSE),1)</f>
        <v>0</v>
      </c>
      <c r="U73" s="170">
        <f t="shared" si="20"/>
        <v>0</v>
      </c>
      <c r="V73" s="169">
        <f>P73*IFERROR(VLOOKUP(A73,[1]Tørstofindhold!A$2:B$24,2,FALSE),0)</f>
        <v>0</v>
      </c>
      <c r="W73">
        <f>IF(F73=År1,Q73,SUM(P73,Q73))*IFERROR(VLOOKUP(A73,[1]Tørstofindhold!A$2:B$24,2,FALSE),0)</f>
        <v>0</v>
      </c>
      <c r="X73">
        <f>K73*IFERROR(VLOOKUP(A73,[1]Tørstofindhold!A$2:B$24,2,FALSE),0)</f>
        <v>0</v>
      </c>
      <c r="Y73" s="170">
        <f t="shared" si="21"/>
        <v>0</v>
      </c>
      <c r="Z73">
        <f t="shared" ca="1" si="15"/>
        <v>0</v>
      </c>
      <c r="AA73">
        <f t="shared" ca="1" si="16"/>
        <v>1</v>
      </c>
      <c r="AC73" s="94">
        <f t="shared" ca="1" si="22"/>
        <v>2244179.7547893296</v>
      </c>
      <c r="AD73">
        <f ca="1">AC73*E73*10000*VLOOKUP(A73,[1]kcal!$A$2:$C$49,3,FALSE)/1000000000000</f>
        <v>1.7504602087356771</v>
      </c>
    </row>
    <row r="74" spans="1:30" x14ac:dyDescent="0.25">
      <c r="A74" s="171" t="str">
        <f t="shared" si="11"/>
        <v>Korn</v>
      </c>
      <c r="B74" s="171" t="str">
        <f t="shared" si="12"/>
        <v>Halm og strå</v>
      </c>
      <c r="C74" s="171" t="str">
        <f>IFERROR(VLOOKUP(A74,'Kategorisering af kcal'!$J$2:$K$18,2,FALSE),"")</f>
        <v>Korn</v>
      </c>
      <c r="D74" s="171">
        <f>IF(COUNTIFS('Resultater - Danmark'!$D$3:$D$504,'Produktion &amp; forbrug'!A74,'Resultater - Danmark'!$A$3:$A$504,"Til energi")+COUNTIFS('Resultater - Danmark'!$D$3:$D$504,'Produktion &amp; forbrug'!A74,'Resultater - Danmark'!$A$3:$A$504,"Biogasanlæg")&gt;0,1,0)</f>
        <v>1</v>
      </c>
      <c r="E74" s="171">
        <f t="shared" si="14"/>
        <v>1</v>
      </c>
      <c r="F74" s="171">
        <f t="shared" si="13"/>
        <v>2030</v>
      </c>
      <c r="G74" s="94">
        <f>SUMIFS('Resultat-Produktion &amp; forbrug'!G$4:G$291,'Resultat-Produktion &amp; forbrug'!$A$4:$A$291,'Produktion &amp; forbrug'!$A74,'Resultat-Produktion &amp; forbrug'!$E$4:$E$291,'Produktion &amp; forbrug'!$F74)</f>
        <v>9147367.5654729232</v>
      </c>
      <c r="H74" s="94">
        <f ca="1">SUMIFS('Resultat-Produktion &amp; forbrug'!H$4:H$291,'Resultat-Produktion &amp; forbrug'!$A$4:$A$291,'Produktion &amp; forbrug'!$A74,'Resultat-Produktion &amp; forbrug'!$E$4:$E$291,'Produktion &amp; forbrug'!$F74)</f>
        <v>6434910.4352402603</v>
      </c>
      <c r="I74" s="94">
        <f>SUMIFS('Resultat-Produktion &amp; forbrug'!I$4:I$291,'Resultat-Produktion &amp; forbrug'!$A$4:$A$291,'Produktion &amp; forbrug'!$A74,'Resultat-Produktion &amp; forbrug'!$E$4:$E$291,'Produktion &amp; forbrug'!$F74)</f>
        <v>0</v>
      </c>
      <c r="J74" s="94">
        <f>SUMIFS('Resultat-Produktion &amp; forbrug'!J$4:J$291,'Resultat-Produktion &amp; forbrug'!$A$4:$A$291,'Produktion &amp; forbrug'!$A74,'Resultat-Produktion &amp; forbrug'!$E$4:$E$291,'Produktion &amp; forbrug'!$F74)</f>
        <v>552167.88248845807</v>
      </c>
      <c r="K74" s="94">
        <f>SUMIFS('Resultat-Produktion &amp; forbrug'!K$4:K$291,'Resultat-Produktion &amp; forbrug'!$A$4:$A$291,'Produktion &amp; forbrug'!$A74,'Resultat-Produktion &amp; forbrug'!$E$4:$E$291,'Produktion &amp; forbrug'!$F74)</f>
        <v>0</v>
      </c>
      <c r="L74" s="94">
        <f>SUMIFS('Resultat-Produktion &amp; forbrug'!L$4:L$291,'Resultat-Produktion &amp; forbrug'!$A$4:$A$291,'Produktion &amp; forbrug'!$A74,'Resultat-Produktion &amp; forbrug'!$E$4:$E$291,'Produktion &amp; forbrug'!$F74)</f>
        <v>0</v>
      </c>
      <c r="M74" s="94">
        <f>SUMIFS('Resultat-Produktion &amp; forbrug'!M$4:M$291,'Resultat-Produktion &amp; forbrug'!$A$4:$A$291,'Produktion &amp; forbrug'!$A74,'Resultat-Produktion &amp; forbrug'!$E$4:$E$291,'Produktion &amp; forbrug'!$F74)</f>
        <v>0</v>
      </c>
      <c r="N74" s="94">
        <f>SUMIFS('Resultat-Produktion &amp; forbrug'!N$4:N$291,'Resultat-Produktion &amp; forbrug'!$A$4:$A$291,'Produktion &amp; forbrug'!$A74,'Resultat-Produktion &amp; forbrug'!$E$4:$E$291,'Produktion &amp; forbrug'!$F74)</f>
        <v>0</v>
      </c>
      <c r="O74" s="179">
        <f t="shared" ca="1" si="17"/>
        <v>2160289.2477442045</v>
      </c>
      <c r="P74" s="94">
        <f t="shared" ca="1" si="18"/>
        <v>2160289.2477442045</v>
      </c>
      <c r="Q74" s="180">
        <f t="shared" si="19"/>
        <v>0</v>
      </c>
      <c r="R74">
        <f ca="1">IFERROR(VLOOKUP(A74,[1]Energiindhold!$A$2:$C$11,3,FALSE),IFERROR(VLOOKUP(A74,[1]Biogasudbytte!$A$2:$B$18,2,FALSE)*[1]Energiindhold!$C$10,0))*P74</f>
        <v>7.3986882330292172</v>
      </c>
      <c r="S74">
        <f ca="1">IF(A74&lt;&gt;"Biogas",IFERROR(VLOOKUP(A74,[1]Biogasudbytte!$A$2:$B$18,2,FALSE)*[1]Energiindhold!$C$10,0)*K74*IFERROR(VLOOKUP(A74,Biogasanlæg!$F$3:$G$8,2,FALSE),1)+IFERROR(VLOOKUP(A74,[1]Energiindhold!$A$2:$C$11,3,FALSE),0)*M74+IF(F74&lt;&gt;År1,R74,0),0)</f>
        <v>7.3986882330292172</v>
      </c>
      <c r="T74">
        <f>IFERROR(VLOOKUP(A74,[1]Biogasudbytte!$A$2:$B$18,2,FALSE)*[1]Energiindhold!$C$10,0)*K74*IFERROR(VLOOKUP(A74,Biogasanlæg!$F$3:$G$8,2,FALSE),1)</f>
        <v>0</v>
      </c>
      <c r="U74" s="170">
        <f t="shared" ca="1" si="20"/>
        <v>7.3986882330292172</v>
      </c>
      <c r="V74" s="169">
        <f ca="1">P74*IFERROR(VLOOKUP(A74,[1]Tørstofindhold!A$2:B$24,2,FALSE),0)</f>
        <v>669689.66680070339</v>
      </c>
      <c r="W74">
        <f ca="1">IF(F74=År1,Q74,SUM(P74,Q74))*IFERROR(VLOOKUP(A74,[1]Tørstofindhold!A$2:B$24,2,FALSE),0)</f>
        <v>669689.66680070339</v>
      </c>
      <c r="X74">
        <f>K74*IFERROR(VLOOKUP(A74,[1]Tørstofindhold!A$2:B$24,2,FALSE),0)</f>
        <v>0</v>
      </c>
      <c r="Y74" s="170">
        <f t="shared" ca="1" si="21"/>
        <v>669689.66680070339</v>
      </c>
      <c r="Z74">
        <f t="shared" ca="1" si="15"/>
        <v>0</v>
      </c>
      <c r="AA74">
        <f t="shared" ca="1" si="16"/>
        <v>1</v>
      </c>
      <c r="AC74" s="94">
        <f t="shared" ca="1" si="22"/>
        <v>2712457.1302326629</v>
      </c>
      <c r="AD74">
        <f ca="1">AC74*E74*10000*VLOOKUP(A74,[1]kcal!$A$2:$C$49,3,FALSE)/1000000000000</f>
        <v>9.9275930966515471</v>
      </c>
    </row>
    <row r="75" spans="1:30" x14ac:dyDescent="0.25">
      <c r="A75" s="171" t="str">
        <f t="shared" si="11"/>
        <v>Kunstgødning</v>
      </c>
      <c r="B75" s="171" t="str">
        <f t="shared" si="12"/>
        <v/>
      </c>
      <c r="C75" s="171" t="str">
        <f>IFERROR(VLOOKUP(A75,'Kategorisering af kcal'!$J$2:$K$18,2,FALSE),"")</f>
        <v/>
      </c>
      <c r="D75" s="171">
        <f>IF(COUNTIFS('Resultater - Danmark'!$D$3:$D$504,'Produktion &amp; forbrug'!A75,'Resultater - Danmark'!$A$3:$A$504,"Til energi")+COUNTIFS('Resultater - Danmark'!$D$3:$D$504,'Produktion &amp; forbrug'!A75,'Resultater - Danmark'!$A$3:$A$504,"Biogasanlæg")&gt;0,1,0)</f>
        <v>0</v>
      </c>
      <c r="E75" s="171">
        <f t="shared" si="14"/>
        <v>0</v>
      </c>
      <c r="F75" s="171">
        <f t="shared" si="13"/>
        <v>2030</v>
      </c>
      <c r="G75" s="94">
        <f>SUMIFS('Resultat-Produktion &amp; forbrug'!G$4:G$291,'Resultat-Produktion &amp; forbrug'!$A$4:$A$291,'Produktion &amp; forbrug'!$A75,'Resultat-Produktion &amp; forbrug'!$E$4:$E$291,'Produktion &amp; forbrug'!$F75)</f>
        <v>0</v>
      </c>
      <c r="H75" s="94">
        <f>SUMIFS('Resultat-Produktion &amp; forbrug'!H$4:H$291,'Resultat-Produktion &amp; forbrug'!$A$4:$A$291,'Produktion &amp; forbrug'!$A75,'Resultat-Produktion &amp; forbrug'!$E$4:$E$291,'Produktion &amp; forbrug'!$F75)</f>
        <v>0</v>
      </c>
      <c r="I75" s="94">
        <f>SUMIFS('Resultat-Produktion &amp; forbrug'!I$4:I$291,'Resultat-Produktion &amp; forbrug'!$A$4:$A$291,'Produktion &amp; forbrug'!$A75,'Resultat-Produktion &amp; forbrug'!$E$4:$E$291,'Produktion &amp; forbrug'!$F75)</f>
        <v>0</v>
      </c>
      <c r="J75" s="94">
        <f>SUMIFS('Resultat-Produktion &amp; forbrug'!J$4:J$291,'Resultat-Produktion &amp; forbrug'!$A$4:$A$291,'Produktion &amp; forbrug'!$A75,'Resultat-Produktion &amp; forbrug'!$E$4:$E$291,'Produktion &amp; forbrug'!$F75)</f>
        <v>0</v>
      </c>
      <c r="K75" s="94">
        <f>SUMIFS('Resultat-Produktion &amp; forbrug'!K$4:K$291,'Resultat-Produktion &amp; forbrug'!$A$4:$A$291,'Produktion &amp; forbrug'!$A75,'Resultat-Produktion &amp; forbrug'!$E$4:$E$291,'Produktion &amp; forbrug'!$F75)</f>
        <v>0</v>
      </c>
      <c r="L75" s="94">
        <f ca="1">SUMIFS('Resultat-Produktion &amp; forbrug'!L$4:L$291,'Resultat-Produktion &amp; forbrug'!$A$4:$A$291,'Produktion &amp; forbrug'!$A75,'Resultat-Produktion &amp; forbrug'!$E$4:$E$291,'Produktion &amp; forbrug'!$F75)</f>
        <v>869582.56195196451</v>
      </c>
      <c r="M75" s="94">
        <f>SUMIFS('Resultat-Produktion &amp; forbrug'!M$4:M$291,'Resultat-Produktion &amp; forbrug'!$A$4:$A$291,'Produktion &amp; forbrug'!$A75,'Resultat-Produktion &amp; forbrug'!$E$4:$E$291,'Produktion &amp; forbrug'!$F75)</f>
        <v>0</v>
      </c>
      <c r="N75" s="94">
        <f>SUMIFS('Resultat-Produktion &amp; forbrug'!N$4:N$291,'Resultat-Produktion &amp; forbrug'!$A$4:$A$291,'Produktion &amp; forbrug'!$A75,'Resultat-Produktion &amp; forbrug'!$E$4:$E$291,'Produktion &amp; forbrug'!$F75)</f>
        <v>0</v>
      </c>
      <c r="O75" s="179">
        <f t="shared" ca="1" si="17"/>
        <v>-869582.56195196451</v>
      </c>
      <c r="P75" s="94">
        <f t="shared" si="18"/>
        <v>0</v>
      </c>
      <c r="Q75" s="180">
        <f t="shared" si="19"/>
        <v>0</v>
      </c>
      <c r="R75">
        <f>IFERROR(VLOOKUP(A75,[1]Energiindhold!$A$2:$C$11,3,FALSE),IFERROR(VLOOKUP(A75,[1]Biogasudbytte!$A$2:$B$18,2,FALSE)*[1]Energiindhold!$C$10,0))*P75</f>
        <v>0</v>
      </c>
      <c r="S75">
        <f>IF(A75&lt;&gt;"Biogas",IFERROR(VLOOKUP(A75,[1]Biogasudbytte!$A$2:$B$18,2,FALSE)*[1]Energiindhold!$C$10,0)*K75*IFERROR(VLOOKUP(A75,Biogasanlæg!$F$3:$G$8,2,FALSE),1)+IFERROR(VLOOKUP(A75,[1]Energiindhold!$A$2:$C$11,3,FALSE),0)*M75+IF(F75&lt;&gt;År1,R75,0),0)</f>
        <v>0</v>
      </c>
      <c r="T75">
        <f>IFERROR(VLOOKUP(A75,[1]Biogasudbytte!$A$2:$B$18,2,FALSE)*[1]Energiindhold!$C$10,0)*K75*IFERROR(VLOOKUP(A75,Biogasanlæg!$F$3:$G$8,2,FALSE),1)</f>
        <v>0</v>
      </c>
      <c r="U75" s="170">
        <f t="shared" si="20"/>
        <v>0</v>
      </c>
      <c r="V75" s="169">
        <f>P75*IFERROR(VLOOKUP(A75,[1]Tørstofindhold!A$2:B$24,2,FALSE),0)</f>
        <v>0</v>
      </c>
      <c r="W75">
        <f>IF(F75=År1,Q75,SUM(P75,Q75))*IFERROR(VLOOKUP(A75,[1]Tørstofindhold!A$2:B$24,2,FALSE),0)</f>
        <v>0</v>
      </c>
      <c r="X75">
        <f>K75*IFERROR(VLOOKUP(A75,[1]Tørstofindhold!A$2:B$24,2,FALSE),0)</f>
        <v>0</v>
      </c>
      <c r="Y75" s="170">
        <f t="shared" si="21"/>
        <v>0</v>
      </c>
      <c r="Z75">
        <f t="shared" ca="1" si="15"/>
        <v>1</v>
      </c>
      <c r="AA75">
        <f t="shared" ca="1" si="16"/>
        <v>0</v>
      </c>
      <c r="AC75" s="94">
        <f t="shared" ca="1" si="22"/>
        <v>-869582.56195196451</v>
      </c>
      <c r="AD75">
        <f ca="1">AC75*E75*10000*VLOOKUP(A75,[1]kcal!$A$2:$C$49,3,FALSE)/1000000000000</f>
        <v>0</v>
      </c>
    </row>
    <row r="76" spans="1:30" x14ac:dyDescent="0.25">
      <c r="A76" s="171" t="str">
        <f t="shared" si="11"/>
        <v>Kvæggylle</v>
      </c>
      <c r="B76" s="171" t="str">
        <f t="shared" si="12"/>
        <v>Husdyrgødning</v>
      </c>
      <c r="C76" s="171" t="str">
        <f>IFERROR(VLOOKUP(A76,'Kategorisering af kcal'!$J$2:$K$18,2,FALSE),"")</f>
        <v/>
      </c>
      <c r="D76" s="171">
        <f>IF(COUNTIFS('Resultater - Danmark'!$D$3:$D$504,'Produktion &amp; forbrug'!A76,'Resultater - Danmark'!$A$3:$A$504,"Til energi")+COUNTIFS('Resultater - Danmark'!$D$3:$D$504,'Produktion &amp; forbrug'!A76,'Resultater - Danmark'!$A$3:$A$504,"Biogasanlæg")&gt;0,1,0)</f>
        <v>1</v>
      </c>
      <c r="E76" s="171">
        <f t="shared" si="14"/>
        <v>0</v>
      </c>
      <c r="F76" s="171">
        <f t="shared" si="13"/>
        <v>2030</v>
      </c>
      <c r="G76" s="94">
        <f ca="1">SUMIFS('Resultat-Produktion &amp; forbrug'!G$4:G$291,'Resultat-Produktion &amp; forbrug'!$A$4:$A$291,'Produktion &amp; forbrug'!$A76,'Resultat-Produktion &amp; forbrug'!$E$4:$E$291,'Produktion &amp; forbrug'!$F76)</f>
        <v>13906285.884001991</v>
      </c>
      <c r="H76" s="94">
        <f>SUMIFS('Resultat-Produktion &amp; forbrug'!H$4:H$291,'Resultat-Produktion &amp; forbrug'!$A$4:$A$291,'Produktion &amp; forbrug'!$A76,'Resultat-Produktion &amp; forbrug'!$E$4:$E$291,'Produktion &amp; forbrug'!$F76)</f>
        <v>0</v>
      </c>
      <c r="I76" s="94">
        <f>SUMIFS('Resultat-Produktion &amp; forbrug'!I$4:I$291,'Resultat-Produktion &amp; forbrug'!$A$4:$A$291,'Produktion &amp; forbrug'!$A76,'Resultat-Produktion &amp; forbrug'!$E$4:$E$291,'Produktion &amp; forbrug'!$F76)</f>
        <v>0</v>
      </c>
      <c r="J76" s="94">
        <f>SUMIFS('Resultat-Produktion &amp; forbrug'!J$4:J$291,'Resultat-Produktion &amp; forbrug'!$A$4:$A$291,'Produktion &amp; forbrug'!$A76,'Resultat-Produktion &amp; forbrug'!$E$4:$E$291,'Produktion &amp; forbrug'!$F76)</f>
        <v>0</v>
      </c>
      <c r="K76" s="94">
        <f ca="1">SUMIFS('Resultat-Produktion &amp; forbrug'!K$4:K$291,'Resultat-Produktion &amp; forbrug'!$A$4:$A$291,'Produktion &amp; forbrug'!$A76,'Resultat-Produktion &amp; forbrug'!$E$4:$E$291,'Produktion &amp; forbrug'!$F76)</f>
        <v>10429714.413001494</v>
      </c>
      <c r="L76" s="94">
        <f ca="1">SUMIFS('Resultat-Produktion &amp; forbrug'!L$4:L$291,'Resultat-Produktion &amp; forbrug'!$A$4:$A$291,'Produktion &amp; forbrug'!$A76,'Resultat-Produktion &amp; forbrug'!$E$4:$E$291,'Produktion &amp; forbrug'!$F76)</f>
        <v>3476571.4710004977</v>
      </c>
      <c r="M76" s="94">
        <f>SUMIFS('Resultat-Produktion &amp; forbrug'!M$4:M$291,'Resultat-Produktion &amp; forbrug'!$A$4:$A$291,'Produktion &amp; forbrug'!$A76,'Resultat-Produktion &amp; forbrug'!$E$4:$E$291,'Produktion &amp; forbrug'!$F76)</f>
        <v>0</v>
      </c>
      <c r="N76" s="94">
        <f>SUMIFS('Resultat-Produktion &amp; forbrug'!N$4:N$291,'Resultat-Produktion &amp; forbrug'!$A$4:$A$291,'Produktion &amp; forbrug'!$A76,'Resultat-Produktion &amp; forbrug'!$E$4:$E$291,'Produktion &amp; forbrug'!$F76)</f>
        <v>0</v>
      </c>
      <c r="O76" s="179">
        <f t="shared" ca="1" si="17"/>
        <v>0</v>
      </c>
      <c r="P76" s="94">
        <f t="shared" ca="1" si="18"/>
        <v>0</v>
      </c>
      <c r="Q76" s="180">
        <f t="shared" ca="1" si="19"/>
        <v>10429714.413001494</v>
      </c>
      <c r="R76">
        <f ca="1">IFERROR(VLOOKUP(A76,[1]Energiindhold!$A$2:$C$11,3,FALSE),IFERROR(VLOOKUP(A76,[1]Biogasudbytte!$A$2:$B$18,2,FALSE)*[1]Energiindhold!$C$10,0))*P76</f>
        <v>0</v>
      </c>
      <c r="S76">
        <f ca="1">IF(A76&lt;&gt;"Biogas",IFERROR(VLOOKUP(A76,[1]Biogasudbytte!$A$2:$B$18,2,FALSE)*[1]Energiindhold!$C$10,0)*K76*IFERROR(VLOOKUP(A76,Biogasanlæg!$F$3:$G$8,2,FALSE),1)+IFERROR(VLOOKUP(A76,[1]Energiindhold!$A$2:$C$11,3,FALSE),0)*M76+IF(F76&lt;&gt;År1,R76,0),0)</f>
        <v>5.2794171387172275</v>
      </c>
      <c r="T76">
        <f ca="1">IFERROR(VLOOKUP(A76,[1]Biogasudbytte!$A$2:$B$18,2,FALSE)*[1]Energiindhold!$C$10,0)*K76*IFERROR(VLOOKUP(A76,Biogasanlæg!$F$3:$G$8,2,FALSE),1)</f>
        <v>5.2794171387172275</v>
      </c>
      <c r="U76" s="170">
        <f t="shared" ca="1" si="20"/>
        <v>0</v>
      </c>
      <c r="V76" s="169">
        <f ca="1">P76*IFERROR(VLOOKUP(A76,[1]Tørstofindhold!A$2:B$24,2,FALSE),0)</f>
        <v>0</v>
      </c>
      <c r="W76">
        <f ca="1">IF(F76=År1,Q76,SUM(P76,Q76))*IFERROR(VLOOKUP(A76,[1]Tørstofindhold!A$2:B$24,2,FALSE),0)</f>
        <v>792658.29538811359</v>
      </c>
      <c r="X76">
        <f ca="1">K76*IFERROR(VLOOKUP(A76,[1]Tørstofindhold!A$2:B$24,2,FALSE),0)</f>
        <v>792658.29538811359</v>
      </c>
      <c r="Y76" s="170">
        <f t="shared" ca="1" si="21"/>
        <v>0</v>
      </c>
      <c r="Z76">
        <f t="shared" ca="1" si="15"/>
        <v>0</v>
      </c>
      <c r="AA76">
        <f t="shared" ca="1" si="16"/>
        <v>0</v>
      </c>
      <c r="AC76" s="94">
        <f t="shared" ca="1" si="22"/>
        <v>0</v>
      </c>
      <c r="AD76">
        <f ca="1">AC76*E76*10000*VLOOKUP(A76,[1]kcal!$A$2:$C$49,3,FALSE)/1000000000000</f>
        <v>0</v>
      </c>
    </row>
    <row r="77" spans="1:30" x14ac:dyDescent="0.25">
      <c r="A77" s="171" t="str">
        <f t="shared" si="11"/>
        <v>Mælk til foder</v>
      </c>
      <c r="B77" s="171" t="str">
        <f t="shared" si="12"/>
        <v/>
      </c>
      <c r="C77" s="171" t="str">
        <f>IFERROR(VLOOKUP(A77,'Kategorisering af kcal'!$J$2:$K$18,2,FALSE),"")</f>
        <v/>
      </c>
      <c r="D77" s="171">
        <f>IF(COUNTIFS('Resultater - Danmark'!$D$3:$D$504,'Produktion &amp; forbrug'!A77,'Resultater - Danmark'!$A$3:$A$504,"Til energi")+COUNTIFS('Resultater - Danmark'!$D$3:$D$504,'Produktion &amp; forbrug'!A77,'Resultater - Danmark'!$A$3:$A$504,"Biogasanlæg")&gt;0,1,0)</f>
        <v>0</v>
      </c>
      <c r="E77" s="171">
        <f t="shared" si="14"/>
        <v>0</v>
      </c>
      <c r="F77" s="171">
        <f t="shared" si="13"/>
        <v>2030</v>
      </c>
      <c r="G77" s="94">
        <f ca="1">SUMIFS('Resultat-Produktion &amp; forbrug'!G$4:G$291,'Resultat-Produktion &amp; forbrug'!$A$4:$A$291,'Produktion &amp; forbrug'!$A77,'Resultat-Produktion &amp; forbrug'!$E$4:$E$291,'Produktion &amp; forbrug'!$F77)</f>
        <v>1736204.3992602557</v>
      </c>
      <c r="H77" s="94">
        <f ca="1">SUMIFS('Resultat-Produktion &amp; forbrug'!H$4:H$291,'Resultat-Produktion &amp; forbrug'!$A$4:$A$291,'Produktion &amp; forbrug'!$A77,'Resultat-Produktion &amp; forbrug'!$E$4:$E$291,'Produktion &amp; forbrug'!$F77)</f>
        <v>1658977.3665132597</v>
      </c>
      <c r="I77" s="94">
        <f>SUMIFS('Resultat-Produktion &amp; forbrug'!I$4:I$291,'Resultat-Produktion &amp; forbrug'!$A$4:$A$291,'Produktion &amp; forbrug'!$A77,'Resultat-Produktion &amp; forbrug'!$E$4:$E$291,'Produktion &amp; forbrug'!$F77)</f>
        <v>0</v>
      </c>
      <c r="J77" s="94">
        <f>SUMIFS('Resultat-Produktion &amp; forbrug'!J$4:J$291,'Resultat-Produktion &amp; forbrug'!$A$4:$A$291,'Produktion &amp; forbrug'!$A77,'Resultat-Produktion &amp; forbrug'!$E$4:$E$291,'Produktion &amp; forbrug'!$F77)</f>
        <v>0</v>
      </c>
      <c r="K77" s="94">
        <f>SUMIFS('Resultat-Produktion &amp; forbrug'!K$4:K$291,'Resultat-Produktion &amp; forbrug'!$A$4:$A$291,'Produktion &amp; forbrug'!$A77,'Resultat-Produktion &amp; forbrug'!$E$4:$E$291,'Produktion &amp; forbrug'!$F77)</f>
        <v>0</v>
      </c>
      <c r="L77" s="94">
        <f>SUMIFS('Resultat-Produktion &amp; forbrug'!L$4:L$291,'Resultat-Produktion &amp; forbrug'!$A$4:$A$291,'Produktion &amp; forbrug'!$A77,'Resultat-Produktion &amp; forbrug'!$E$4:$E$291,'Produktion &amp; forbrug'!$F77)</f>
        <v>0</v>
      </c>
      <c r="M77" s="94">
        <f>SUMIFS('Resultat-Produktion &amp; forbrug'!M$4:M$291,'Resultat-Produktion &amp; forbrug'!$A$4:$A$291,'Produktion &amp; forbrug'!$A77,'Resultat-Produktion &amp; forbrug'!$E$4:$E$291,'Produktion &amp; forbrug'!$F77)</f>
        <v>0</v>
      </c>
      <c r="N77" s="94">
        <f>SUMIFS('Resultat-Produktion &amp; forbrug'!N$4:N$291,'Resultat-Produktion &amp; forbrug'!$A$4:$A$291,'Produktion &amp; forbrug'!$A77,'Resultat-Produktion &amp; forbrug'!$E$4:$E$291,'Produktion &amp; forbrug'!$F77)</f>
        <v>0</v>
      </c>
      <c r="O77" s="179">
        <f t="shared" ca="1" si="17"/>
        <v>77227.032746996032</v>
      </c>
      <c r="P77" s="94">
        <f t="shared" si="18"/>
        <v>0</v>
      </c>
      <c r="Q77" s="180">
        <f t="shared" si="19"/>
        <v>0</v>
      </c>
      <c r="R77">
        <f>IFERROR(VLOOKUP(A77,[1]Energiindhold!$A$2:$C$11,3,FALSE),IFERROR(VLOOKUP(A77,[1]Biogasudbytte!$A$2:$B$18,2,FALSE)*[1]Energiindhold!$C$10,0))*P77</f>
        <v>0</v>
      </c>
      <c r="S77">
        <f>IF(A77&lt;&gt;"Biogas",IFERROR(VLOOKUP(A77,[1]Biogasudbytte!$A$2:$B$18,2,FALSE)*[1]Energiindhold!$C$10,0)*K77*IFERROR(VLOOKUP(A77,Biogasanlæg!$F$3:$G$8,2,FALSE),1)+IFERROR(VLOOKUP(A77,[1]Energiindhold!$A$2:$C$11,3,FALSE),0)*M77+IF(F77&lt;&gt;År1,R77,0),0)</f>
        <v>0</v>
      </c>
      <c r="T77">
        <f>IFERROR(VLOOKUP(A77,[1]Biogasudbytte!$A$2:$B$18,2,FALSE)*[1]Energiindhold!$C$10,0)*K77*IFERROR(VLOOKUP(A77,Biogasanlæg!$F$3:$G$8,2,FALSE),1)</f>
        <v>0</v>
      </c>
      <c r="U77" s="170">
        <f t="shared" si="20"/>
        <v>0</v>
      </c>
      <c r="V77" s="169">
        <f>P77*IFERROR(VLOOKUP(A77,[1]Tørstofindhold!A$2:B$24,2,FALSE),0)</f>
        <v>0</v>
      </c>
      <c r="W77">
        <f>IF(F77=År1,Q77,SUM(P77,Q77))*IFERROR(VLOOKUP(A77,[1]Tørstofindhold!A$2:B$24,2,FALSE),0)</f>
        <v>0</v>
      </c>
      <c r="X77">
        <f>K77*IFERROR(VLOOKUP(A77,[1]Tørstofindhold!A$2:B$24,2,FALSE),0)</f>
        <v>0</v>
      </c>
      <c r="Y77" s="170">
        <f t="shared" si="21"/>
        <v>0</v>
      </c>
      <c r="Z77">
        <f t="shared" ca="1" si="15"/>
        <v>0</v>
      </c>
      <c r="AA77">
        <f t="shared" ca="1" si="16"/>
        <v>1</v>
      </c>
      <c r="AC77" s="94">
        <f t="shared" ca="1" si="22"/>
        <v>77227.032746996032</v>
      </c>
      <c r="AD77">
        <f ca="1">AC77*E77*10000*VLOOKUP(A77,[1]kcal!$A$2:$C$49,3,FALSE)/1000000000000</f>
        <v>0</v>
      </c>
    </row>
    <row r="78" spans="1:30" x14ac:dyDescent="0.25">
      <c r="A78" s="171" t="str">
        <f t="shared" si="11"/>
        <v>Majs</v>
      </c>
      <c r="B78" s="171" t="str">
        <f t="shared" si="12"/>
        <v>Græs og urter</v>
      </c>
      <c r="C78" s="171" t="str">
        <f>IFERROR(VLOOKUP(A78,'Kategorisering af kcal'!$J$2:$K$18,2,FALSE),"")</f>
        <v>Korn</v>
      </c>
      <c r="D78" s="171">
        <f>IF(COUNTIFS('Resultater - Danmark'!$D$3:$D$504,'Produktion &amp; forbrug'!A78,'Resultater - Danmark'!$A$3:$A$504,"Til energi")+COUNTIFS('Resultater - Danmark'!$D$3:$D$504,'Produktion &amp; forbrug'!A78,'Resultater - Danmark'!$A$3:$A$504,"Biogasanlæg")&gt;0,1,0)</f>
        <v>1</v>
      </c>
      <c r="E78" s="171">
        <f t="shared" si="14"/>
        <v>1</v>
      </c>
      <c r="F78" s="171">
        <f t="shared" si="13"/>
        <v>2030</v>
      </c>
      <c r="G78" s="94">
        <f>SUMIFS('Resultat-Produktion &amp; forbrug'!G$4:G$291,'Resultat-Produktion &amp; forbrug'!$A$4:$A$291,'Produktion &amp; forbrug'!$A78,'Resultat-Produktion &amp; forbrug'!$E$4:$E$291,'Produktion &amp; forbrug'!$F78)</f>
        <v>7971264.8929432305</v>
      </c>
      <c r="H78" s="94">
        <f ca="1">SUMIFS('Resultat-Produktion &amp; forbrug'!H$4:H$291,'Resultat-Produktion &amp; forbrug'!$A$4:$A$291,'Produktion &amp; forbrug'!$A78,'Resultat-Produktion &amp; forbrug'!$E$4:$E$291,'Produktion &amp; forbrug'!$F78)</f>
        <v>6191750.632110659</v>
      </c>
      <c r="I78" s="94">
        <f>SUMIFS('Resultat-Produktion &amp; forbrug'!I$4:I$291,'Resultat-Produktion &amp; forbrug'!$A$4:$A$291,'Produktion &amp; forbrug'!$A78,'Resultat-Produktion &amp; forbrug'!$E$4:$E$291,'Produktion &amp; forbrug'!$F78)</f>
        <v>0</v>
      </c>
      <c r="J78" s="94">
        <f>SUMIFS('Resultat-Produktion &amp; forbrug'!J$4:J$291,'Resultat-Produktion &amp; forbrug'!$A$4:$A$291,'Produktion &amp; forbrug'!$A78,'Resultat-Produktion &amp; forbrug'!$E$4:$E$291,'Produktion &amp; forbrug'!$F78)</f>
        <v>0</v>
      </c>
      <c r="K78" s="94">
        <f>SUMIFS('Resultat-Produktion &amp; forbrug'!K$4:K$291,'Resultat-Produktion &amp; forbrug'!$A$4:$A$291,'Produktion &amp; forbrug'!$A78,'Resultat-Produktion &amp; forbrug'!$E$4:$E$291,'Produktion &amp; forbrug'!$F78)</f>
        <v>0</v>
      </c>
      <c r="L78" s="94">
        <f>SUMIFS('Resultat-Produktion &amp; forbrug'!L$4:L$291,'Resultat-Produktion &amp; forbrug'!$A$4:$A$291,'Produktion &amp; forbrug'!$A78,'Resultat-Produktion &amp; forbrug'!$E$4:$E$291,'Produktion &amp; forbrug'!$F78)</f>
        <v>0</v>
      </c>
      <c r="M78" s="94">
        <f>SUMIFS('Resultat-Produktion &amp; forbrug'!M$4:M$291,'Resultat-Produktion &amp; forbrug'!$A$4:$A$291,'Produktion &amp; forbrug'!$A78,'Resultat-Produktion &amp; forbrug'!$E$4:$E$291,'Produktion &amp; forbrug'!$F78)</f>
        <v>0</v>
      </c>
      <c r="N78" s="94">
        <f>SUMIFS('Resultat-Produktion &amp; forbrug'!N$4:N$291,'Resultat-Produktion &amp; forbrug'!$A$4:$A$291,'Produktion &amp; forbrug'!$A78,'Resultat-Produktion &amp; forbrug'!$E$4:$E$291,'Produktion &amp; forbrug'!$F78)</f>
        <v>0</v>
      </c>
      <c r="O78" s="179">
        <f t="shared" ca="1" si="17"/>
        <v>1779514.2608325714</v>
      </c>
      <c r="P78" s="94">
        <f t="shared" ca="1" si="18"/>
        <v>1779514.2608325714</v>
      </c>
      <c r="Q78" s="180">
        <f t="shared" si="19"/>
        <v>0</v>
      </c>
      <c r="R78">
        <f ca="1">IFERROR(VLOOKUP(A78,[1]Energiindhold!$A$2:$C$11,3,FALSE),IFERROR(VLOOKUP(A78,[1]Biogasudbytte!$A$2:$B$18,2,FALSE)*[1]Energiindhold!$C$10,0))*P78</f>
        <v>6.3884561963889324</v>
      </c>
      <c r="S78">
        <f ca="1">IF(A78&lt;&gt;"Biogas",IFERROR(VLOOKUP(A78,[1]Biogasudbytte!$A$2:$B$18,2,FALSE)*[1]Energiindhold!$C$10,0)*K78*IFERROR(VLOOKUP(A78,Biogasanlæg!$F$3:$G$8,2,FALSE),1)+IFERROR(VLOOKUP(A78,[1]Energiindhold!$A$2:$C$11,3,FALSE),0)*M78+IF(F78&lt;&gt;År1,R78,0),0)</f>
        <v>6.3884561963889324</v>
      </c>
      <c r="T78">
        <f>IFERROR(VLOOKUP(A78,[1]Biogasudbytte!$A$2:$B$18,2,FALSE)*[1]Energiindhold!$C$10,0)*K78*IFERROR(VLOOKUP(A78,Biogasanlæg!$F$3:$G$8,2,FALSE),1)</f>
        <v>0</v>
      </c>
      <c r="U78" s="170">
        <f t="shared" ca="1" si="20"/>
        <v>6.3884561963889324</v>
      </c>
      <c r="V78" s="169">
        <f ca="1">P78*IFERROR(VLOOKUP(A78,[1]Tørstofindhold!A$2:B$24,2,FALSE),0)</f>
        <v>533854.27824977145</v>
      </c>
      <c r="W78">
        <f ca="1">IF(F78=År1,Q78,SUM(P78,Q78))*IFERROR(VLOOKUP(A78,[1]Tørstofindhold!A$2:B$24,2,FALSE),0)</f>
        <v>533854.27824977145</v>
      </c>
      <c r="X78">
        <f>K78*IFERROR(VLOOKUP(A78,[1]Tørstofindhold!A$2:B$24,2,FALSE),0)</f>
        <v>0</v>
      </c>
      <c r="Y78" s="170">
        <f t="shared" ca="1" si="21"/>
        <v>533854.27824977145</v>
      </c>
      <c r="Z78">
        <f t="shared" ca="1" si="15"/>
        <v>0</v>
      </c>
      <c r="AA78">
        <f t="shared" ca="1" si="16"/>
        <v>1</v>
      </c>
      <c r="AC78" s="94">
        <f t="shared" ca="1" si="22"/>
        <v>1779514.2608325714</v>
      </c>
      <c r="AD78">
        <f ca="1">AC78*E78*10000*VLOOKUP(A78,[1]kcal!$A$2:$C$49,3,FALSE)/1000000000000</f>
        <v>1.6193579773576399</v>
      </c>
    </row>
    <row r="79" spans="1:30" x14ac:dyDescent="0.25">
      <c r="A79" s="171" t="str">
        <f t="shared" si="11"/>
        <v>Mejeriprodukter</v>
      </c>
      <c r="B79" s="171" t="str">
        <f t="shared" si="12"/>
        <v/>
      </c>
      <c r="C79" s="171" t="str">
        <f>IFERROR(VLOOKUP(A79,'Kategorisering af kcal'!$J$2:$K$18,2,FALSE),"")</f>
        <v>Mejeriprodukter</v>
      </c>
      <c r="D79" s="171">
        <f>IF(COUNTIFS('Resultater - Danmark'!$D$3:$D$504,'Produktion &amp; forbrug'!A79,'Resultater - Danmark'!$A$3:$A$504,"Til energi")+COUNTIFS('Resultater - Danmark'!$D$3:$D$504,'Produktion &amp; forbrug'!A79,'Resultater - Danmark'!$A$3:$A$504,"Biogasanlæg")&gt;0,1,0)</f>
        <v>0</v>
      </c>
      <c r="E79" s="171">
        <f t="shared" si="14"/>
        <v>1</v>
      </c>
      <c r="F79" s="171">
        <f t="shared" si="13"/>
        <v>2030</v>
      </c>
      <c r="G79" s="94">
        <f ca="1">SUMIFS('Resultat-Produktion &amp; forbrug'!G$4:G$291,'Resultat-Produktion &amp; forbrug'!$A$4:$A$291,'Produktion &amp; forbrug'!$A79,'Resultat-Produktion &amp; forbrug'!$E$4:$E$291,'Produktion &amp; forbrug'!$F79)</f>
        <v>3349973.4189923876</v>
      </c>
      <c r="H79" s="94">
        <f>SUMIFS('Resultat-Produktion &amp; forbrug'!H$4:H$291,'Resultat-Produktion &amp; forbrug'!$A$4:$A$291,'Produktion &amp; forbrug'!$A79,'Resultat-Produktion &amp; forbrug'!$E$4:$E$291,'Produktion &amp; forbrug'!$F79)</f>
        <v>0</v>
      </c>
      <c r="I79" s="94">
        <f>SUMIFS('Resultat-Produktion &amp; forbrug'!I$4:I$291,'Resultat-Produktion &amp; forbrug'!$A$4:$A$291,'Produktion &amp; forbrug'!$A79,'Resultat-Produktion &amp; forbrug'!$E$4:$E$291,'Produktion &amp; forbrug'!$F79)</f>
        <v>0</v>
      </c>
      <c r="J79" s="94">
        <f>SUMIFS('Resultat-Produktion &amp; forbrug'!J$4:J$291,'Resultat-Produktion &amp; forbrug'!$A$4:$A$291,'Produktion &amp; forbrug'!$A79,'Resultat-Produktion &amp; forbrug'!$E$4:$E$291,'Produktion &amp; forbrug'!$F79)</f>
        <v>881442.3078256119</v>
      </c>
      <c r="K79" s="94">
        <f>SUMIFS('Resultat-Produktion &amp; forbrug'!K$4:K$291,'Resultat-Produktion &amp; forbrug'!$A$4:$A$291,'Produktion &amp; forbrug'!$A79,'Resultat-Produktion &amp; forbrug'!$E$4:$E$291,'Produktion &amp; forbrug'!$F79)</f>
        <v>0</v>
      </c>
      <c r="L79" s="94">
        <f>SUMIFS('Resultat-Produktion &amp; forbrug'!L$4:L$291,'Resultat-Produktion &amp; forbrug'!$A$4:$A$291,'Produktion &amp; forbrug'!$A79,'Resultat-Produktion &amp; forbrug'!$E$4:$E$291,'Produktion &amp; forbrug'!$F79)</f>
        <v>0</v>
      </c>
      <c r="M79" s="94">
        <f>SUMIFS('Resultat-Produktion &amp; forbrug'!M$4:M$291,'Resultat-Produktion &amp; forbrug'!$A$4:$A$291,'Produktion &amp; forbrug'!$A79,'Resultat-Produktion &amp; forbrug'!$E$4:$E$291,'Produktion &amp; forbrug'!$F79)</f>
        <v>0</v>
      </c>
      <c r="N79" s="94">
        <f>SUMIFS('Resultat-Produktion &amp; forbrug'!N$4:N$291,'Resultat-Produktion &amp; forbrug'!$A$4:$A$291,'Produktion &amp; forbrug'!$A79,'Resultat-Produktion &amp; forbrug'!$E$4:$E$291,'Produktion &amp; forbrug'!$F79)</f>
        <v>0</v>
      </c>
      <c r="O79" s="179">
        <f t="shared" ca="1" si="17"/>
        <v>2468531.1111667757</v>
      </c>
      <c r="P79" s="94">
        <f t="shared" si="18"/>
        <v>0</v>
      </c>
      <c r="Q79" s="180">
        <f t="shared" si="19"/>
        <v>0</v>
      </c>
      <c r="R79">
        <f>IFERROR(VLOOKUP(A79,[1]Energiindhold!$A$2:$C$11,3,FALSE),IFERROR(VLOOKUP(A79,[1]Biogasudbytte!$A$2:$B$18,2,FALSE)*[1]Energiindhold!$C$10,0))*P79</f>
        <v>0</v>
      </c>
      <c r="S79">
        <f>IF(A79&lt;&gt;"Biogas",IFERROR(VLOOKUP(A79,[1]Biogasudbytte!$A$2:$B$18,2,FALSE)*[1]Energiindhold!$C$10,0)*K79*IFERROR(VLOOKUP(A79,Biogasanlæg!$F$3:$G$8,2,FALSE),1)+IFERROR(VLOOKUP(A79,[1]Energiindhold!$A$2:$C$11,3,FALSE),0)*M79+IF(F79&lt;&gt;År1,R79,0),0)</f>
        <v>0</v>
      </c>
      <c r="T79">
        <f>IFERROR(VLOOKUP(A79,[1]Biogasudbytte!$A$2:$B$18,2,FALSE)*[1]Energiindhold!$C$10,0)*K79*IFERROR(VLOOKUP(A79,Biogasanlæg!$F$3:$G$8,2,FALSE),1)</f>
        <v>0</v>
      </c>
      <c r="U79" s="170">
        <f t="shared" si="20"/>
        <v>0</v>
      </c>
      <c r="V79" s="169">
        <f>P79*IFERROR(VLOOKUP(A79,[1]Tørstofindhold!A$2:B$24,2,FALSE),0)</f>
        <v>0</v>
      </c>
      <c r="W79">
        <f>IF(F79=År1,Q79,SUM(P79,Q79))*IFERROR(VLOOKUP(A79,[1]Tørstofindhold!A$2:B$24,2,FALSE),0)</f>
        <v>0</v>
      </c>
      <c r="X79">
        <f>K79*IFERROR(VLOOKUP(A79,[1]Tørstofindhold!A$2:B$24,2,FALSE),0)</f>
        <v>0</v>
      </c>
      <c r="Y79" s="170">
        <f t="shared" si="21"/>
        <v>0</v>
      </c>
      <c r="Z79">
        <f t="shared" ca="1" si="15"/>
        <v>0</v>
      </c>
      <c r="AA79">
        <f t="shared" ca="1" si="16"/>
        <v>1</v>
      </c>
      <c r="AC79" s="94">
        <f t="shared" ca="1" si="22"/>
        <v>3349973.4189923876</v>
      </c>
      <c r="AD79">
        <f ca="1">AC79*E79*10000*VLOOKUP(A79,[1]kcal!$A$2:$C$49,3,FALSE)/1000000000000</f>
        <v>2.1104832539652043</v>
      </c>
    </row>
    <row r="80" spans="1:30" x14ac:dyDescent="0.25">
      <c r="A80" s="171" t="str">
        <f t="shared" si="11"/>
        <v>Muslinger</v>
      </c>
      <c r="B80" s="171" t="str">
        <f t="shared" si="12"/>
        <v>Havbiomasse</v>
      </c>
      <c r="C80" s="171" t="str">
        <f>IFERROR(VLOOKUP(A80,'Kategorisering af kcal'!$J$2:$K$18,2,FALSE),"")</f>
        <v>Fisk mm</v>
      </c>
      <c r="D80" s="171">
        <f>IF(COUNTIFS('Resultater - Danmark'!$D$3:$D$504,'Produktion &amp; forbrug'!A80,'Resultater - Danmark'!$A$3:$A$504,"Til energi")+COUNTIFS('Resultater - Danmark'!$D$3:$D$504,'Produktion &amp; forbrug'!A80,'Resultater - Danmark'!$A$3:$A$504,"Biogasanlæg")&gt;0,1,0)</f>
        <v>1</v>
      </c>
      <c r="E80" s="171">
        <f t="shared" si="14"/>
        <v>1</v>
      </c>
      <c r="F80" s="171">
        <f t="shared" si="13"/>
        <v>2030</v>
      </c>
      <c r="G80" s="94">
        <f>SUMIFS('Resultat-Produktion &amp; forbrug'!G$4:G$291,'Resultat-Produktion &amp; forbrug'!$A$4:$A$291,'Produktion &amp; forbrug'!$A80,'Resultat-Produktion &amp; forbrug'!$E$4:$E$291,'Produktion &amp; forbrug'!$F80)</f>
        <v>880.09999999999991</v>
      </c>
      <c r="H80" s="94">
        <f ca="1">SUMIFS('Resultat-Produktion &amp; forbrug'!H$4:H$291,'Resultat-Produktion &amp; forbrug'!$A$4:$A$291,'Produktion &amp; forbrug'!$A80,'Resultat-Produktion &amp; forbrug'!$E$4:$E$291,'Produktion &amp; forbrug'!$F80)</f>
        <v>0</v>
      </c>
      <c r="I80" s="94">
        <f>SUMIFS('Resultat-Produktion &amp; forbrug'!I$4:I$291,'Resultat-Produktion &amp; forbrug'!$A$4:$A$291,'Produktion &amp; forbrug'!$A80,'Resultat-Produktion &amp; forbrug'!$E$4:$E$291,'Produktion &amp; forbrug'!$F80)</f>
        <v>0</v>
      </c>
      <c r="J80" s="94">
        <f>SUMIFS('Resultat-Produktion &amp; forbrug'!J$4:J$291,'Resultat-Produktion &amp; forbrug'!$A$4:$A$291,'Produktion &amp; forbrug'!$A80,'Resultat-Produktion &amp; forbrug'!$E$4:$E$291,'Produktion &amp; forbrug'!$F80)</f>
        <v>0</v>
      </c>
      <c r="K80" s="94">
        <f>SUMIFS('Resultat-Produktion &amp; forbrug'!K$4:K$291,'Resultat-Produktion &amp; forbrug'!$A$4:$A$291,'Produktion &amp; forbrug'!$A80,'Resultat-Produktion &amp; forbrug'!$E$4:$E$291,'Produktion &amp; forbrug'!$F80)</f>
        <v>0</v>
      </c>
      <c r="L80" s="94">
        <f>SUMIFS('Resultat-Produktion &amp; forbrug'!L$4:L$291,'Resultat-Produktion &amp; forbrug'!$A$4:$A$291,'Produktion &amp; forbrug'!$A80,'Resultat-Produktion &amp; forbrug'!$E$4:$E$291,'Produktion &amp; forbrug'!$F80)</f>
        <v>0</v>
      </c>
      <c r="M80" s="94">
        <f>SUMIFS('Resultat-Produktion &amp; forbrug'!M$4:M$291,'Resultat-Produktion &amp; forbrug'!$A$4:$A$291,'Produktion &amp; forbrug'!$A80,'Resultat-Produktion &amp; forbrug'!$E$4:$E$291,'Produktion &amp; forbrug'!$F80)</f>
        <v>0</v>
      </c>
      <c r="N80" s="94">
        <f>SUMIFS('Resultat-Produktion &amp; forbrug'!N$4:N$291,'Resultat-Produktion &amp; forbrug'!$A$4:$A$291,'Produktion &amp; forbrug'!$A80,'Resultat-Produktion &amp; forbrug'!$E$4:$E$291,'Produktion &amp; forbrug'!$F80)</f>
        <v>0</v>
      </c>
      <c r="O80" s="179">
        <f t="shared" ca="1" si="17"/>
        <v>880.09999999999991</v>
      </c>
      <c r="P80" s="94">
        <f t="shared" ca="1" si="18"/>
        <v>880.09999999999991</v>
      </c>
      <c r="Q80" s="180">
        <f t="shared" si="19"/>
        <v>0</v>
      </c>
      <c r="R80">
        <f ca="1">IFERROR(VLOOKUP(A80,[1]Energiindhold!$A$2:$C$11,3,FALSE),IFERROR(VLOOKUP(A80,[1]Biogasudbytte!$A$2:$B$18,2,FALSE)*[1]Energiindhold!$C$10,0))*P80</f>
        <v>7.8988975000000004E-4</v>
      </c>
      <c r="S80">
        <f ca="1">IF(A80&lt;&gt;"Biogas",IFERROR(VLOOKUP(A80,[1]Biogasudbytte!$A$2:$B$18,2,FALSE)*[1]Energiindhold!$C$10,0)*K80*IFERROR(VLOOKUP(A80,Biogasanlæg!$F$3:$G$8,2,FALSE),1)+IFERROR(VLOOKUP(A80,[1]Energiindhold!$A$2:$C$11,3,FALSE),0)*M80+IF(F80&lt;&gt;År1,R80,0),0)</f>
        <v>7.8988975000000004E-4</v>
      </c>
      <c r="T80">
        <f>IFERROR(VLOOKUP(A80,[1]Biogasudbytte!$A$2:$B$18,2,FALSE)*[1]Energiindhold!$C$10,0)*K80*IFERROR(VLOOKUP(A80,Biogasanlæg!$F$3:$G$8,2,FALSE),1)</f>
        <v>0</v>
      </c>
      <c r="U80" s="170">
        <f t="shared" ca="1" si="20"/>
        <v>7.8988975000000004E-4</v>
      </c>
      <c r="V80" s="169">
        <f ca="1">P80*IFERROR(VLOOKUP(A80,[1]Tørstofindhold!A$2:B$24,2,FALSE),0)</f>
        <v>132.01499999999999</v>
      </c>
      <c r="W80">
        <f ca="1">IF(F80=År1,Q80,SUM(P80,Q80))*IFERROR(VLOOKUP(A80,[1]Tørstofindhold!A$2:B$24,2,FALSE),0)</f>
        <v>132.01499999999999</v>
      </c>
      <c r="X80">
        <f>K80*IFERROR(VLOOKUP(A80,[1]Tørstofindhold!A$2:B$24,2,FALSE),0)</f>
        <v>0</v>
      </c>
      <c r="Y80" s="170">
        <f t="shared" ca="1" si="21"/>
        <v>132.01499999999999</v>
      </c>
      <c r="Z80">
        <f t="shared" ca="1" si="15"/>
        <v>0</v>
      </c>
      <c r="AA80">
        <f t="shared" ca="1" si="16"/>
        <v>1</v>
      </c>
      <c r="AC80" s="94">
        <f t="shared" ca="1" si="22"/>
        <v>880.09999999999991</v>
      </c>
      <c r="AD80">
        <f ca="1">AC80*E80*10000*VLOOKUP(A80,[1]kcal!$A$2:$C$49,3,FALSE)/1000000000000</f>
        <v>7.3048299999999998E-4</v>
      </c>
    </row>
    <row r="81" spans="1:30" x14ac:dyDescent="0.25">
      <c r="A81" s="171" t="str">
        <f t="shared" si="11"/>
        <v>Oksekød</v>
      </c>
      <c r="B81" s="171" t="str">
        <f t="shared" si="12"/>
        <v/>
      </c>
      <c r="C81" s="171" t="str">
        <f>IFERROR(VLOOKUP(A81,'Kategorisering af kcal'!$J$2:$K$18,2,FALSE),"")</f>
        <v>Kød</v>
      </c>
      <c r="D81" s="171">
        <f>IF(COUNTIFS('Resultater - Danmark'!$D$3:$D$504,'Produktion &amp; forbrug'!A81,'Resultater - Danmark'!$A$3:$A$504,"Til energi")+COUNTIFS('Resultater - Danmark'!$D$3:$D$504,'Produktion &amp; forbrug'!A81,'Resultater - Danmark'!$A$3:$A$504,"Biogasanlæg")&gt;0,1,0)</f>
        <v>0</v>
      </c>
      <c r="E81" s="171">
        <f t="shared" si="14"/>
        <v>1</v>
      </c>
      <c r="F81" s="171">
        <f t="shared" si="13"/>
        <v>2030</v>
      </c>
      <c r="G81" s="94">
        <f ca="1">SUMIFS('Resultat-Produktion &amp; forbrug'!G$4:G$291,'Resultat-Produktion &amp; forbrug'!$A$4:$A$291,'Produktion &amp; forbrug'!$A81,'Resultat-Produktion &amp; forbrug'!$E$4:$E$291,'Produktion &amp; forbrug'!$F81)</f>
        <v>113713.9338619913</v>
      </c>
      <c r="H81" s="94">
        <f>SUMIFS('Resultat-Produktion &amp; forbrug'!H$4:H$291,'Resultat-Produktion &amp; forbrug'!$A$4:$A$291,'Produktion &amp; forbrug'!$A81,'Resultat-Produktion &amp; forbrug'!$E$4:$E$291,'Produktion &amp; forbrug'!$F81)</f>
        <v>0</v>
      </c>
      <c r="I81" s="94">
        <f>SUMIFS('Resultat-Produktion &amp; forbrug'!I$4:I$291,'Resultat-Produktion &amp; forbrug'!$A$4:$A$291,'Produktion &amp; forbrug'!$A81,'Resultat-Produktion &amp; forbrug'!$E$4:$E$291,'Produktion &amp; forbrug'!$F81)</f>
        <v>0</v>
      </c>
      <c r="J81" s="94">
        <f>SUMIFS('Resultat-Produktion &amp; forbrug'!J$4:J$291,'Resultat-Produktion &amp; forbrug'!$A$4:$A$291,'Produktion &amp; forbrug'!$A81,'Resultat-Produktion &amp; forbrug'!$E$4:$E$291,'Produktion &amp; forbrug'!$F81)</f>
        <v>112003.96221853035</v>
      </c>
      <c r="K81" s="94">
        <f>SUMIFS('Resultat-Produktion &amp; forbrug'!K$4:K$291,'Resultat-Produktion &amp; forbrug'!$A$4:$A$291,'Produktion &amp; forbrug'!$A81,'Resultat-Produktion &amp; forbrug'!$E$4:$E$291,'Produktion &amp; forbrug'!$F81)</f>
        <v>0</v>
      </c>
      <c r="L81" s="94">
        <f>SUMIFS('Resultat-Produktion &amp; forbrug'!L$4:L$291,'Resultat-Produktion &amp; forbrug'!$A$4:$A$291,'Produktion &amp; forbrug'!$A81,'Resultat-Produktion &amp; forbrug'!$E$4:$E$291,'Produktion &amp; forbrug'!$F81)</f>
        <v>0</v>
      </c>
      <c r="M81" s="94">
        <f>SUMIFS('Resultat-Produktion &amp; forbrug'!M$4:M$291,'Resultat-Produktion &amp; forbrug'!$A$4:$A$291,'Produktion &amp; forbrug'!$A81,'Resultat-Produktion &amp; forbrug'!$E$4:$E$291,'Produktion &amp; forbrug'!$F81)</f>
        <v>0</v>
      </c>
      <c r="N81" s="94">
        <f>SUMIFS('Resultat-Produktion &amp; forbrug'!N$4:N$291,'Resultat-Produktion &amp; forbrug'!$A$4:$A$291,'Produktion &amp; forbrug'!$A81,'Resultat-Produktion &amp; forbrug'!$E$4:$E$291,'Produktion &amp; forbrug'!$F81)</f>
        <v>0</v>
      </c>
      <c r="O81" s="179">
        <f t="shared" ca="1" si="17"/>
        <v>1709.9716434609581</v>
      </c>
      <c r="P81" s="94">
        <f t="shared" si="18"/>
        <v>0</v>
      </c>
      <c r="Q81" s="180">
        <f t="shared" si="19"/>
        <v>0</v>
      </c>
      <c r="R81">
        <f>IFERROR(VLOOKUP(A81,[1]Energiindhold!$A$2:$C$11,3,FALSE),IFERROR(VLOOKUP(A81,[1]Biogasudbytte!$A$2:$B$18,2,FALSE)*[1]Energiindhold!$C$10,0))*P81</f>
        <v>0</v>
      </c>
      <c r="S81">
        <f>IF(A81&lt;&gt;"Biogas",IFERROR(VLOOKUP(A81,[1]Biogasudbytte!$A$2:$B$18,2,FALSE)*[1]Energiindhold!$C$10,0)*K81*IFERROR(VLOOKUP(A81,Biogasanlæg!$F$3:$G$8,2,FALSE),1)+IFERROR(VLOOKUP(A81,[1]Energiindhold!$A$2:$C$11,3,FALSE),0)*M81+IF(F81&lt;&gt;År1,R81,0),0)</f>
        <v>0</v>
      </c>
      <c r="T81">
        <f>IFERROR(VLOOKUP(A81,[1]Biogasudbytte!$A$2:$B$18,2,FALSE)*[1]Energiindhold!$C$10,0)*K81*IFERROR(VLOOKUP(A81,Biogasanlæg!$F$3:$G$8,2,FALSE),1)</f>
        <v>0</v>
      </c>
      <c r="U81" s="170">
        <f t="shared" si="20"/>
        <v>0</v>
      </c>
      <c r="V81" s="169">
        <f>P81*IFERROR(VLOOKUP(A81,[1]Tørstofindhold!A$2:B$24,2,FALSE),0)</f>
        <v>0</v>
      </c>
      <c r="W81">
        <f>IF(F81=År1,Q81,SUM(P81,Q81))*IFERROR(VLOOKUP(A81,[1]Tørstofindhold!A$2:B$24,2,FALSE),0)</f>
        <v>0</v>
      </c>
      <c r="X81">
        <f>K81*IFERROR(VLOOKUP(A81,[1]Tørstofindhold!A$2:B$24,2,FALSE),0)</f>
        <v>0</v>
      </c>
      <c r="Y81" s="170">
        <f t="shared" si="21"/>
        <v>0</v>
      </c>
      <c r="Z81">
        <f t="shared" ca="1" si="15"/>
        <v>0</v>
      </c>
      <c r="AA81">
        <f t="shared" ca="1" si="16"/>
        <v>1</v>
      </c>
      <c r="AC81" s="94">
        <f t="shared" ca="1" si="22"/>
        <v>113713.9338619913</v>
      </c>
      <c r="AD81">
        <f ca="1">AC81*E81*10000*VLOOKUP(A81,[1]kcal!$A$2:$C$49,3,FALSE)/1000000000000</f>
        <v>0.22174217103088306</v>
      </c>
    </row>
    <row r="82" spans="1:30" x14ac:dyDescent="0.25">
      <c r="A82" s="171" t="str">
        <f t="shared" si="11"/>
        <v>Øvrige</v>
      </c>
      <c r="B82" s="171" t="str">
        <f t="shared" si="12"/>
        <v/>
      </c>
      <c r="C82" s="171" t="str">
        <f>IFERROR(VLOOKUP(A82,'Kategorisering af kcal'!$J$2:$K$18,2,FALSE),"")</f>
        <v>Øvrige</v>
      </c>
      <c r="D82" s="171">
        <f>IF(COUNTIFS('Resultater - Danmark'!$D$3:$D$504,'Produktion &amp; forbrug'!A82,'Resultater - Danmark'!$A$3:$A$504,"Til energi")+COUNTIFS('Resultater - Danmark'!$D$3:$D$504,'Produktion &amp; forbrug'!A82,'Resultater - Danmark'!$A$3:$A$504,"Biogasanlæg")&gt;0,1,0)</f>
        <v>0</v>
      </c>
      <c r="E82" s="171">
        <f t="shared" si="14"/>
        <v>1</v>
      </c>
      <c r="F82" s="171">
        <f t="shared" si="13"/>
        <v>2030</v>
      </c>
      <c r="G82" s="94">
        <f>SUMIFS('Resultat-Produktion &amp; forbrug'!G$4:G$291,'Resultat-Produktion &amp; forbrug'!$A$4:$A$291,'Produktion &amp; forbrug'!$A82,'Resultat-Produktion &amp; forbrug'!$E$4:$E$291,'Produktion &amp; forbrug'!$F82)</f>
        <v>2003790.6742406534</v>
      </c>
      <c r="H82" s="94">
        <f>SUMIFS('Resultat-Produktion &amp; forbrug'!H$4:H$291,'Resultat-Produktion &amp; forbrug'!$A$4:$A$291,'Produktion &amp; forbrug'!$A82,'Resultat-Produktion &amp; forbrug'!$E$4:$E$291,'Produktion &amp; forbrug'!$F82)</f>
        <v>0</v>
      </c>
      <c r="I82" s="94">
        <f>SUMIFS('Resultat-Produktion &amp; forbrug'!I$4:I$291,'Resultat-Produktion &amp; forbrug'!$A$4:$A$291,'Produktion &amp; forbrug'!$A82,'Resultat-Produktion &amp; forbrug'!$E$4:$E$291,'Produktion &amp; forbrug'!$F82)</f>
        <v>0</v>
      </c>
      <c r="J82" s="94">
        <f>SUMIFS('Resultat-Produktion &amp; forbrug'!J$4:J$291,'Resultat-Produktion &amp; forbrug'!$A$4:$A$291,'Produktion &amp; forbrug'!$A82,'Resultat-Produktion &amp; forbrug'!$E$4:$E$291,'Produktion &amp; forbrug'!$F82)</f>
        <v>0</v>
      </c>
      <c r="K82" s="94">
        <f>SUMIFS('Resultat-Produktion &amp; forbrug'!K$4:K$291,'Resultat-Produktion &amp; forbrug'!$A$4:$A$291,'Produktion &amp; forbrug'!$A82,'Resultat-Produktion &amp; forbrug'!$E$4:$E$291,'Produktion &amp; forbrug'!$F82)</f>
        <v>0</v>
      </c>
      <c r="L82" s="94">
        <f>SUMIFS('Resultat-Produktion &amp; forbrug'!L$4:L$291,'Resultat-Produktion &amp; forbrug'!$A$4:$A$291,'Produktion &amp; forbrug'!$A82,'Resultat-Produktion &amp; forbrug'!$E$4:$E$291,'Produktion &amp; forbrug'!$F82)</f>
        <v>0</v>
      </c>
      <c r="M82" s="94">
        <f>SUMIFS('Resultat-Produktion &amp; forbrug'!M$4:M$291,'Resultat-Produktion &amp; forbrug'!$A$4:$A$291,'Produktion &amp; forbrug'!$A82,'Resultat-Produktion &amp; forbrug'!$E$4:$E$291,'Produktion &amp; forbrug'!$F82)</f>
        <v>0</v>
      </c>
      <c r="N82" s="94">
        <f>SUMIFS('Resultat-Produktion &amp; forbrug'!N$4:N$291,'Resultat-Produktion &amp; forbrug'!$A$4:$A$291,'Produktion &amp; forbrug'!$A82,'Resultat-Produktion &amp; forbrug'!$E$4:$E$291,'Produktion &amp; forbrug'!$F82)</f>
        <v>0</v>
      </c>
      <c r="O82" s="179">
        <f t="shared" si="17"/>
        <v>2003790.6742406534</v>
      </c>
      <c r="P82" s="94">
        <f t="shared" si="18"/>
        <v>0</v>
      </c>
      <c r="Q82" s="180">
        <f t="shared" si="19"/>
        <v>0</v>
      </c>
      <c r="R82">
        <f>IFERROR(VLOOKUP(A82,[1]Energiindhold!$A$2:$C$11,3,FALSE),IFERROR(VLOOKUP(A82,[1]Biogasudbytte!$A$2:$B$18,2,FALSE)*[1]Energiindhold!$C$10,0))*P82</f>
        <v>0</v>
      </c>
      <c r="S82">
        <f>IF(A82&lt;&gt;"Biogas",IFERROR(VLOOKUP(A82,[1]Biogasudbytte!$A$2:$B$18,2,FALSE)*[1]Energiindhold!$C$10,0)*K82*IFERROR(VLOOKUP(A82,Biogasanlæg!$F$3:$G$8,2,FALSE),1)+IFERROR(VLOOKUP(A82,[1]Energiindhold!$A$2:$C$11,3,FALSE),0)*M82+IF(F82&lt;&gt;År1,R82,0),0)</f>
        <v>0</v>
      </c>
      <c r="T82">
        <f>IFERROR(VLOOKUP(A82,[1]Biogasudbytte!$A$2:$B$18,2,FALSE)*[1]Energiindhold!$C$10,0)*K82*IFERROR(VLOOKUP(A82,Biogasanlæg!$F$3:$G$8,2,FALSE),1)</f>
        <v>0</v>
      </c>
      <c r="U82" s="170">
        <f t="shared" si="20"/>
        <v>0</v>
      </c>
      <c r="V82" s="169">
        <f>P82*IFERROR(VLOOKUP(A82,[1]Tørstofindhold!A$2:B$24,2,FALSE),0)</f>
        <v>0</v>
      </c>
      <c r="W82">
        <f>IF(F82=År1,Q82,SUM(P82,Q82))*IFERROR(VLOOKUP(A82,[1]Tørstofindhold!A$2:B$24,2,FALSE),0)</f>
        <v>0</v>
      </c>
      <c r="X82">
        <f>K82*IFERROR(VLOOKUP(A82,[1]Tørstofindhold!A$2:B$24,2,FALSE),0)</f>
        <v>0</v>
      </c>
      <c r="Y82" s="170">
        <f t="shared" si="21"/>
        <v>0</v>
      </c>
      <c r="Z82">
        <f t="shared" si="15"/>
        <v>0</v>
      </c>
      <c r="AA82">
        <f t="shared" si="16"/>
        <v>1</v>
      </c>
      <c r="AC82" s="94">
        <f t="shared" si="22"/>
        <v>2003790.6742406534</v>
      </c>
      <c r="AD82">
        <f>AC82*E82*10000*VLOOKUP(A82,[1]kcal!$A$2:$C$49,3,FALSE)/1000000000000</f>
        <v>0.78147836295385475</v>
      </c>
    </row>
    <row r="83" spans="1:30" x14ac:dyDescent="0.25">
      <c r="A83" s="171" t="str">
        <f t="shared" si="11"/>
        <v>Pil &amp; poppel</v>
      </c>
      <c r="B83" s="171" t="str">
        <f t="shared" si="12"/>
        <v>Vedmasse</v>
      </c>
      <c r="C83" s="171" t="str">
        <f>IFERROR(VLOOKUP(A83,'Kategorisering af kcal'!$J$2:$K$18,2,FALSE),"")</f>
        <v/>
      </c>
      <c r="D83" s="171">
        <f>IF(COUNTIFS('Resultater - Danmark'!$D$3:$D$504,'Produktion &amp; forbrug'!A83,'Resultater - Danmark'!$A$3:$A$504,"Til energi")+COUNTIFS('Resultater - Danmark'!$D$3:$D$504,'Produktion &amp; forbrug'!A83,'Resultater - Danmark'!$A$3:$A$504,"Biogasanlæg")&gt;0,1,0)</f>
        <v>1</v>
      </c>
      <c r="E83" s="171">
        <f t="shared" si="14"/>
        <v>0</v>
      </c>
      <c r="F83" s="171">
        <f t="shared" si="13"/>
        <v>2030</v>
      </c>
      <c r="G83" s="94">
        <f>SUMIFS('Resultat-Produktion &amp; forbrug'!G$4:G$291,'Resultat-Produktion &amp; forbrug'!$A$4:$A$291,'Produktion &amp; forbrug'!$A83,'Resultat-Produktion &amp; forbrug'!$E$4:$E$291,'Produktion &amp; forbrug'!$F83)</f>
        <v>205498.8189584185</v>
      </c>
      <c r="H83" s="94">
        <f>SUMIFS('Resultat-Produktion &amp; forbrug'!H$4:H$291,'Resultat-Produktion &amp; forbrug'!$A$4:$A$291,'Produktion &amp; forbrug'!$A83,'Resultat-Produktion &amp; forbrug'!$E$4:$E$291,'Produktion &amp; forbrug'!$F83)</f>
        <v>0</v>
      </c>
      <c r="I83" s="94">
        <f>SUMIFS('Resultat-Produktion &amp; forbrug'!I$4:I$291,'Resultat-Produktion &amp; forbrug'!$A$4:$A$291,'Produktion &amp; forbrug'!$A83,'Resultat-Produktion &amp; forbrug'!$E$4:$E$291,'Produktion &amp; forbrug'!$F83)</f>
        <v>0</v>
      </c>
      <c r="J83" s="94">
        <f>SUMIFS('Resultat-Produktion &amp; forbrug'!J$4:J$291,'Resultat-Produktion &amp; forbrug'!$A$4:$A$291,'Produktion &amp; forbrug'!$A83,'Resultat-Produktion &amp; forbrug'!$E$4:$E$291,'Produktion &amp; forbrug'!$F83)</f>
        <v>0</v>
      </c>
      <c r="K83" s="94">
        <f>SUMIFS('Resultat-Produktion &amp; forbrug'!K$4:K$291,'Resultat-Produktion &amp; forbrug'!$A$4:$A$291,'Produktion &amp; forbrug'!$A83,'Resultat-Produktion &amp; forbrug'!$E$4:$E$291,'Produktion &amp; forbrug'!$F83)</f>
        <v>0</v>
      </c>
      <c r="L83" s="94">
        <f>SUMIFS('Resultat-Produktion &amp; forbrug'!L$4:L$291,'Resultat-Produktion &amp; forbrug'!$A$4:$A$291,'Produktion &amp; forbrug'!$A83,'Resultat-Produktion &amp; forbrug'!$E$4:$E$291,'Produktion &amp; forbrug'!$F83)</f>
        <v>0</v>
      </c>
      <c r="M83" s="94">
        <f>SUMIFS('Resultat-Produktion &amp; forbrug'!M$4:M$291,'Resultat-Produktion &amp; forbrug'!$A$4:$A$291,'Produktion &amp; forbrug'!$A83,'Resultat-Produktion &amp; forbrug'!$E$4:$E$291,'Produktion &amp; forbrug'!$F83)</f>
        <v>205498.8189584185</v>
      </c>
      <c r="N83" s="94">
        <f>SUMIFS('Resultat-Produktion &amp; forbrug'!N$4:N$291,'Resultat-Produktion &amp; forbrug'!$A$4:$A$291,'Produktion &amp; forbrug'!$A83,'Resultat-Produktion &amp; forbrug'!$E$4:$E$291,'Produktion &amp; forbrug'!$F83)</f>
        <v>0</v>
      </c>
      <c r="O83" s="179">
        <f t="shared" si="17"/>
        <v>0</v>
      </c>
      <c r="P83" s="94">
        <f t="shared" si="18"/>
        <v>0</v>
      </c>
      <c r="Q83" s="180">
        <f t="shared" si="19"/>
        <v>205498.8189584185</v>
      </c>
      <c r="R83">
        <f>IFERROR(VLOOKUP(A83,[1]Energiindhold!$A$2:$C$11,3,FALSE),IFERROR(VLOOKUP(A83,[1]Biogasudbytte!$A$2:$B$18,2,FALSE)*[1]Energiindhold!$C$10,0))*P83</f>
        <v>0</v>
      </c>
      <c r="S83">
        <f>IF(A83&lt;&gt;"Biogas",IFERROR(VLOOKUP(A83,[1]Biogasudbytte!$A$2:$B$18,2,FALSE)*[1]Energiindhold!$C$10,0)*K83*IFERROR(VLOOKUP(A83,Biogasanlæg!$F$3:$G$8,2,FALSE),1)+IFERROR(VLOOKUP(A83,[1]Energiindhold!$A$2:$C$11,3,FALSE),0)*M83+IF(F83&lt;&gt;År1,R83,0),0)</f>
        <v>3.7811782688348998</v>
      </c>
      <c r="T83">
        <f>IFERROR(VLOOKUP(A83,[1]Biogasudbytte!$A$2:$B$18,2,FALSE)*[1]Energiindhold!$C$10,0)*K83*IFERROR(VLOOKUP(A83,Biogasanlæg!$F$3:$G$8,2,FALSE),1)</f>
        <v>0</v>
      </c>
      <c r="U83" s="170">
        <f t="shared" si="20"/>
        <v>3.7811782688348998</v>
      </c>
      <c r="V83" s="169">
        <f>P83*IFERROR(VLOOKUP(A83,[1]Tørstofindhold!A$2:B$24,2,FALSE),0)</f>
        <v>0</v>
      </c>
      <c r="W83">
        <f>IF(F83=År1,Q83,SUM(P83,Q83))*IFERROR(VLOOKUP(A83,[1]Tørstofindhold!A$2:B$24,2,FALSE),0)</f>
        <v>85282.009867743691</v>
      </c>
      <c r="X83">
        <f>K83*IFERROR(VLOOKUP(A83,[1]Tørstofindhold!A$2:B$24,2,FALSE),0)</f>
        <v>0</v>
      </c>
      <c r="Y83" s="170">
        <f t="shared" si="21"/>
        <v>85282.009867743691</v>
      </c>
      <c r="Z83">
        <f t="shared" si="15"/>
        <v>0</v>
      </c>
      <c r="AA83">
        <f t="shared" si="16"/>
        <v>0</v>
      </c>
      <c r="AC83" s="94">
        <f t="shared" si="22"/>
        <v>205498.8189584185</v>
      </c>
      <c r="AD83">
        <f>AC83*E83*10000*VLOOKUP(A83,[1]kcal!$A$2:$C$49,3,FALSE)/1000000000000</f>
        <v>0</v>
      </c>
    </row>
    <row r="84" spans="1:30" x14ac:dyDescent="0.25">
      <c r="A84" s="171" t="str">
        <f t="shared" si="11"/>
        <v>Pyrolysegas</v>
      </c>
      <c r="B84" s="171" t="str">
        <f t="shared" si="12"/>
        <v>Pyrolyseprodukter</v>
      </c>
      <c r="C84" s="171" t="str">
        <f>IFERROR(VLOOKUP(A84,'Kategorisering af kcal'!$J$2:$K$18,2,FALSE),"")</f>
        <v/>
      </c>
      <c r="D84" s="171">
        <f>IF(COUNTIFS('Resultater - Danmark'!$D$3:$D$504,'Produktion &amp; forbrug'!A84,'Resultater - Danmark'!$A$3:$A$504,"Til energi")+COUNTIFS('Resultater - Danmark'!$D$3:$D$504,'Produktion &amp; forbrug'!A84,'Resultater - Danmark'!$A$3:$A$504,"Biogasanlæg")&gt;0,1,0)</f>
        <v>1</v>
      </c>
      <c r="E84" s="171">
        <f t="shared" si="14"/>
        <v>0</v>
      </c>
      <c r="F84" s="171">
        <f t="shared" si="13"/>
        <v>2030</v>
      </c>
      <c r="G84" s="94">
        <f ca="1">SUMIFS('Resultat-Produktion &amp; forbrug'!G$4:G$291,'Resultat-Produktion &amp; forbrug'!$A$4:$A$291,'Produktion &amp; forbrug'!$A84,'Resultat-Produktion &amp; forbrug'!$E$4:$E$291,'Produktion &amp; forbrug'!$F84)</f>
        <v>0</v>
      </c>
      <c r="H84" s="94">
        <f>SUMIFS('Resultat-Produktion &amp; forbrug'!H$4:H$291,'Resultat-Produktion &amp; forbrug'!$A$4:$A$291,'Produktion &amp; forbrug'!$A84,'Resultat-Produktion &amp; forbrug'!$E$4:$E$291,'Produktion &amp; forbrug'!$F84)</f>
        <v>0</v>
      </c>
      <c r="I84" s="94">
        <f>SUMIFS('Resultat-Produktion &amp; forbrug'!I$4:I$291,'Resultat-Produktion &amp; forbrug'!$A$4:$A$291,'Produktion &amp; forbrug'!$A84,'Resultat-Produktion &amp; forbrug'!$E$4:$E$291,'Produktion &amp; forbrug'!$F84)</f>
        <v>0</v>
      </c>
      <c r="J84" s="94">
        <f>SUMIFS('Resultat-Produktion &amp; forbrug'!J$4:J$291,'Resultat-Produktion &amp; forbrug'!$A$4:$A$291,'Produktion &amp; forbrug'!$A84,'Resultat-Produktion &amp; forbrug'!$E$4:$E$291,'Produktion &amp; forbrug'!$F84)</f>
        <v>0</v>
      </c>
      <c r="K84" s="94">
        <f>SUMIFS('Resultat-Produktion &amp; forbrug'!K$4:K$291,'Resultat-Produktion &amp; forbrug'!$A$4:$A$291,'Produktion &amp; forbrug'!$A84,'Resultat-Produktion &amp; forbrug'!$E$4:$E$291,'Produktion &amp; forbrug'!$F84)</f>
        <v>0</v>
      </c>
      <c r="L84" s="94">
        <f>SUMIFS('Resultat-Produktion &amp; forbrug'!L$4:L$291,'Resultat-Produktion &amp; forbrug'!$A$4:$A$291,'Produktion &amp; forbrug'!$A84,'Resultat-Produktion &amp; forbrug'!$E$4:$E$291,'Produktion &amp; forbrug'!$F84)</f>
        <v>0</v>
      </c>
      <c r="M84" s="94">
        <f ca="1">SUMIFS('Resultat-Produktion &amp; forbrug'!M$4:M$291,'Resultat-Produktion &amp; forbrug'!$A$4:$A$291,'Produktion &amp; forbrug'!$A84,'Resultat-Produktion &amp; forbrug'!$E$4:$E$291,'Produktion &amp; forbrug'!$F84)</f>
        <v>0</v>
      </c>
      <c r="N84" s="94">
        <f>SUMIFS('Resultat-Produktion &amp; forbrug'!N$4:N$291,'Resultat-Produktion &amp; forbrug'!$A$4:$A$291,'Produktion &amp; forbrug'!$A84,'Resultat-Produktion &amp; forbrug'!$E$4:$E$291,'Produktion &amp; forbrug'!$F84)</f>
        <v>0</v>
      </c>
      <c r="O84" s="179">
        <f t="shared" ca="1" si="17"/>
        <v>0</v>
      </c>
      <c r="P84" s="94">
        <f t="shared" ca="1" si="18"/>
        <v>0</v>
      </c>
      <c r="Q84" s="180">
        <f t="shared" ca="1" si="19"/>
        <v>0</v>
      </c>
      <c r="R84">
        <f ca="1">IFERROR(VLOOKUP(A84,[1]Energiindhold!$A$2:$C$11,3,FALSE),IFERROR(VLOOKUP(A84,[1]Biogasudbytte!$A$2:$B$18,2,FALSE)*[1]Energiindhold!$C$10,0))*P84</f>
        <v>0</v>
      </c>
      <c r="S84">
        <f ca="1">IF(A84&lt;&gt;"Biogas",IFERROR(VLOOKUP(A84,[1]Biogasudbytte!$A$2:$B$18,2,FALSE)*[1]Energiindhold!$C$10,0)*K84*IFERROR(VLOOKUP(A84,Biogasanlæg!$F$3:$G$8,2,FALSE),1)+IFERROR(VLOOKUP(A84,[1]Energiindhold!$A$2:$C$11,3,FALSE),0)*M84+IF(F84&lt;&gt;År1,R84,0),0)</f>
        <v>0</v>
      </c>
      <c r="T84">
        <f>IFERROR(VLOOKUP(A84,[1]Biogasudbytte!$A$2:$B$18,2,FALSE)*[1]Energiindhold!$C$10,0)*K84*IFERROR(VLOOKUP(A84,Biogasanlæg!$F$3:$G$8,2,FALSE),1)</f>
        <v>0</v>
      </c>
      <c r="U84" s="170">
        <f t="shared" ca="1" si="20"/>
        <v>0</v>
      </c>
      <c r="V84" s="169">
        <f ca="1">P84*IFERROR(VLOOKUP(A84,[1]Tørstofindhold!A$2:B$24,2,FALSE),0)</f>
        <v>0</v>
      </c>
      <c r="W84">
        <f ca="1">IF(F84=År1,Q84,SUM(P84,Q84))*IFERROR(VLOOKUP(A84,[1]Tørstofindhold!A$2:B$24,2,FALSE),0)</f>
        <v>0</v>
      </c>
      <c r="X84">
        <f>K84*IFERROR(VLOOKUP(A84,[1]Tørstofindhold!A$2:B$24,2,FALSE),0)</f>
        <v>0</v>
      </c>
      <c r="Y84" s="170">
        <f t="shared" ca="1" si="21"/>
        <v>0</v>
      </c>
      <c r="Z84">
        <f t="shared" ca="1" si="15"/>
        <v>0</v>
      </c>
      <c r="AA84">
        <f t="shared" ca="1" si="16"/>
        <v>0</v>
      </c>
      <c r="AC84" s="94">
        <f t="shared" ca="1" si="22"/>
        <v>0</v>
      </c>
      <c r="AD84">
        <f ca="1">AC84*E84*10000*VLOOKUP(A84,[1]kcal!$A$2:$C$49,3,FALSE)/1000000000000</f>
        <v>0</v>
      </c>
    </row>
    <row r="85" spans="1:30" x14ac:dyDescent="0.25">
      <c r="A85" s="171" t="str">
        <f t="shared" si="11"/>
        <v>Pyrolyseolie</v>
      </c>
      <c r="B85" s="171" t="str">
        <f t="shared" si="12"/>
        <v>Pyrolyseprodukter</v>
      </c>
      <c r="C85" s="171" t="str">
        <f>IFERROR(VLOOKUP(A85,'Kategorisering af kcal'!$J$2:$K$18,2,FALSE),"")</f>
        <v/>
      </c>
      <c r="D85" s="171">
        <f>IF(COUNTIFS('Resultater - Danmark'!$D$3:$D$504,'Produktion &amp; forbrug'!A85,'Resultater - Danmark'!$A$3:$A$504,"Til energi")+COUNTIFS('Resultater - Danmark'!$D$3:$D$504,'Produktion &amp; forbrug'!A85,'Resultater - Danmark'!$A$3:$A$504,"Biogasanlæg")&gt;0,1,0)</f>
        <v>1</v>
      </c>
      <c r="E85" s="171">
        <f t="shared" si="14"/>
        <v>0</v>
      </c>
      <c r="F85" s="171">
        <f t="shared" si="13"/>
        <v>2030</v>
      </c>
      <c r="G85" s="94">
        <f ca="1">SUMIFS('Resultat-Produktion &amp; forbrug'!G$4:G$291,'Resultat-Produktion &amp; forbrug'!$A$4:$A$291,'Produktion &amp; forbrug'!$A85,'Resultat-Produktion &amp; forbrug'!$E$4:$E$291,'Produktion &amp; forbrug'!$F85)</f>
        <v>0</v>
      </c>
      <c r="H85" s="94">
        <f>SUMIFS('Resultat-Produktion &amp; forbrug'!H$4:H$291,'Resultat-Produktion &amp; forbrug'!$A$4:$A$291,'Produktion &amp; forbrug'!$A85,'Resultat-Produktion &amp; forbrug'!$E$4:$E$291,'Produktion &amp; forbrug'!$F85)</f>
        <v>0</v>
      </c>
      <c r="I85" s="94">
        <f>SUMIFS('Resultat-Produktion &amp; forbrug'!I$4:I$291,'Resultat-Produktion &amp; forbrug'!$A$4:$A$291,'Produktion &amp; forbrug'!$A85,'Resultat-Produktion &amp; forbrug'!$E$4:$E$291,'Produktion &amp; forbrug'!$F85)</f>
        <v>0</v>
      </c>
      <c r="J85" s="94">
        <f>SUMIFS('Resultat-Produktion &amp; forbrug'!J$4:J$291,'Resultat-Produktion &amp; forbrug'!$A$4:$A$291,'Produktion &amp; forbrug'!$A85,'Resultat-Produktion &amp; forbrug'!$E$4:$E$291,'Produktion &amp; forbrug'!$F85)</f>
        <v>0</v>
      </c>
      <c r="K85" s="94">
        <f>SUMIFS('Resultat-Produktion &amp; forbrug'!K$4:K$291,'Resultat-Produktion &amp; forbrug'!$A$4:$A$291,'Produktion &amp; forbrug'!$A85,'Resultat-Produktion &amp; forbrug'!$E$4:$E$291,'Produktion &amp; forbrug'!$F85)</f>
        <v>0</v>
      </c>
      <c r="L85" s="94">
        <f>SUMIFS('Resultat-Produktion &amp; forbrug'!L$4:L$291,'Resultat-Produktion &amp; forbrug'!$A$4:$A$291,'Produktion &amp; forbrug'!$A85,'Resultat-Produktion &amp; forbrug'!$E$4:$E$291,'Produktion &amp; forbrug'!$F85)</f>
        <v>0</v>
      </c>
      <c r="M85" s="94">
        <f ca="1">SUMIFS('Resultat-Produktion &amp; forbrug'!M$4:M$291,'Resultat-Produktion &amp; forbrug'!$A$4:$A$291,'Produktion &amp; forbrug'!$A85,'Resultat-Produktion &amp; forbrug'!$E$4:$E$291,'Produktion &amp; forbrug'!$F85)</f>
        <v>0</v>
      </c>
      <c r="N85" s="94">
        <f>SUMIFS('Resultat-Produktion &amp; forbrug'!N$4:N$291,'Resultat-Produktion &amp; forbrug'!$A$4:$A$291,'Produktion &amp; forbrug'!$A85,'Resultat-Produktion &amp; forbrug'!$E$4:$E$291,'Produktion &amp; forbrug'!$F85)</f>
        <v>0</v>
      </c>
      <c r="O85" s="179">
        <f t="shared" ca="1" si="17"/>
        <v>0</v>
      </c>
      <c r="P85" s="94">
        <f t="shared" ca="1" si="18"/>
        <v>0</v>
      </c>
      <c r="Q85" s="180">
        <f t="shared" ca="1" si="19"/>
        <v>0</v>
      </c>
      <c r="R85">
        <f ca="1">IFERROR(VLOOKUP(A85,[1]Energiindhold!$A$2:$C$11,3,FALSE),IFERROR(VLOOKUP(A85,[1]Biogasudbytte!$A$2:$B$18,2,FALSE)*[1]Energiindhold!$C$10,0))*P85</f>
        <v>0</v>
      </c>
      <c r="S85">
        <f ca="1">IF(A85&lt;&gt;"Biogas",IFERROR(VLOOKUP(A85,[1]Biogasudbytte!$A$2:$B$18,2,FALSE)*[1]Energiindhold!$C$10,0)*K85*IFERROR(VLOOKUP(A85,Biogasanlæg!$F$3:$G$8,2,FALSE),1)+IFERROR(VLOOKUP(A85,[1]Energiindhold!$A$2:$C$11,3,FALSE),0)*M85+IF(F85&lt;&gt;År1,R85,0),0)</f>
        <v>0</v>
      </c>
      <c r="T85">
        <f>IFERROR(VLOOKUP(A85,[1]Biogasudbytte!$A$2:$B$18,2,FALSE)*[1]Energiindhold!$C$10,0)*K85*IFERROR(VLOOKUP(A85,Biogasanlæg!$F$3:$G$8,2,FALSE),1)</f>
        <v>0</v>
      </c>
      <c r="U85" s="170">
        <f t="shared" ca="1" si="20"/>
        <v>0</v>
      </c>
      <c r="V85" s="169">
        <f ca="1">P85*IFERROR(VLOOKUP(A85,[1]Tørstofindhold!A$2:B$24,2,FALSE),0)</f>
        <v>0</v>
      </c>
      <c r="W85">
        <f ca="1">IF(F85=År1,Q85,SUM(P85,Q85))*IFERROR(VLOOKUP(A85,[1]Tørstofindhold!A$2:B$24,2,FALSE),0)</f>
        <v>0</v>
      </c>
      <c r="X85">
        <f>K85*IFERROR(VLOOKUP(A85,[1]Tørstofindhold!A$2:B$24,2,FALSE),0)</f>
        <v>0</v>
      </c>
      <c r="Y85" s="170">
        <f t="shared" ca="1" si="21"/>
        <v>0</v>
      </c>
      <c r="Z85">
        <f t="shared" ca="1" si="15"/>
        <v>0</v>
      </c>
      <c r="AA85">
        <f t="shared" ca="1" si="16"/>
        <v>0</v>
      </c>
      <c r="AC85" s="94">
        <f t="shared" ca="1" si="22"/>
        <v>0</v>
      </c>
      <c r="AD85">
        <f ca="1">AC85*E85*10000*VLOOKUP(A85,[1]kcal!$A$2:$C$49,3,FALSE)/1000000000000</f>
        <v>0</v>
      </c>
    </row>
    <row r="86" spans="1:30" x14ac:dyDescent="0.25">
      <c r="A86" s="171" t="str">
        <f t="shared" si="11"/>
        <v>Råmælk</v>
      </c>
      <c r="B86" s="171" t="str">
        <f t="shared" si="12"/>
        <v/>
      </c>
      <c r="C86" s="171" t="str">
        <f>IFERROR(VLOOKUP(A86,'Kategorisering af kcal'!$J$2:$K$18,2,FALSE),"")</f>
        <v/>
      </c>
      <c r="D86" s="171">
        <f>IF(COUNTIFS('Resultater - Danmark'!$D$3:$D$504,'Produktion &amp; forbrug'!A86,'Resultater - Danmark'!$A$3:$A$504,"Til energi")+COUNTIFS('Resultater - Danmark'!$D$3:$D$504,'Produktion &amp; forbrug'!A86,'Resultater - Danmark'!$A$3:$A$504,"Biogasanlæg")&gt;0,1,0)</f>
        <v>0</v>
      </c>
      <c r="E86" s="171">
        <f t="shared" si="14"/>
        <v>0</v>
      </c>
      <c r="F86" s="171">
        <f t="shared" si="13"/>
        <v>2030</v>
      </c>
      <c r="G86" s="94">
        <f ca="1">SUMIFS('Resultat-Produktion &amp; forbrug'!G$4:G$291,'Resultat-Produktion &amp; forbrug'!$A$4:$A$291,'Produktion &amp; forbrug'!$A86,'Resultat-Produktion &amp; forbrug'!$E$4:$E$291,'Produktion &amp; forbrug'!$F86)</f>
        <v>5216592.6341052745</v>
      </c>
      <c r="H86" s="94">
        <f>SUMIFS('Resultat-Produktion &amp; forbrug'!H$4:H$291,'Resultat-Produktion &amp; forbrug'!$A$4:$A$291,'Produktion &amp; forbrug'!$A86,'Resultat-Produktion &amp; forbrug'!$E$4:$E$291,'Produktion &amp; forbrug'!$F86)</f>
        <v>0</v>
      </c>
      <c r="I86" s="94">
        <f>SUMIFS('Resultat-Produktion &amp; forbrug'!I$4:I$291,'Resultat-Produktion &amp; forbrug'!$A$4:$A$291,'Produktion &amp; forbrug'!$A86,'Resultat-Produktion &amp; forbrug'!$E$4:$E$291,'Produktion &amp; forbrug'!$F86)</f>
        <v>0</v>
      </c>
      <c r="J86" s="94">
        <f>SUMIFS('Resultat-Produktion &amp; forbrug'!J$4:J$291,'Resultat-Produktion &amp; forbrug'!$A$4:$A$291,'Produktion &amp; forbrug'!$A86,'Resultat-Produktion &amp; forbrug'!$E$4:$E$291,'Produktion &amp; forbrug'!$F86)</f>
        <v>0</v>
      </c>
      <c r="K86" s="94">
        <f>SUMIFS('Resultat-Produktion &amp; forbrug'!K$4:K$291,'Resultat-Produktion &amp; forbrug'!$A$4:$A$291,'Produktion &amp; forbrug'!$A86,'Resultat-Produktion &amp; forbrug'!$E$4:$E$291,'Produktion &amp; forbrug'!$F86)</f>
        <v>0</v>
      </c>
      <c r="L86" s="94">
        <f>SUMIFS('Resultat-Produktion &amp; forbrug'!L$4:L$291,'Resultat-Produktion &amp; forbrug'!$A$4:$A$291,'Produktion &amp; forbrug'!$A86,'Resultat-Produktion &amp; forbrug'!$E$4:$E$291,'Produktion &amp; forbrug'!$F86)</f>
        <v>0</v>
      </c>
      <c r="M86" s="94">
        <f>SUMIFS('Resultat-Produktion &amp; forbrug'!M$4:M$291,'Resultat-Produktion &amp; forbrug'!$A$4:$A$291,'Produktion &amp; forbrug'!$A86,'Resultat-Produktion &amp; forbrug'!$E$4:$E$291,'Produktion &amp; forbrug'!$F86)</f>
        <v>0</v>
      </c>
      <c r="N86" s="94">
        <f>SUMIFS('Resultat-Produktion &amp; forbrug'!N$4:N$291,'Resultat-Produktion &amp; forbrug'!$A$4:$A$291,'Produktion &amp; forbrug'!$A86,'Resultat-Produktion &amp; forbrug'!$E$4:$E$291,'Produktion &amp; forbrug'!$F86)</f>
        <v>0</v>
      </c>
      <c r="O86" s="179">
        <f t="shared" ca="1" si="17"/>
        <v>5216592.6341052745</v>
      </c>
      <c r="P86" s="94">
        <f t="shared" si="18"/>
        <v>0</v>
      </c>
      <c r="Q86" s="180">
        <f t="shared" si="19"/>
        <v>0</v>
      </c>
      <c r="R86">
        <f>IFERROR(VLOOKUP(A86,[1]Energiindhold!$A$2:$C$11,3,FALSE),IFERROR(VLOOKUP(A86,[1]Biogasudbytte!$A$2:$B$18,2,FALSE)*[1]Energiindhold!$C$10,0))*P86</f>
        <v>0</v>
      </c>
      <c r="S86">
        <f>IF(A86&lt;&gt;"Biogas",IFERROR(VLOOKUP(A86,[1]Biogasudbytte!$A$2:$B$18,2,FALSE)*[1]Energiindhold!$C$10,0)*K86*IFERROR(VLOOKUP(A86,Biogasanlæg!$F$3:$G$8,2,FALSE),1)+IFERROR(VLOOKUP(A86,[1]Energiindhold!$A$2:$C$11,3,FALSE),0)*M86+IF(F86&lt;&gt;År1,R86,0),0)</f>
        <v>0</v>
      </c>
      <c r="T86">
        <f>IFERROR(VLOOKUP(A86,[1]Biogasudbytte!$A$2:$B$18,2,FALSE)*[1]Energiindhold!$C$10,0)*K86*IFERROR(VLOOKUP(A86,Biogasanlæg!$F$3:$G$8,2,FALSE),1)</f>
        <v>0</v>
      </c>
      <c r="U86" s="170">
        <f t="shared" si="20"/>
        <v>0</v>
      </c>
      <c r="V86" s="169">
        <f>P86*IFERROR(VLOOKUP(A86,[1]Tørstofindhold!A$2:B$24,2,FALSE),0)</f>
        <v>0</v>
      </c>
      <c r="W86">
        <f>IF(F86=År1,Q86,SUM(P86,Q86))*IFERROR(VLOOKUP(A86,[1]Tørstofindhold!A$2:B$24,2,FALSE),0)</f>
        <v>0</v>
      </c>
      <c r="X86">
        <f>K86*IFERROR(VLOOKUP(A86,[1]Tørstofindhold!A$2:B$24,2,FALSE),0)</f>
        <v>0</v>
      </c>
      <c r="Y86" s="170">
        <f t="shared" si="21"/>
        <v>0</v>
      </c>
      <c r="Z86">
        <f t="shared" ca="1" si="15"/>
        <v>0</v>
      </c>
      <c r="AA86">
        <f t="shared" ca="1" si="16"/>
        <v>1</v>
      </c>
      <c r="AC86" s="94">
        <f t="shared" ca="1" si="22"/>
        <v>5216592.6341052745</v>
      </c>
      <c r="AD86">
        <f ca="1">AC86*E86*10000*VLOOKUP(A86,[1]kcal!$A$2:$C$49,3,FALSE)/1000000000000</f>
        <v>0</v>
      </c>
    </row>
    <row r="87" spans="1:30" x14ac:dyDescent="0.25">
      <c r="A87" s="171" t="str">
        <f t="shared" si="11"/>
        <v>Raps</v>
      </c>
      <c r="B87" s="171" t="str">
        <f t="shared" si="12"/>
        <v/>
      </c>
      <c r="C87" s="171" t="str">
        <f>IFERROR(VLOOKUP(A87,'Kategorisering af kcal'!$J$2:$K$18,2,FALSE),"")</f>
        <v/>
      </c>
      <c r="D87" s="171">
        <f>IF(COUNTIFS('Resultater - Danmark'!$D$3:$D$504,'Produktion &amp; forbrug'!A87,'Resultater - Danmark'!$A$3:$A$504,"Til energi")+COUNTIFS('Resultater - Danmark'!$D$3:$D$504,'Produktion &amp; forbrug'!A87,'Resultater - Danmark'!$A$3:$A$504,"Biogasanlæg")&gt;0,1,0)</f>
        <v>0</v>
      </c>
      <c r="E87" s="171">
        <f t="shared" si="14"/>
        <v>0</v>
      </c>
      <c r="F87" s="171">
        <f t="shared" si="13"/>
        <v>2030</v>
      </c>
      <c r="G87" s="94">
        <f>SUMIFS('Resultat-Produktion &amp; forbrug'!G$4:G$291,'Resultat-Produktion &amp; forbrug'!$A$4:$A$291,'Produktion &amp; forbrug'!$A87,'Resultat-Produktion &amp; forbrug'!$E$4:$E$291,'Produktion &amp; forbrug'!$F87)</f>
        <v>680552.83010057197</v>
      </c>
      <c r="H87" s="94">
        <f>SUMIFS('Resultat-Produktion &amp; forbrug'!H$4:H$291,'Resultat-Produktion &amp; forbrug'!$A$4:$A$291,'Produktion &amp; forbrug'!$A87,'Resultat-Produktion &amp; forbrug'!$E$4:$E$291,'Produktion &amp; forbrug'!$F87)</f>
        <v>0</v>
      </c>
      <c r="I87" s="94">
        <f>SUMIFS('Resultat-Produktion &amp; forbrug'!I$4:I$291,'Resultat-Produktion &amp; forbrug'!$A$4:$A$291,'Produktion &amp; forbrug'!$A87,'Resultat-Produktion &amp; forbrug'!$E$4:$E$291,'Produktion &amp; forbrug'!$F87)</f>
        <v>0</v>
      </c>
      <c r="J87" s="94">
        <f>SUMIFS('Resultat-Produktion &amp; forbrug'!J$4:J$291,'Resultat-Produktion &amp; forbrug'!$A$4:$A$291,'Produktion &amp; forbrug'!$A87,'Resultat-Produktion &amp; forbrug'!$E$4:$E$291,'Produktion &amp; forbrug'!$F87)</f>
        <v>0</v>
      </c>
      <c r="K87" s="94">
        <f>SUMIFS('Resultat-Produktion &amp; forbrug'!K$4:K$291,'Resultat-Produktion &amp; forbrug'!$A$4:$A$291,'Produktion &amp; forbrug'!$A87,'Resultat-Produktion &amp; forbrug'!$E$4:$E$291,'Produktion &amp; forbrug'!$F87)</f>
        <v>0</v>
      </c>
      <c r="L87" s="94">
        <f>SUMIFS('Resultat-Produktion &amp; forbrug'!L$4:L$291,'Resultat-Produktion &amp; forbrug'!$A$4:$A$291,'Produktion &amp; forbrug'!$A87,'Resultat-Produktion &amp; forbrug'!$E$4:$E$291,'Produktion &amp; forbrug'!$F87)</f>
        <v>0</v>
      </c>
      <c r="M87" s="94">
        <f>SUMIFS('Resultat-Produktion &amp; forbrug'!M$4:M$291,'Resultat-Produktion &amp; forbrug'!$A$4:$A$291,'Produktion &amp; forbrug'!$A87,'Resultat-Produktion &amp; forbrug'!$E$4:$E$291,'Produktion &amp; forbrug'!$F87)</f>
        <v>0</v>
      </c>
      <c r="N87" s="94">
        <f>SUMIFS('Resultat-Produktion &amp; forbrug'!N$4:N$291,'Resultat-Produktion &amp; forbrug'!$A$4:$A$291,'Produktion &amp; forbrug'!$A87,'Resultat-Produktion &amp; forbrug'!$E$4:$E$291,'Produktion &amp; forbrug'!$F87)</f>
        <v>680552.83010057197</v>
      </c>
      <c r="O87" s="179">
        <f t="shared" si="17"/>
        <v>0</v>
      </c>
      <c r="P87" s="94">
        <f t="shared" si="18"/>
        <v>0</v>
      </c>
      <c r="Q87" s="180">
        <f t="shared" si="19"/>
        <v>0</v>
      </c>
      <c r="R87">
        <f>IFERROR(VLOOKUP(A87,[1]Energiindhold!$A$2:$C$11,3,FALSE),IFERROR(VLOOKUP(A87,[1]Biogasudbytte!$A$2:$B$18,2,FALSE)*[1]Energiindhold!$C$10,0))*P87</f>
        <v>0</v>
      </c>
      <c r="S87">
        <f>IF(A87&lt;&gt;"Biogas",IFERROR(VLOOKUP(A87,[1]Biogasudbytte!$A$2:$B$18,2,FALSE)*[1]Energiindhold!$C$10,0)*K87*IFERROR(VLOOKUP(A87,Biogasanlæg!$F$3:$G$8,2,FALSE),1)+IFERROR(VLOOKUP(A87,[1]Energiindhold!$A$2:$C$11,3,FALSE),0)*M87+IF(F87&lt;&gt;År1,R87,0),0)</f>
        <v>0</v>
      </c>
      <c r="T87">
        <f>IFERROR(VLOOKUP(A87,[1]Biogasudbytte!$A$2:$B$18,2,FALSE)*[1]Energiindhold!$C$10,0)*K87*IFERROR(VLOOKUP(A87,Biogasanlæg!$F$3:$G$8,2,FALSE),1)</f>
        <v>0</v>
      </c>
      <c r="U87" s="170">
        <f t="shared" si="20"/>
        <v>0</v>
      </c>
      <c r="V87" s="169">
        <f>P87*IFERROR(VLOOKUP(A87,[1]Tørstofindhold!A$2:B$24,2,FALSE),0)</f>
        <v>0</v>
      </c>
      <c r="W87">
        <f>IF(F87=År1,Q87,SUM(P87,Q87))*IFERROR(VLOOKUP(A87,[1]Tørstofindhold!A$2:B$24,2,FALSE),0)</f>
        <v>0</v>
      </c>
      <c r="X87">
        <f>K87*IFERROR(VLOOKUP(A87,[1]Tørstofindhold!A$2:B$24,2,FALSE),0)</f>
        <v>0</v>
      </c>
      <c r="Y87" s="170">
        <f t="shared" si="21"/>
        <v>0</v>
      </c>
      <c r="Z87">
        <f t="shared" si="15"/>
        <v>0</v>
      </c>
      <c r="AA87">
        <f t="shared" si="16"/>
        <v>0</v>
      </c>
      <c r="AC87" s="94">
        <f t="shared" si="22"/>
        <v>680552.83010057197</v>
      </c>
      <c r="AD87">
        <f>AC87*E87*10000*VLOOKUP(A87,[1]kcal!$A$2:$C$49,3,FALSE)/1000000000000</f>
        <v>0</v>
      </c>
    </row>
    <row r="88" spans="1:30" x14ac:dyDescent="0.25">
      <c r="A88" s="171" t="str">
        <f t="shared" si="11"/>
        <v>Rapskage</v>
      </c>
      <c r="B88" s="171" t="str">
        <f t="shared" si="12"/>
        <v/>
      </c>
      <c r="C88" s="171" t="str">
        <f>IFERROR(VLOOKUP(A88,'Kategorisering af kcal'!$J$2:$K$18,2,FALSE),"")</f>
        <v/>
      </c>
      <c r="D88" s="171">
        <f>IF(COUNTIFS('Resultater - Danmark'!$D$3:$D$504,'Produktion &amp; forbrug'!A88,'Resultater - Danmark'!$A$3:$A$504,"Til energi")+COUNTIFS('Resultater - Danmark'!$D$3:$D$504,'Produktion &amp; forbrug'!A88,'Resultater - Danmark'!$A$3:$A$504,"Biogasanlæg")&gt;0,1,0)</f>
        <v>0</v>
      </c>
      <c r="E88" s="171">
        <f t="shared" si="14"/>
        <v>0</v>
      </c>
      <c r="F88" s="171">
        <f t="shared" si="13"/>
        <v>2030</v>
      </c>
      <c r="G88" s="94">
        <f>SUMIFS('Resultat-Produktion &amp; forbrug'!G$4:G$291,'Resultat-Produktion &amp; forbrug'!$A$4:$A$291,'Produktion &amp; forbrug'!$A88,'Resultat-Produktion &amp; forbrug'!$E$4:$E$291,'Produktion &amp; forbrug'!$F88)</f>
        <v>340276.41505028598</v>
      </c>
      <c r="H88" s="94">
        <f ca="1">SUMIFS('Resultat-Produktion &amp; forbrug'!H$4:H$291,'Resultat-Produktion &amp; forbrug'!$A$4:$A$291,'Produktion &amp; forbrug'!$A88,'Resultat-Produktion &amp; forbrug'!$E$4:$E$291,'Produktion &amp; forbrug'!$F88)</f>
        <v>234335.4554353836</v>
      </c>
      <c r="I88" s="94">
        <f>SUMIFS('Resultat-Produktion &amp; forbrug'!I$4:I$291,'Resultat-Produktion &amp; forbrug'!$A$4:$A$291,'Produktion &amp; forbrug'!$A88,'Resultat-Produktion &amp; forbrug'!$E$4:$E$291,'Produktion &amp; forbrug'!$F88)</f>
        <v>0</v>
      </c>
      <c r="J88" s="94">
        <f>SUMIFS('Resultat-Produktion &amp; forbrug'!J$4:J$291,'Resultat-Produktion &amp; forbrug'!$A$4:$A$291,'Produktion &amp; forbrug'!$A88,'Resultat-Produktion &amp; forbrug'!$E$4:$E$291,'Produktion &amp; forbrug'!$F88)</f>
        <v>0</v>
      </c>
      <c r="K88" s="94">
        <f>SUMIFS('Resultat-Produktion &amp; forbrug'!K$4:K$291,'Resultat-Produktion &amp; forbrug'!$A$4:$A$291,'Produktion &amp; forbrug'!$A88,'Resultat-Produktion &amp; forbrug'!$E$4:$E$291,'Produktion &amp; forbrug'!$F88)</f>
        <v>0</v>
      </c>
      <c r="L88" s="94">
        <f>SUMIFS('Resultat-Produktion &amp; forbrug'!L$4:L$291,'Resultat-Produktion &amp; forbrug'!$A$4:$A$291,'Produktion &amp; forbrug'!$A88,'Resultat-Produktion &amp; forbrug'!$E$4:$E$291,'Produktion &amp; forbrug'!$F88)</f>
        <v>0</v>
      </c>
      <c r="M88" s="94">
        <f>SUMIFS('Resultat-Produktion &amp; forbrug'!M$4:M$291,'Resultat-Produktion &amp; forbrug'!$A$4:$A$291,'Produktion &amp; forbrug'!$A88,'Resultat-Produktion &amp; forbrug'!$E$4:$E$291,'Produktion &amp; forbrug'!$F88)</f>
        <v>0</v>
      </c>
      <c r="N88" s="94">
        <f>SUMIFS('Resultat-Produktion &amp; forbrug'!N$4:N$291,'Resultat-Produktion &amp; forbrug'!$A$4:$A$291,'Produktion &amp; forbrug'!$A88,'Resultat-Produktion &amp; forbrug'!$E$4:$E$291,'Produktion &amp; forbrug'!$F88)</f>
        <v>0</v>
      </c>
      <c r="O88" s="179">
        <f t="shared" ca="1" si="17"/>
        <v>105940.95961490239</v>
      </c>
      <c r="P88" s="94">
        <f t="shared" si="18"/>
        <v>0</v>
      </c>
      <c r="Q88" s="180">
        <f t="shared" si="19"/>
        <v>0</v>
      </c>
      <c r="R88">
        <f>IFERROR(VLOOKUP(A88,[1]Energiindhold!$A$2:$C$11,3,FALSE),IFERROR(VLOOKUP(A88,[1]Biogasudbytte!$A$2:$B$18,2,FALSE)*[1]Energiindhold!$C$10,0))*P88</f>
        <v>0</v>
      </c>
      <c r="S88">
        <f>IF(A88&lt;&gt;"Biogas",IFERROR(VLOOKUP(A88,[1]Biogasudbytte!$A$2:$B$18,2,FALSE)*[1]Energiindhold!$C$10,0)*K88*IFERROR(VLOOKUP(A88,Biogasanlæg!$F$3:$G$8,2,FALSE),1)+IFERROR(VLOOKUP(A88,[1]Energiindhold!$A$2:$C$11,3,FALSE),0)*M88+IF(F88&lt;&gt;År1,R88,0),0)</f>
        <v>0</v>
      </c>
      <c r="T88">
        <f>IFERROR(VLOOKUP(A88,[1]Biogasudbytte!$A$2:$B$18,2,FALSE)*[1]Energiindhold!$C$10,0)*K88*IFERROR(VLOOKUP(A88,Biogasanlæg!$F$3:$G$8,2,FALSE),1)</f>
        <v>0</v>
      </c>
      <c r="U88" s="170">
        <f t="shared" si="20"/>
        <v>0</v>
      </c>
      <c r="V88" s="169">
        <f>P88*IFERROR(VLOOKUP(A88,[1]Tørstofindhold!A$2:B$24,2,FALSE),0)</f>
        <v>0</v>
      </c>
      <c r="W88">
        <f>IF(F88=År1,Q88,SUM(P88,Q88))*IFERROR(VLOOKUP(A88,[1]Tørstofindhold!A$2:B$24,2,FALSE),0)</f>
        <v>0</v>
      </c>
      <c r="X88">
        <f>K88*IFERROR(VLOOKUP(A88,[1]Tørstofindhold!A$2:B$24,2,FALSE),0)</f>
        <v>0</v>
      </c>
      <c r="Y88" s="170">
        <f t="shared" si="21"/>
        <v>0</v>
      </c>
      <c r="Z88">
        <f t="shared" ca="1" si="15"/>
        <v>0</v>
      </c>
      <c r="AA88">
        <f t="shared" ca="1" si="16"/>
        <v>1</v>
      </c>
      <c r="AC88" s="94">
        <f t="shared" ca="1" si="22"/>
        <v>105940.95961490239</v>
      </c>
      <c r="AD88">
        <f ca="1">AC88*E88*10000*VLOOKUP(A88,[1]kcal!$A$2:$C$49,3,FALSE)/1000000000000</f>
        <v>0</v>
      </c>
    </row>
    <row r="89" spans="1:30" x14ac:dyDescent="0.25">
      <c r="A89" s="171" t="str">
        <f t="shared" si="11"/>
        <v>Rapsolie</v>
      </c>
      <c r="B89" s="171" t="str">
        <f t="shared" si="12"/>
        <v>Rapsolie</v>
      </c>
      <c r="C89" s="171" t="str">
        <f>IFERROR(VLOOKUP(A89,'Kategorisering af kcal'!$J$2:$K$18,2,FALSE),"")</f>
        <v>Olieafgrøder</v>
      </c>
      <c r="D89" s="171">
        <f>IF(COUNTIFS('Resultater - Danmark'!$D$3:$D$504,'Produktion &amp; forbrug'!A89,'Resultater - Danmark'!$A$3:$A$504,"Til energi")+COUNTIFS('Resultater - Danmark'!$D$3:$D$504,'Produktion &amp; forbrug'!A89,'Resultater - Danmark'!$A$3:$A$504,"Biogasanlæg")&gt;0,1,0)</f>
        <v>1</v>
      </c>
      <c r="E89" s="171">
        <f t="shared" si="14"/>
        <v>1</v>
      </c>
      <c r="F89" s="171">
        <f t="shared" si="13"/>
        <v>2030</v>
      </c>
      <c r="G89" s="94">
        <f>SUMIFS('Resultat-Produktion &amp; forbrug'!G$4:G$291,'Resultat-Produktion &amp; forbrug'!$A$4:$A$291,'Produktion &amp; forbrug'!$A89,'Resultat-Produktion &amp; forbrug'!$E$4:$E$291,'Produktion &amp; forbrug'!$F89)</f>
        <v>217776.90563218304</v>
      </c>
      <c r="H89" s="94">
        <f>SUMIFS('Resultat-Produktion &amp; forbrug'!H$4:H$291,'Resultat-Produktion &amp; forbrug'!$A$4:$A$291,'Produktion &amp; forbrug'!$A89,'Resultat-Produktion &amp; forbrug'!$E$4:$E$291,'Produktion &amp; forbrug'!$F89)</f>
        <v>0</v>
      </c>
      <c r="I89" s="94">
        <f>SUMIFS('Resultat-Produktion &amp; forbrug'!I$4:I$291,'Resultat-Produktion &amp; forbrug'!$A$4:$A$291,'Produktion &amp; forbrug'!$A89,'Resultat-Produktion &amp; forbrug'!$E$4:$E$291,'Produktion &amp; forbrug'!$F89)</f>
        <v>0</v>
      </c>
      <c r="J89" s="94">
        <f>SUMIFS('Resultat-Produktion &amp; forbrug'!J$4:J$291,'Resultat-Produktion &amp; forbrug'!$A$4:$A$291,'Produktion &amp; forbrug'!$A89,'Resultat-Produktion &amp; forbrug'!$E$4:$E$291,'Produktion &amp; forbrug'!$F89)</f>
        <v>0</v>
      </c>
      <c r="K89" s="94">
        <f>SUMIFS('Resultat-Produktion &amp; forbrug'!K$4:K$291,'Resultat-Produktion &amp; forbrug'!$A$4:$A$291,'Produktion &amp; forbrug'!$A89,'Resultat-Produktion &amp; forbrug'!$E$4:$E$291,'Produktion &amp; forbrug'!$F89)</f>
        <v>0</v>
      </c>
      <c r="L89" s="94">
        <f>SUMIFS('Resultat-Produktion &amp; forbrug'!L$4:L$291,'Resultat-Produktion &amp; forbrug'!$A$4:$A$291,'Produktion &amp; forbrug'!$A89,'Resultat-Produktion &amp; forbrug'!$E$4:$E$291,'Produktion &amp; forbrug'!$F89)</f>
        <v>0</v>
      </c>
      <c r="M89" s="94">
        <f>SUMIFS('Resultat-Produktion &amp; forbrug'!M$4:M$291,'Resultat-Produktion &amp; forbrug'!$A$4:$A$291,'Produktion &amp; forbrug'!$A89,'Resultat-Produktion &amp; forbrug'!$E$4:$E$291,'Produktion &amp; forbrug'!$F89)</f>
        <v>217776.90563218304</v>
      </c>
      <c r="N89" s="94">
        <f>SUMIFS('Resultat-Produktion &amp; forbrug'!N$4:N$291,'Resultat-Produktion &amp; forbrug'!$A$4:$A$291,'Produktion &amp; forbrug'!$A89,'Resultat-Produktion &amp; forbrug'!$E$4:$E$291,'Produktion &amp; forbrug'!$F89)</f>
        <v>0</v>
      </c>
      <c r="O89" s="179">
        <f t="shared" si="17"/>
        <v>0</v>
      </c>
      <c r="P89" s="94">
        <f t="shared" si="18"/>
        <v>0</v>
      </c>
      <c r="Q89" s="180">
        <f t="shared" si="19"/>
        <v>217776.90563218304</v>
      </c>
      <c r="R89">
        <f>IFERROR(VLOOKUP(A89,[1]Energiindhold!$A$2:$C$11,3,FALSE),IFERROR(VLOOKUP(A89,[1]Biogasudbytte!$A$2:$B$18,2,FALSE)*[1]Energiindhold!$C$10,0))*P89</f>
        <v>0</v>
      </c>
      <c r="S89">
        <f>IF(A89&lt;&gt;"Biogas",IFERROR(VLOOKUP(A89,[1]Biogasudbytte!$A$2:$B$18,2,FALSE)*[1]Energiindhold!$C$10,0)*K89*IFERROR(VLOOKUP(A89,Biogasanlæg!$F$3:$G$8,2,FALSE),1)+IFERROR(VLOOKUP(A89,[1]Energiindhold!$A$2:$C$11,3,FALSE),0)*M89+IF(F89&lt;&gt;År1,R89,0),0)</f>
        <v>7.6221916971264054</v>
      </c>
      <c r="T89">
        <f>IFERROR(VLOOKUP(A89,[1]Biogasudbytte!$A$2:$B$18,2,FALSE)*[1]Energiindhold!$C$10,0)*K89*IFERROR(VLOOKUP(A89,Biogasanlæg!$F$3:$G$8,2,FALSE),1)</f>
        <v>0</v>
      </c>
      <c r="U89" s="170">
        <f t="shared" si="20"/>
        <v>7.6221916971264054</v>
      </c>
      <c r="V89" s="169">
        <f>P89*IFERROR(VLOOKUP(A89,[1]Tørstofindhold!A$2:B$24,2,FALSE),0)</f>
        <v>0</v>
      </c>
      <c r="W89">
        <f>IF(F89=År1,Q89,SUM(P89,Q89))*IFERROR(VLOOKUP(A89,[1]Tørstofindhold!A$2:B$24,2,FALSE),0)</f>
        <v>0</v>
      </c>
      <c r="X89">
        <f>K89*IFERROR(VLOOKUP(A89,[1]Tørstofindhold!A$2:B$24,2,FALSE),0)</f>
        <v>0</v>
      </c>
      <c r="Y89" s="170">
        <f t="shared" si="21"/>
        <v>0</v>
      </c>
      <c r="Z89">
        <f t="shared" si="15"/>
        <v>0</v>
      </c>
      <c r="AA89">
        <f t="shared" si="16"/>
        <v>0</v>
      </c>
      <c r="AC89" s="94">
        <f t="shared" si="22"/>
        <v>217776.90563218304</v>
      </c>
      <c r="AD89">
        <f>AC89*E89*10000*VLOOKUP(A89,[1]kcal!$A$2:$C$49,3,FALSE)/1000000000000</f>
        <v>1.9599921506896472</v>
      </c>
    </row>
    <row r="90" spans="1:30" x14ac:dyDescent="0.25">
      <c r="A90" s="171" t="str">
        <f t="shared" si="11"/>
        <v>Roer</v>
      </c>
      <c r="B90" s="171" t="str">
        <f t="shared" si="12"/>
        <v>Græs og urter</v>
      </c>
      <c r="C90" s="171" t="str">
        <f>IFERROR(VLOOKUP(A90,'Kategorisering af kcal'!$J$2:$K$18,2,FALSE),"")</f>
        <v>Roer</v>
      </c>
      <c r="D90" s="171">
        <f>IF(COUNTIFS('Resultater - Danmark'!$D$3:$D$504,'Produktion &amp; forbrug'!A90,'Resultater - Danmark'!$A$3:$A$504,"Til energi")+COUNTIFS('Resultater - Danmark'!$D$3:$D$504,'Produktion &amp; forbrug'!A90,'Resultater - Danmark'!$A$3:$A$504,"Biogasanlæg")&gt;0,1,0)</f>
        <v>1</v>
      </c>
      <c r="E90" s="171">
        <f t="shared" si="14"/>
        <v>1</v>
      </c>
      <c r="F90" s="171">
        <f t="shared" si="13"/>
        <v>2030</v>
      </c>
      <c r="G90" s="94">
        <f>SUMIFS('Resultat-Produktion &amp; forbrug'!G$4:G$291,'Resultat-Produktion &amp; forbrug'!$A$4:$A$291,'Produktion &amp; forbrug'!$A90,'Resultat-Produktion &amp; forbrug'!$E$4:$E$291,'Produktion &amp; forbrug'!$F90)</f>
        <v>2669481.3254956813</v>
      </c>
      <c r="H90" s="94">
        <f ca="1">SUMIFS('Resultat-Produktion &amp; forbrug'!H$4:H$291,'Resultat-Produktion &amp; forbrug'!$A$4:$A$291,'Produktion &amp; forbrug'!$A90,'Resultat-Produktion &amp; forbrug'!$E$4:$E$291,'Produktion &amp; forbrug'!$F90)</f>
        <v>920673.60943023092</v>
      </c>
      <c r="I90" s="94">
        <f>SUMIFS('Resultat-Produktion &amp; forbrug'!I$4:I$291,'Resultat-Produktion &amp; forbrug'!$A$4:$A$291,'Produktion &amp; forbrug'!$A90,'Resultat-Produktion &amp; forbrug'!$E$4:$E$291,'Produktion &amp; forbrug'!$F90)</f>
        <v>0</v>
      </c>
      <c r="J90" s="94">
        <f>SUMIFS('Resultat-Produktion &amp; forbrug'!J$4:J$291,'Resultat-Produktion &amp; forbrug'!$A$4:$A$291,'Produktion &amp; forbrug'!$A90,'Resultat-Produktion &amp; forbrug'!$E$4:$E$291,'Produktion &amp; forbrug'!$F90)</f>
        <v>0</v>
      </c>
      <c r="K90" s="94">
        <f>SUMIFS('Resultat-Produktion &amp; forbrug'!K$4:K$291,'Resultat-Produktion &amp; forbrug'!$A$4:$A$291,'Produktion &amp; forbrug'!$A90,'Resultat-Produktion &amp; forbrug'!$E$4:$E$291,'Produktion &amp; forbrug'!$F90)</f>
        <v>0</v>
      </c>
      <c r="L90" s="94">
        <f>SUMIFS('Resultat-Produktion &amp; forbrug'!L$4:L$291,'Resultat-Produktion &amp; forbrug'!$A$4:$A$291,'Produktion &amp; forbrug'!$A90,'Resultat-Produktion &amp; forbrug'!$E$4:$E$291,'Produktion &amp; forbrug'!$F90)</f>
        <v>0</v>
      </c>
      <c r="M90" s="94">
        <f>SUMIFS('Resultat-Produktion &amp; forbrug'!M$4:M$291,'Resultat-Produktion &amp; forbrug'!$A$4:$A$291,'Produktion &amp; forbrug'!$A90,'Resultat-Produktion &amp; forbrug'!$E$4:$E$291,'Produktion &amp; forbrug'!$F90)</f>
        <v>0</v>
      </c>
      <c r="N90" s="94">
        <f>SUMIFS('Resultat-Produktion &amp; forbrug'!N$4:N$291,'Resultat-Produktion &amp; forbrug'!$A$4:$A$291,'Produktion &amp; forbrug'!$A90,'Resultat-Produktion &amp; forbrug'!$E$4:$E$291,'Produktion &amp; forbrug'!$F90)</f>
        <v>0</v>
      </c>
      <c r="O90" s="179">
        <f t="shared" ca="1" si="17"/>
        <v>1748807.7160654503</v>
      </c>
      <c r="P90" s="94">
        <f t="shared" ca="1" si="18"/>
        <v>1748807.7160654503</v>
      </c>
      <c r="Q90" s="180">
        <f t="shared" si="19"/>
        <v>0</v>
      </c>
      <c r="R90">
        <f ca="1">IFERROR(VLOOKUP(A90,[1]Energiindhold!$A$2:$C$11,3,FALSE),IFERROR(VLOOKUP(A90,[1]Biogasudbytte!$A$2:$B$18,2,FALSE)*[1]Energiindhold!$C$10,0))*P90</f>
        <v>4.7463340937102751</v>
      </c>
      <c r="S90">
        <f ca="1">IF(A90&lt;&gt;"Biogas",IFERROR(VLOOKUP(A90,[1]Biogasudbytte!$A$2:$B$18,2,FALSE)*[1]Energiindhold!$C$10,0)*K90*IFERROR(VLOOKUP(A90,Biogasanlæg!$F$3:$G$8,2,FALSE),1)+IFERROR(VLOOKUP(A90,[1]Energiindhold!$A$2:$C$11,3,FALSE),0)*M90+IF(F90&lt;&gt;År1,R90,0),0)</f>
        <v>4.7463340937102751</v>
      </c>
      <c r="T90">
        <f>IFERROR(VLOOKUP(A90,[1]Biogasudbytte!$A$2:$B$18,2,FALSE)*[1]Energiindhold!$C$10,0)*K90*IFERROR(VLOOKUP(A90,Biogasanlæg!$F$3:$G$8,2,FALSE),1)</f>
        <v>0</v>
      </c>
      <c r="U90" s="170">
        <f t="shared" ca="1" si="20"/>
        <v>4.7463340937102751</v>
      </c>
      <c r="V90" s="169">
        <f ca="1">P90*IFERROR(VLOOKUP(A90,[1]Tørstofindhold!A$2:B$24,2,FALSE),0)</f>
        <v>349761.5432130901</v>
      </c>
      <c r="W90">
        <f ca="1">IF(F90=År1,Q90,SUM(P90,Q90))*IFERROR(VLOOKUP(A90,[1]Tørstofindhold!A$2:B$24,2,FALSE),0)</f>
        <v>349761.5432130901</v>
      </c>
      <c r="X90">
        <f>K90*IFERROR(VLOOKUP(A90,[1]Tørstofindhold!A$2:B$24,2,FALSE),0)</f>
        <v>0</v>
      </c>
      <c r="Y90" s="170">
        <f t="shared" ca="1" si="21"/>
        <v>349761.5432130901</v>
      </c>
      <c r="Z90">
        <f t="shared" ca="1" si="15"/>
        <v>0</v>
      </c>
      <c r="AA90">
        <f t="shared" ca="1" si="16"/>
        <v>1</v>
      </c>
      <c r="AC90" s="94">
        <f t="shared" ca="1" si="22"/>
        <v>1748807.7160654503</v>
      </c>
      <c r="AD90">
        <f ca="1">AC90*E90*10000*VLOOKUP(A90,[1]kcal!$A$2:$C$49,3,FALSE)/1000000000000</f>
        <v>0.52464231481963508</v>
      </c>
    </row>
    <row r="91" spans="1:30" x14ac:dyDescent="0.25">
      <c r="A91" s="171" t="str">
        <f t="shared" si="11"/>
        <v>Slagteriaffald til andet</v>
      </c>
      <c r="B91" s="171" t="str">
        <f t="shared" si="12"/>
        <v/>
      </c>
      <c r="C91" s="171" t="str">
        <f>IFERROR(VLOOKUP(A91,'Kategorisering af kcal'!$J$2:$K$18,2,FALSE),"")</f>
        <v/>
      </c>
      <c r="D91" s="171">
        <f>IF(COUNTIFS('Resultater - Danmark'!$D$3:$D$504,'Produktion &amp; forbrug'!A91,'Resultater - Danmark'!$A$3:$A$504,"Til energi")+COUNTIFS('Resultater - Danmark'!$D$3:$D$504,'Produktion &amp; forbrug'!A91,'Resultater - Danmark'!$A$3:$A$504,"Biogasanlæg")&gt;0,1,0)</f>
        <v>0</v>
      </c>
      <c r="E91" s="171">
        <f t="shared" si="14"/>
        <v>0</v>
      </c>
      <c r="F91" s="171">
        <f t="shared" si="13"/>
        <v>2030</v>
      </c>
      <c r="G91" s="94">
        <f ca="1">SUMIFS('Resultat-Produktion &amp; forbrug'!G$4:G$291,'Resultat-Produktion &amp; forbrug'!$A$4:$A$291,'Produktion &amp; forbrug'!$A91,'Resultat-Produktion &amp; forbrug'!$E$4:$E$291,'Produktion &amp; forbrug'!$F91)</f>
        <v>208732.58409629596</v>
      </c>
      <c r="H91" s="94">
        <f>SUMIFS('Resultat-Produktion &amp; forbrug'!H$4:H$291,'Resultat-Produktion &amp; forbrug'!$A$4:$A$291,'Produktion &amp; forbrug'!$A91,'Resultat-Produktion &amp; forbrug'!$E$4:$E$291,'Produktion &amp; forbrug'!$F91)</f>
        <v>0</v>
      </c>
      <c r="I91" s="94">
        <f>SUMIFS('Resultat-Produktion &amp; forbrug'!I$4:I$291,'Resultat-Produktion &amp; forbrug'!$A$4:$A$291,'Produktion &amp; forbrug'!$A91,'Resultat-Produktion &amp; forbrug'!$E$4:$E$291,'Produktion &amp; forbrug'!$F91)</f>
        <v>0</v>
      </c>
      <c r="J91" s="94">
        <f>SUMIFS('Resultat-Produktion &amp; forbrug'!J$4:J$291,'Resultat-Produktion &amp; forbrug'!$A$4:$A$291,'Produktion &amp; forbrug'!$A91,'Resultat-Produktion &amp; forbrug'!$E$4:$E$291,'Produktion &amp; forbrug'!$F91)</f>
        <v>0</v>
      </c>
      <c r="K91" s="94">
        <f>SUMIFS('Resultat-Produktion &amp; forbrug'!K$4:K$291,'Resultat-Produktion &amp; forbrug'!$A$4:$A$291,'Produktion &amp; forbrug'!$A91,'Resultat-Produktion &amp; forbrug'!$E$4:$E$291,'Produktion &amp; forbrug'!$F91)</f>
        <v>0</v>
      </c>
      <c r="L91" s="94">
        <f>SUMIFS('Resultat-Produktion &amp; forbrug'!L$4:L$291,'Resultat-Produktion &amp; forbrug'!$A$4:$A$291,'Produktion &amp; forbrug'!$A91,'Resultat-Produktion &amp; forbrug'!$E$4:$E$291,'Produktion &amp; forbrug'!$F91)</f>
        <v>0</v>
      </c>
      <c r="M91" s="94">
        <f>SUMIFS('Resultat-Produktion &amp; forbrug'!M$4:M$291,'Resultat-Produktion &amp; forbrug'!$A$4:$A$291,'Produktion &amp; forbrug'!$A91,'Resultat-Produktion &amp; forbrug'!$E$4:$E$291,'Produktion &amp; forbrug'!$F91)</f>
        <v>0</v>
      </c>
      <c r="N91" s="94">
        <f>SUMIFS('Resultat-Produktion &amp; forbrug'!N$4:N$291,'Resultat-Produktion &amp; forbrug'!$A$4:$A$291,'Produktion &amp; forbrug'!$A91,'Resultat-Produktion &amp; forbrug'!$E$4:$E$291,'Produktion &amp; forbrug'!$F91)</f>
        <v>0</v>
      </c>
      <c r="O91" s="179">
        <f t="shared" ca="1" si="17"/>
        <v>208732.58409629596</v>
      </c>
      <c r="P91" s="94">
        <f t="shared" si="18"/>
        <v>0</v>
      </c>
      <c r="Q91" s="180">
        <f t="shared" si="19"/>
        <v>0</v>
      </c>
      <c r="R91">
        <f>IFERROR(VLOOKUP(A91,[1]Energiindhold!$A$2:$C$11,3,FALSE),IFERROR(VLOOKUP(A91,[1]Biogasudbytte!$A$2:$B$18,2,FALSE)*[1]Energiindhold!$C$10,0))*P91</f>
        <v>0</v>
      </c>
      <c r="S91">
        <f>IF(A91&lt;&gt;"Biogas",IFERROR(VLOOKUP(A91,[1]Biogasudbytte!$A$2:$B$18,2,FALSE)*[1]Energiindhold!$C$10,0)*K91*IFERROR(VLOOKUP(A91,Biogasanlæg!$F$3:$G$8,2,FALSE),1)+IFERROR(VLOOKUP(A91,[1]Energiindhold!$A$2:$C$11,3,FALSE),0)*M91+IF(F91&lt;&gt;År1,R91,0),0)</f>
        <v>0</v>
      </c>
      <c r="T91">
        <f>IFERROR(VLOOKUP(A91,[1]Biogasudbytte!$A$2:$B$18,2,FALSE)*[1]Energiindhold!$C$10,0)*K91*IFERROR(VLOOKUP(A91,Biogasanlæg!$F$3:$G$8,2,FALSE),1)</f>
        <v>0</v>
      </c>
      <c r="U91" s="170">
        <f t="shared" si="20"/>
        <v>0</v>
      </c>
      <c r="V91" s="169">
        <f>P91*IFERROR(VLOOKUP(A91,[1]Tørstofindhold!A$2:B$24,2,FALSE),0)</f>
        <v>0</v>
      </c>
      <c r="W91">
        <f>IF(F91=År1,Q91,SUM(P91,Q91))*IFERROR(VLOOKUP(A91,[1]Tørstofindhold!A$2:B$24,2,FALSE),0)</f>
        <v>0</v>
      </c>
      <c r="X91">
        <f>K91*IFERROR(VLOOKUP(A91,[1]Tørstofindhold!A$2:B$24,2,FALSE),0)</f>
        <v>0</v>
      </c>
      <c r="Y91" s="170">
        <f t="shared" si="21"/>
        <v>0</v>
      </c>
      <c r="Z91">
        <f t="shared" ca="1" si="15"/>
        <v>0</v>
      </c>
      <c r="AA91">
        <f t="shared" ca="1" si="16"/>
        <v>1</v>
      </c>
      <c r="AC91" s="94">
        <f t="shared" ca="1" si="22"/>
        <v>208732.58409629596</v>
      </c>
      <c r="AD91">
        <f ca="1">AC91*E91*10000*VLOOKUP(A91,[1]kcal!$A$2:$C$49,3,FALSE)/1000000000000</f>
        <v>0</v>
      </c>
    </row>
    <row r="92" spans="1:30" x14ac:dyDescent="0.25">
      <c r="A92" s="171" t="str">
        <f t="shared" si="11"/>
        <v>Slagteriaffald til foder</v>
      </c>
      <c r="B92" s="171" t="str">
        <f t="shared" si="12"/>
        <v/>
      </c>
      <c r="C92" s="171" t="str">
        <f>IFERROR(VLOOKUP(A92,'Kategorisering af kcal'!$J$2:$K$18,2,FALSE),"")</f>
        <v/>
      </c>
      <c r="D92" s="171">
        <f>IF(COUNTIFS('Resultater - Danmark'!$D$3:$D$504,'Produktion &amp; forbrug'!A92,'Resultater - Danmark'!$A$3:$A$504,"Til energi")+COUNTIFS('Resultater - Danmark'!$D$3:$D$504,'Produktion &amp; forbrug'!A92,'Resultater - Danmark'!$A$3:$A$504,"Biogasanlæg")&gt;0,1,0)</f>
        <v>0</v>
      </c>
      <c r="E92" s="171">
        <f t="shared" si="14"/>
        <v>0</v>
      </c>
      <c r="F92" s="171">
        <f t="shared" si="13"/>
        <v>2030</v>
      </c>
      <c r="G92" s="94">
        <f ca="1">SUMIFS('Resultat-Produktion &amp; forbrug'!G$4:G$291,'Resultat-Produktion &amp; forbrug'!$A$4:$A$291,'Produktion &amp; forbrug'!$A92,'Resultat-Produktion &amp; forbrug'!$E$4:$E$291,'Produktion &amp; forbrug'!$F92)</f>
        <v>142991.03668927489</v>
      </c>
      <c r="H92" s="94">
        <f ca="1">SUMIFS('Resultat-Produktion &amp; forbrug'!H$4:H$291,'Resultat-Produktion &amp; forbrug'!$A$4:$A$291,'Produktion &amp; forbrug'!$A92,'Resultat-Produktion &amp; forbrug'!$E$4:$E$291,'Produktion &amp; forbrug'!$F92)</f>
        <v>43141.255393961845</v>
      </c>
      <c r="I92" s="94">
        <f>SUMIFS('Resultat-Produktion &amp; forbrug'!I$4:I$291,'Resultat-Produktion &amp; forbrug'!$A$4:$A$291,'Produktion &amp; forbrug'!$A92,'Resultat-Produktion &amp; forbrug'!$E$4:$E$291,'Produktion &amp; forbrug'!$F92)</f>
        <v>0</v>
      </c>
      <c r="J92" s="94">
        <f>SUMIFS('Resultat-Produktion &amp; forbrug'!J$4:J$291,'Resultat-Produktion &amp; forbrug'!$A$4:$A$291,'Produktion &amp; forbrug'!$A92,'Resultat-Produktion &amp; forbrug'!$E$4:$E$291,'Produktion &amp; forbrug'!$F92)</f>
        <v>0</v>
      </c>
      <c r="K92" s="94">
        <f>SUMIFS('Resultat-Produktion &amp; forbrug'!K$4:K$291,'Resultat-Produktion &amp; forbrug'!$A$4:$A$291,'Produktion &amp; forbrug'!$A92,'Resultat-Produktion &amp; forbrug'!$E$4:$E$291,'Produktion &amp; forbrug'!$F92)</f>
        <v>0</v>
      </c>
      <c r="L92" s="94">
        <f>SUMIFS('Resultat-Produktion &amp; forbrug'!L$4:L$291,'Resultat-Produktion &amp; forbrug'!$A$4:$A$291,'Produktion &amp; forbrug'!$A92,'Resultat-Produktion &amp; forbrug'!$E$4:$E$291,'Produktion &amp; forbrug'!$F92)</f>
        <v>0</v>
      </c>
      <c r="M92" s="94">
        <f>SUMIFS('Resultat-Produktion &amp; forbrug'!M$4:M$291,'Resultat-Produktion &amp; forbrug'!$A$4:$A$291,'Produktion &amp; forbrug'!$A92,'Resultat-Produktion &amp; forbrug'!$E$4:$E$291,'Produktion &amp; forbrug'!$F92)</f>
        <v>0</v>
      </c>
      <c r="N92" s="94">
        <f>SUMIFS('Resultat-Produktion &amp; forbrug'!N$4:N$291,'Resultat-Produktion &amp; forbrug'!$A$4:$A$291,'Produktion &amp; forbrug'!$A92,'Resultat-Produktion &amp; forbrug'!$E$4:$E$291,'Produktion &amp; forbrug'!$F92)</f>
        <v>0</v>
      </c>
      <c r="O92" s="179">
        <f t="shared" ca="1" si="17"/>
        <v>99849.781295313034</v>
      </c>
      <c r="P92" s="94">
        <f t="shared" si="18"/>
        <v>0</v>
      </c>
      <c r="Q92" s="180">
        <f t="shared" si="19"/>
        <v>0</v>
      </c>
      <c r="R92">
        <f>IFERROR(VLOOKUP(A92,[1]Energiindhold!$A$2:$C$11,3,FALSE),IFERROR(VLOOKUP(A92,[1]Biogasudbytte!$A$2:$B$18,2,FALSE)*[1]Energiindhold!$C$10,0))*P92</f>
        <v>0</v>
      </c>
      <c r="S92">
        <f>IF(A92&lt;&gt;"Biogas",IFERROR(VLOOKUP(A92,[1]Biogasudbytte!$A$2:$B$18,2,FALSE)*[1]Energiindhold!$C$10,0)*K92*IFERROR(VLOOKUP(A92,Biogasanlæg!$F$3:$G$8,2,FALSE),1)+IFERROR(VLOOKUP(A92,[1]Energiindhold!$A$2:$C$11,3,FALSE),0)*M92+IF(F92&lt;&gt;År1,R92,0),0)</f>
        <v>0</v>
      </c>
      <c r="T92">
        <f>IFERROR(VLOOKUP(A92,[1]Biogasudbytte!$A$2:$B$18,2,FALSE)*[1]Energiindhold!$C$10,0)*K92*IFERROR(VLOOKUP(A92,Biogasanlæg!$F$3:$G$8,2,FALSE),1)</f>
        <v>0</v>
      </c>
      <c r="U92" s="170">
        <f t="shared" si="20"/>
        <v>0</v>
      </c>
      <c r="V92" s="169">
        <f>P92*IFERROR(VLOOKUP(A92,[1]Tørstofindhold!A$2:B$24,2,FALSE),0)</f>
        <v>0</v>
      </c>
      <c r="W92">
        <f>IF(F92=År1,Q92,SUM(P92,Q92))*IFERROR(VLOOKUP(A92,[1]Tørstofindhold!A$2:B$24,2,FALSE),0)</f>
        <v>0</v>
      </c>
      <c r="X92">
        <f>K92*IFERROR(VLOOKUP(A92,[1]Tørstofindhold!A$2:B$24,2,FALSE),0)</f>
        <v>0</v>
      </c>
      <c r="Y92" s="170">
        <f t="shared" si="21"/>
        <v>0</v>
      </c>
      <c r="Z92">
        <f t="shared" ca="1" si="15"/>
        <v>0</v>
      </c>
      <c r="AA92">
        <f t="shared" ca="1" si="16"/>
        <v>1</v>
      </c>
      <c r="AC92" s="94">
        <f t="shared" ca="1" si="22"/>
        <v>99849.781295313034</v>
      </c>
      <c r="AD92">
        <f ca="1">AC92*E92*10000*VLOOKUP(A92,[1]kcal!$A$2:$C$49,3,FALSE)/1000000000000</f>
        <v>0</v>
      </c>
    </row>
    <row r="93" spans="1:30" x14ac:dyDescent="0.25">
      <c r="A93" s="171" t="str">
        <f t="shared" si="11"/>
        <v>Spildevandsslam</v>
      </c>
      <c r="B93" s="171" t="str">
        <f t="shared" si="12"/>
        <v>Bionedbrydeligt affald</v>
      </c>
      <c r="C93" s="171" t="str">
        <f>IFERROR(VLOOKUP(A93,'Kategorisering af kcal'!$J$2:$K$18,2,FALSE),"")</f>
        <v/>
      </c>
      <c r="D93" s="171">
        <f>IF(COUNTIFS('Resultater - Danmark'!$D$3:$D$504,'Produktion &amp; forbrug'!A93,'Resultater - Danmark'!$A$3:$A$504,"Til energi")+COUNTIFS('Resultater - Danmark'!$D$3:$D$504,'Produktion &amp; forbrug'!A93,'Resultater - Danmark'!$A$3:$A$504,"Biogasanlæg")&gt;0,1,0)</f>
        <v>1</v>
      </c>
      <c r="E93" s="171">
        <f t="shared" si="14"/>
        <v>0</v>
      </c>
      <c r="F93" s="171">
        <f t="shared" si="13"/>
        <v>2030</v>
      </c>
      <c r="G93" s="94">
        <f ca="1">SUMIFS('Resultat-Produktion &amp; forbrug'!G$4:G$291,'Resultat-Produktion &amp; forbrug'!$A$4:$A$291,'Produktion &amp; forbrug'!$A93,'Resultat-Produktion &amp; forbrug'!$E$4:$E$291,'Produktion &amp; forbrug'!$F93)</f>
        <v>7317965.0882689338</v>
      </c>
      <c r="H93" s="94">
        <f>SUMIFS('Resultat-Produktion &amp; forbrug'!H$4:H$291,'Resultat-Produktion &amp; forbrug'!$A$4:$A$291,'Produktion &amp; forbrug'!$A93,'Resultat-Produktion &amp; forbrug'!$E$4:$E$291,'Produktion &amp; forbrug'!$F93)</f>
        <v>0</v>
      </c>
      <c r="I93" s="94">
        <f>SUMIFS('Resultat-Produktion &amp; forbrug'!I$4:I$291,'Resultat-Produktion &amp; forbrug'!$A$4:$A$291,'Produktion &amp; forbrug'!$A93,'Resultat-Produktion &amp; forbrug'!$E$4:$E$291,'Produktion &amp; forbrug'!$F93)</f>
        <v>0</v>
      </c>
      <c r="J93" s="94">
        <f>SUMIFS('Resultat-Produktion &amp; forbrug'!J$4:J$291,'Resultat-Produktion &amp; forbrug'!$A$4:$A$291,'Produktion &amp; forbrug'!$A93,'Resultat-Produktion &amp; forbrug'!$E$4:$E$291,'Produktion &amp; forbrug'!$F93)</f>
        <v>0</v>
      </c>
      <c r="K93" s="94">
        <f ca="1">SUMIFS('Resultat-Produktion &amp; forbrug'!K$4:K$291,'Resultat-Produktion &amp; forbrug'!$A$4:$A$291,'Produktion &amp; forbrug'!$A93,'Resultat-Produktion &amp; forbrug'!$E$4:$E$291,'Produktion &amp; forbrug'!$F93)</f>
        <v>5488473.8162016999</v>
      </c>
      <c r="L93" s="94">
        <f>SUMIFS('Resultat-Produktion &amp; forbrug'!L$4:L$291,'Resultat-Produktion &amp; forbrug'!$A$4:$A$291,'Produktion &amp; forbrug'!$A93,'Resultat-Produktion &amp; forbrug'!$E$4:$E$291,'Produktion &amp; forbrug'!$F93)</f>
        <v>0</v>
      </c>
      <c r="M93" s="94">
        <f>SUMIFS('Resultat-Produktion &amp; forbrug'!M$4:M$291,'Resultat-Produktion &amp; forbrug'!$A$4:$A$291,'Produktion &amp; forbrug'!$A93,'Resultat-Produktion &amp; forbrug'!$E$4:$E$291,'Produktion &amp; forbrug'!$F93)</f>
        <v>0</v>
      </c>
      <c r="N93" s="94">
        <f>SUMIFS('Resultat-Produktion &amp; forbrug'!N$4:N$291,'Resultat-Produktion &amp; forbrug'!$A$4:$A$291,'Produktion &amp; forbrug'!$A93,'Resultat-Produktion &amp; forbrug'!$E$4:$E$291,'Produktion &amp; forbrug'!$F93)</f>
        <v>0</v>
      </c>
      <c r="O93" s="179">
        <f t="shared" ca="1" si="17"/>
        <v>1829491.2720672339</v>
      </c>
      <c r="P93" s="94">
        <f t="shared" ca="1" si="18"/>
        <v>1829491.2720672339</v>
      </c>
      <c r="Q93" s="180">
        <f t="shared" ca="1" si="19"/>
        <v>5488473.8162016999</v>
      </c>
      <c r="R93">
        <f ca="1">IFERROR(VLOOKUP(A93,[1]Energiindhold!$A$2:$C$11,3,FALSE),IFERROR(VLOOKUP(A93,[1]Biogasudbytte!$A$2:$B$18,2,FALSE)*[1]Energiindhold!$C$10,0))*P93</f>
        <v>0.91293443967427057</v>
      </c>
      <c r="S93">
        <f ca="1">IF(A93&lt;&gt;"Biogas",IFERROR(VLOOKUP(A93,[1]Biogasudbytte!$A$2:$B$18,2,FALSE)*[1]Energiindhold!$C$10,0)*K93*IFERROR(VLOOKUP(A93,Biogasanlæg!$F$3:$G$8,2,FALSE),1)+IFERROR(VLOOKUP(A93,[1]Energiindhold!$A$2:$C$11,3,FALSE),0)*M93+IF(F93&lt;&gt;År1,R93,0),0)</f>
        <v>3.6517377586970814</v>
      </c>
      <c r="T93">
        <f ca="1">IFERROR(VLOOKUP(A93,[1]Biogasudbytte!$A$2:$B$18,2,FALSE)*[1]Energiindhold!$C$10,0)*K93*IFERROR(VLOOKUP(A93,Biogasanlæg!$F$3:$G$8,2,FALSE),1)</f>
        <v>2.7388033190228107</v>
      </c>
      <c r="U93" s="170">
        <f t="shared" ca="1" si="20"/>
        <v>0.91293443967427068</v>
      </c>
      <c r="V93" s="169">
        <f ca="1">P93*IFERROR(VLOOKUP(A93,[1]Tørstofindhold!A$2:B$24,2,FALSE),0)</f>
        <v>109769.47632403403</v>
      </c>
      <c r="W93">
        <f ca="1">IF(F93=År1,Q93,SUM(P93,Q93))*IFERROR(VLOOKUP(A93,[1]Tørstofindhold!A$2:B$24,2,FALSE),0)</f>
        <v>439077.90529613598</v>
      </c>
      <c r="X93">
        <f ca="1">K93*IFERROR(VLOOKUP(A93,[1]Tørstofindhold!A$2:B$24,2,FALSE),0)</f>
        <v>329308.428972102</v>
      </c>
      <c r="Y93" s="170">
        <f t="shared" ca="1" si="21"/>
        <v>109769.47632403398</v>
      </c>
      <c r="Z93">
        <f t="shared" ca="1" si="15"/>
        <v>0</v>
      </c>
      <c r="AA93">
        <f t="shared" ca="1" si="16"/>
        <v>1</v>
      </c>
      <c r="AC93" s="94">
        <f t="shared" ca="1" si="22"/>
        <v>1829491.2720672339</v>
      </c>
      <c r="AD93">
        <f ca="1">AC93*E93*10000*VLOOKUP(A93,[1]kcal!$A$2:$C$49,3,FALSE)/1000000000000</f>
        <v>0</v>
      </c>
    </row>
    <row r="94" spans="1:30" x14ac:dyDescent="0.25">
      <c r="A94" s="171" t="str">
        <f t="shared" si="11"/>
        <v>Svinegylle</v>
      </c>
      <c r="B94" s="171" t="str">
        <f t="shared" si="12"/>
        <v>Husdyrgødning</v>
      </c>
      <c r="C94" s="171" t="str">
        <f>IFERROR(VLOOKUP(A94,'Kategorisering af kcal'!$J$2:$K$18,2,FALSE),"")</f>
        <v/>
      </c>
      <c r="D94" s="171">
        <f>IF(COUNTIFS('Resultater - Danmark'!$D$3:$D$504,'Produktion &amp; forbrug'!A94,'Resultater - Danmark'!$A$3:$A$504,"Til energi")+COUNTIFS('Resultater - Danmark'!$D$3:$D$504,'Produktion &amp; forbrug'!A94,'Resultater - Danmark'!$A$3:$A$504,"Biogasanlæg")&gt;0,1,0)</f>
        <v>1</v>
      </c>
      <c r="E94" s="171">
        <f t="shared" si="14"/>
        <v>0</v>
      </c>
      <c r="F94" s="171">
        <f t="shared" si="13"/>
        <v>2030</v>
      </c>
      <c r="G94" s="94">
        <f>SUMIFS('Resultat-Produktion &amp; forbrug'!G$4:G$291,'Resultat-Produktion &amp; forbrug'!$A$4:$A$291,'Produktion &amp; forbrug'!$A94,'Resultat-Produktion &amp; forbrug'!$E$4:$E$291,'Produktion &amp; forbrug'!$F94)</f>
        <v>16646712.165042747</v>
      </c>
      <c r="H94" s="94">
        <f>SUMIFS('Resultat-Produktion &amp; forbrug'!H$4:H$291,'Resultat-Produktion &amp; forbrug'!$A$4:$A$291,'Produktion &amp; forbrug'!$A94,'Resultat-Produktion &amp; forbrug'!$E$4:$E$291,'Produktion &amp; forbrug'!$F94)</f>
        <v>0</v>
      </c>
      <c r="I94" s="94">
        <f>SUMIFS('Resultat-Produktion &amp; forbrug'!I$4:I$291,'Resultat-Produktion &amp; forbrug'!$A$4:$A$291,'Produktion &amp; forbrug'!$A94,'Resultat-Produktion &amp; forbrug'!$E$4:$E$291,'Produktion &amp; forbrug'!$F94)</f>
        <v>0</v>
      </c>
      <c r="J94" s="94">
        <f>SUMIFS('Resultat-Produktion &amp; forbrug'!J$4:J$291,'Resultat-Produktion &amp; forbrug'!$A$4:$A$291,'Produktion &amp; forbrug'!$A94,'Resultat-Produktion &amp; forbrug'!$E$4:$E$291,'Produktion &amp; forbrug'!$F94)</f>
        <v>0</v>
      </c>
      <c r="K94" s="94">
        <f>SUMIFS('Resultat-Produktion &amp; forbrug'!K$4:K$291,'Resultat-Produktion &amp; forbrug'!$A$4:$A$291,'Produktion &amp; forbrug'!$A94,'Resultat-Produktion &amp; forbrug'!$E$4:$E$291,'Produktion &amp; forbrug'!$F94)</f>
        <v>12485034.123782061</v>
      </c>
      <c r="L94" s="94">
        <f>SUMIFS('Resultat-Produktion &amp; forbrug'!L$4:L$291,'Resultat-Produktion &amp; forbrug'!$A$4:$A$291,'Produktion &amp; forbrug'!$A94,'Resultat-Produktion &amp; forbrug'!$E$4:$E$291,'Produktion &amp; forbrug'!$F94)</f>
        <v>4161678.0412606872</v>
      </c>
      <c r="M94" s="94">
        <f>SUMIFS('Resultat-Produktion &amp; forbrug'!M$4:M$291,'Resultat-Produktion &amp; forbrug'!$A$4:$A$291,'Produktion &amp; forbrug'!$A94,'Resultat-Produktion &amp; forbrug'!$E$4:$E$291,'Produktion &amp; forbrug'!$F94)</f>
        <v>0</v>
      </c>
      <c r="N94" s="94">
        <f>SUMIFS('Resultat-Produktion &amp; forbrug'!N$4:N$291,'Resultat-Produktion &amp; forbrug'!$A$4:$A$291,'Produktion &amp; forbrug'!$A94,'Resultat-Produktion &amp; forbrug'!$E$4:$E$291,'Produktion &amp; forbrug'!$F94)</f>
        <v>0</v>
      </c>
      <c r="O94" s="179">
        <f t="shared" si="17"/>
        <v>0</v>
      </c>
      <c r="P94" s="94">
        <f t="shared" si="18"/>
        <v>0</v>
      </c>
      <c r="Q94" s="180">
        <f t="shared" si="19"/>
        <v>12485034.123782061</v>
      </c>
      <c r="R94">
        <f>IFERROR(VLOOKUP(A94,[1]Energiindhold!$A$2:$C$11,3,FALSE),IFERROR(VLOOKUP(A94,[1]Biogasudbytte!$A$2:$B$18,2,FALSE)*[1]Energiindhold!$C$10,0))*P94</f>
        <v>0</v>
      </c>
      <c r="S94">
        <f>IF(A94&lt;&gt;"Biogas",IFERROR(VLOOKUP(A94,[1]Biogasudbytte!$A$2:$B$18,2,FALSE)*[1]Energiindhold!$C$10,0)*K94*IFERROR(VLOOKUP(A94,Biogasanlæg!$F$3:$G$8,2,FALSE),1)+IFERROR(VLOOKUP(A94,[1]Energiindhold!$A$2:$C$11,3,FALSE),0)*M94+IF(F94&lt;&gt;År1,R94,0),0)</f>
        <v>5.3785527005253124</v>
      </c>
      <c r="T94">
        <f>IFERROR(VLOOKUP(A94,[1]Biogasudbytte!$A$2:$B$18,2,FALSE)*[1]Energiindhold!$C$10,0)*K94*IFERROR(VLOOKUP(A94,Biogasanlæg!$F$3:$G$8,2,FALSE),1)</f>
        <v>5.3785527005253124</v>
      </c>
      <c r="U94" s="170">
        <f t="shared" si="20"/>
        <v>0</v>
      </c>
      <c r="V94" s="169">
        <f>P94*IFERROR(VLOOKUP(A94,[1]Tørstofindhold!A$2:B$24,2,FALSE),0)</f>
        <v>0</v>
      </c>
      <c r="W94">
        <f>IF(F94=År1,Q94,SUM(P94,Q94))*IFERROR(VLOOKUP(A94,[1]Tørstofindhold!A$2:B$24,2,FALSE),0)</f>
        <v>624251.70618910308</v>
      </c>
      <c r="X94">
        <f>K94*IFERROR(VLOOKUP(A94,[1]Tørstofindhold!A$2:B$24,2,FALSE),0)</f>
        <v>624251.70618910308</v>
      </c>
      <c r="Y94" s="170">
        <f t="shared" si="21"/>
        <v>0</v>
      </c>
      <c r="Z94">
        <f t="shared" si="15"/>
        <v>0</v>
      </c>
      <c r="AA94">
        <f t="shared" si="16"/>
        <v>0</v>
      </c>
      <c r="AC94" s="94">
        <f t="shared" si="22"/>
        <v>0</v>
      </c>
      <c r="AD94">
        <f>AC94*E94*10000*VLOOKUP(A94,[1]kcal!$A$2:$C$49,3,FALSE)/1000000000000</f>
        <v>0</v>
      </c>
    </row>
    <row r="95" spans="1:30" x14ac:dyDescent="0.25">
      <c r="A95" s="171" t="str">
        <f t="shared" si="11"/>
        <v>Svinekød</v>
      </c>
      <c r="B95" s="171" t="str">
        <f t="shared" si="12"/>
        <v/>
      </c>
      <c r="C95" s="171" t="str">
        <f>IFERROR(VLOOKUP(A95,'Kategorisering af kcal'!$J$2:$K$18,2,FALSE),"")</f>
        <v>Kød</v>
      </c>
      <c r="D95" s="171">
        <f>IF(COUNTIFS('Resultater - Danmark'!$D$3:$D$504,'Produktion &amp; forbrug'!A95,'Resultater - Danmark'!$A$3:$A$504,"Til energi")+COUNTIFS('Resultater - Danmark'!$D$3:$D$504,'Produktion &amp; forbrug'!A95,'Resultater - Danmark'!$A$3:$A$504,"Biogasanlæg")&gt;0,1,0)</f>
        <v>0</v>
      </c>
      <c r="E95" s="171">
        <f t="shared" si="14"/>
        <v>1</v>
      </c>
      <c r="F95" s="171">
        <f t="shared" si="13"/>
        <v>2030</v>
      </c>
      <c r="G95" s="94">
        <f>SUMIFS('Resultat-Produktion &amp; forbrug'!G$4:G$291,'Resultat-Produktion &amp; forbrug'!$A$4:$A$291,'Produktion &amp; forbrug'!$A95,'Resultat-Produktion &amp; forbrug'!$E$4:$E$291,'Produktion &amp; forbrug'!$F95)</f>
        <v>1521700.8329200619</v>
      </c>
      <c r="H95" s="94">
        <f>SUMIFS('Resultat-Produktion &amp; forbrug'!H$4:H$291,'Resultat-Produktion &amp; forbrug'!$A$4:$A$291,'Produktion &amp; forbrug'!$A95,'Resultat-Produktion &amp; forbrug'!$E$4:$E$291,'Produktion &amp; forbrug'!$F95)</f>
        <v>0</v>
      </c>
      <c r="I95" s="94">
        <f>SUMIFS('Resultat-Produktion &amp; forbrug'!I$4:I$291,'Resultat-Produktion &amp; forbrug'!$A$4:$A$291,'Produktion &amp; forbrug'!$A95,'Resultat-Produktion &amp; forbrug'!$E$4:$E$291,'Produktion &amp; forbrug'!$F95)</f>
        <v>0</v>
      </c>
      <c r="J95" s="94">
        <f>SUMIFS('Resultat-Produktion &amp; forbrug'!J$4:J$291,'Resultat-Produktion &amp; forbrug'!$A$4:$A$291,'Produktion &amp; forbrug'!$A95,'Resultat-Produktion &amp; forbrug'!$E$4:$E$291,'Produktion &amp; forbrug'!$F95)</f>
        <v>227401.98389822827</v>
      </c>
      <c r="K95" s="94">
        <f>SUMIFS('Resultat-Produktion &amp; forbrug'!K$4:K$291,'Resultat-Produktion &amp; forbrug'!$A$4:$A$291,'Produktion &amp; forbrug'!$A95,'Resultat-Produktion &amp; forbrug'!$E$4:$E$291,'Produktion &amp; forbrug'!$F95)</f>
        <v>0</v>
      </c>
      <c r="L95" s="94">
        <f>SUMIFS('Resultat-Produktion &amp; forbrug'!L$4:L$291,'Resultat-Produktion &amp; forbrug'!$A$4:$A$291,'Produktion &amp; forbrug'!$A95,'Resultat-Produktion &amp; forbrug'!$E$4:$E$291,'Produktion &amp; forbrug'!$F95)</f>
        <v>0</v>
      </c>
      <c r="M95" s="94">
        <f>SUMIFS('Resultat-Produktion &amp; forbrug'!M$4:M$291,'Resultat-Produktion &amp; forbrug'!$A$4:$A$291,'Produktion &amp; forbrug'!$A95,'Resultat-Produktion &amp; forbrug'!$E$4:$E$291,'Produktion &amp; forbrug'!$F95)</f>
        <v>0</v>
      </c>
      <c r="N95" s="94">
        <f>SUMIFS('Resultat-Produktion &amp; forbrug'!N$4:N$291,'Resultat-Produktion &amp; forbrug'!$A$4:$A$291,'Produktion &amp; forbrug'!$A95,'Resultat-Produktion &amp; forbrug'!$E$4:$E$291,'Produktion &amp; forbrug'!$F95)</f>
        <v>0</v>
      </c>
      <c r="O95" s="179">
        <f t="shared" si="17"/>
        <v>1294298.8490218336</v>
      </c>
      <c r="P95" s="94">
        <f t="shared" si="18"/>
        <v>0</v>
      </c>
      <c r="Q95" s="180">
        <f t="shared" si="19"/>
        <v>0</v>
      </c>
      <c r="R95">
        <f>IFERROR(VLOOKUP(A95,[1]Energiindhold!$A$2:$C$11,3,FALSE),IFERROR(VLOOKUP(A95,[1]Biogasudbytte!$A$2:$B$18,2,FALSE)*[1]Energiindhold!$C$10,0))*P95</f>
        <v>0</v>
      </c>
      <c r="S95">
        <f>IF(A95&lt;&gt;"Biogas",IFERROR(VLOOKUP(A95,[1]Biogasudbytte!$A$2:$B$18,2,FALSE)*[1]Energiindhold!$C$10,0)*K95*IFERROR(VLOOKUP(A95,Biogasanlæg!$F$3:$G$8,2,FALSE),1)+IFERROR(VLOOKUP(A95,[1]Energiindhold!$A$2:$C$11,3,FALSE),0)*M95+IF(F95&lt;&gt;År1,R95,0),0)</f>
        <v>0</v>
      </c>
      <c r="T95">
        <f>IFERROR(VLOOKUP(A95,[1]Biogasudbytte!$A$2:$B$18,2,FALSE)*[1]Energiindhold!$C$10,0)*K95*IFERROR(VLOOKUP(A95,Biogasanlæg!$F$3:$G$8,2,FALSE),1)</f>
        <v>0</v>
      </c>
      <c r="U95" s="170">
        <f t="shared" si="20"/>
        <v>0</v>
      </c>
      <c r="V95" s="169">
        <f>P95*IFERROR(VLOOKUP(A95,[1]Tørstofindhold!A$2:B$24,2,FALSE),0)</f>
        <v>0</v>
      </c>
      <c r="W95">
        <f>IF(F95=År1,Q95,SUM(P95,Q95))*IFERROR(VLOOKUP(A95,[1]Tørstofindhold!A$2:B$24,2,FALSE),0)</f>
        <v>0</v>
      </c>
      <c r="X95">
        <f>K95*IFERROR(VLOOKUP(A95,[1]Tørstofindhold!A$2:B$24,2,FALSE),0)</f>
        <v>0</v>
      </c>
      <c r="Y95" s="170">
        <f t="shared" si="21"/>
        <v>0</v>
      </c>
      <c r="Z95">
        <f t="shared" si="15"/>
        <v>0</v>
      </c>
      <c r="AA95">
        <f t="shared" si="16"/>
        <v>1</v>
      </c>
      <c r="AC95" s="94">
        <f t="shared" si="22"/>
        <v>1521700.8329200619</v>
      </c>
      <c r="AD95">
        <f>AC95*E95*10000*VLOOKUP(A95,[1]kcal!$A$2:$C$49,3,FALSE)/1000000000000</f>
        <v>2.9673166241941207</v>
      </c>
    </row>
    <row r="96" spans="1:30" x14ac:dyDescent="0.25">
      <c r="A96" s="171" t="str">
        <f t="shared" si="11"/>
        <v>Tang</v>
      </c>
      <c r="B96" s="171" t="str">
        <f t="shared" si="12"/>
        <v>Havbiomasse</v>
      </c>
      <c r="C96" s="171" t="str">
        <f>IFERROR(VLOOKUP(A96,'Kategorisering af kcal'!$J$2:$K$18,2,FALSE),"")</f>
        <v>Fisk mm</v>
      </c>
      <c r="D96" s="171">
        <f>IF(COUNTIFS('Resultater - Danmark'!$D$3:$D$504,'Produktion &amp; forbrug'!A96,'Resultater - Danmark'!$A$3:$A$504,"Til energi")+COUNTIFS('Resultater - Danmark'!$D$3:$D$504,'Produktion &amp; forbrug'!A96,'Resultater - Danmark'!$A$3:$A$504,"Biogasanlæg")&gt;0,1,0)</f>
        <v>1</v>
      </c>
      <c r="E96" s="171">
        <f t="shared" si="14"/>
        <v>1</v>
      </c>
      <c r="F96" s="171">
        <f t="shared" si="13"/>
        <v>2030</v>
      </c>
      <c r="G96" s="94">
        <f>SUMIFS('Resultat-Produktion &amp; forbrug'!G$4:G$291,'Resultat-Produktion &amp; forbrug'!$A$4:$A$291,'Produktion &amp; forbrug'!$A96,'Resultat-Produktion &amp; forbrug'!$E$4:$E$291,'Produktion &amp; forbrug'!$F96)</f>
        <v>382.5</v>
      </c>
      <c r="H96" s="94">
        <f ca="1">SUMIFS('Resultat-Produktion &amp; forbrug'!H$4:H$291,'Resultat-Produktion &amp; forbrug'!$A$4:$A$291,'Produktion &amp; forbrug'!$A96,'Resultat-Produktion &amp; forbrug'!$E$4:$E$291,'Produktion &amp; forbrug'!$F96)</f>
        <v>0</v>
      </c>
      <c r="I96" s="94">
        <f>SUMIFS('Resultat-Produktion &amp; forbrug'!I$4:I$291,'Resultat-Produktion &amp; forbrug'!$A$4:$A$291,'Produktion &amp; forbrug'!$A96,'Resultat-Produktion &amp; forbrug'!$E$4:$E$291,'Produktion &amp; forbrug'!$F96)</f>
        <v>0</v>
      </c>
      <c r="J96" s="94">
        <f>SUMIFS('Resultat-Produktion &amp; forbrug'!J$4:J$291,'Resultat-Produktion &amp; forbrug'!$A$4:$A$291,'Produktion &amp; forbrug'!$A96,'Resultat-Produktion &amp; forbrug'!$E$4:$E$291,'Produktion &amp; forbrug'!$F96)</f>
        <v>0</v>
      </c>
      <c r="K96" s="94">
        <f>SUMIFS('Resultat-Produktion &amp; forbrug'!K$4:K$291,'Resultat-Produktion &amp; forbrug'!$A$4:$A$291,'Produktion &amp; forbrug'!$A96,'Resultat-Produktion &amp; forbrug'!$E$4:$E$291,'Produktion &amp; forbrug'!$F96)</f>
        <v>0</v>
      </c>
      <c r="L96" s="94">
        <f>SUMIFS('Resultat-Produktion &amp; forbrug'!L$4:L$291,'Resultat-Produktion &amp; forbrug'!$A$4:$A$291,'Produktion &amp; forbrug'!$A96,'Resultat-Produktion &amp; forbrug'!$E$4:$E$291,'Produktion &amp; forbrug'!$F96)</f>
        <v>0</v>
      </c>
      <c r="M96" s="94">
        <f>SUMIFS('Resultat-Produktion &amp; forbrug'!M$4:M$291,'Resultat-Produktion &amp; forbrug'!$A$4:$A$291,'Produktion &amp; forbrug'!$A96,'Resultat-Produktion &amp; forbrug'!$E$4:$E$291,'Produktion &amp; forbrug'!$F96)</f>
        <v>0</v>
      </c>
      <c r="N96" s="94">
        <f>SUMIFS('Resultat-Produktion &amp; forbrug'!N$4:N$291,'Resultat-Produktion &amp; forbrug'!$A$4:$A$291,'Produktion &amp; forbrug'!$A96,'Resultat-Produktion &amp; forbrug'!$E$4:$E$291,'Produktion &amp; forbrug'!$F96)</f>
        <v>0</v>
      </c>
      <c r="O96" s="179">
        <f t="shared" ca="1" si="17"/>
        <v>382.5</v>
      </c>
      <c r="P96" s="94">
        <f t="shared" ca="1" si="18"/>
        <v>382.5</v>
      </c>
      <c r="Q96" s="180">
        <f t="shared" si="19"/>
        <v>0</v>
      </c>
      <c r="R96">
        <f ca="1">IFERROR(VLOOKUP(A96,[1]Energiindhold!$A$2:$C$11,3,FALSE),IFERROR(VLOOKUP(A96,[1]Biogasudbytte!$A$2:$B$18,2,FALSE)*[1]Energiindhold!$C$10,0))*P96</f>
        <v>3.4329375000000003E-4</v>
      </c>
      <c r="S96">
        <f ca="1">IF(A96&lt;&gt;"Biogas",IFERROR(VLOOKUP(A96,[1]Biogasudbytte!$A$2:$B$18,2,FALSE)*[1]Energiindhold!$C$10,0)*K96*IFERROR(VLOOKUP(A96,Biogasanlæg!$F$3:$G$8,2,FALSE),1)+IFERROR(VLOOKUP(A96,[1]Energiindhold!$A$2:$C$11,3,FALSE),0)*M96+IF(F96&lt;&gt;År1,R96,0),0)</f>
        <v>3.4329375000000003E-4</v>
      </c>
      <c r="T96">
        <f>IFERROR(VLOOKUP(A96,[1]Biogasudbytte!$A$2:$B$18,2,FALSE)*[1]Energiindhold!$C$10,0)*K96*IFERROR(VLOOKUP(A96,Biogasanlæg!$F$3:$G$8,2,FALSE),1)</f>
        <v>0</v>
      </c>
      <c r="U96" s="170">
        <f t="shared" ca="1" si="20"/>
        <v>3.4329375000000003E-4</v>
      </c>
      <c r="V96" s="169">
        <f ca="1">P96*IFERROR(VLOOKUP(A96,[1]Tørstofindhold!A$2:B$24,2,FALSE),0)</f>
        <v>57.375</v>
      </c>
      <c r="W96">
        <f ca="1">IF(F96=År1,Q96,SUM(P96,Q96))*IFERROR(VLOOKUP(A96,[1]Tørstofindhold!A$2:B$24,2,FALSE),0)</f>
        <v>57.375</v>
      </c>
      <c r="X96">
        <f>K96*IFERROR(VLOOKUP(A96,[1]Tørstofindhold!A$2:B$24,2,FALSE),0)</f>
        <v>0</v>
      </c>
      <c r="Y96" s="170">
        <f t="shared" ca="1" si="21"/>
        <v>57.375</v>
      </c>
      <c r="Z96">
        <f t="shared" ca="1" si="15"/>
        <v>0</v>
      </c>
      <c r="AA96">
        <f t="shared" ca="1" si="16"/>
        <v>1</v>
      </c>
      <c r="AC96" s="94">
        <f t="shared" ca="1" si="22"/>
        <v>382.5</v>
      </c>
      <c r="AD96">
        <f ca="1">AC96*E96*10000*VLOOKUP(A96,[1]kcal!$A$2:$C$49,3,FALSE)/1000000000000</f>
        <v>1.5605999999999999E-4</v>
      </c>
    </row>
    <row r="97" spans="1:30" x14ac:dyDescent="0.25">
      <c r="A97" s="171" t="str">
        <f t="shared" si="11"/>
        <v>Total til biogas</v>
      </c>
      <c r="B97" s="171" t="str">
        <f t="shared" si="12"/>
        <v/>
      </c>
      <c r="C97" s="171" t="str">
        <f>IFERROR(VLOOKUP(A97,'Kategorisering af kcal'!$J$2:$K$18,2,FALSE),"")</f>
        <v/>
      </c>
      <c r="D97" s="171">
        <f>IF(COUNTIFS('Resultater - Danmark'!$D$3:$D$504,'Produktion &amp; forbrug'!A97,'Resultater - Danmark'!$A$3:$A$504,"Til energi")+COUNTIFS('Resultater - Danmark'!$D$3:$D$504,'Produktion &amp; forbrug'!A97,'Resultater - Danmark'!$A$3:$A$504,"Biogasanlæg")&gt;0,1,0)</f>
        <v>1</v>
      </c>
      <c r="E97" s="171">
        <f t="shared" si="14"/>
        <v>0</v>
      </c>
      <c r="F97" s="171">
        <f t="shared" si="13"/>
        <v>2030</v>
      </c>
      <c r="G97" s="94">
        <f>SUMIFS('Resultat-Produktion &amp; forbrug'!G$4:G$291,'Resultat-Produktion &amp; forbrug'!$A$4:$A$291,'Produktion &amp; forbrug'!$A97,'Resultat-Produktion &amp; forbrug'!$E$4:$E$291,'Produktion &amp; forbrug'!$F97)</f>
        <v>0</v>
      </c>
      <c r="H97" s="94">
        <f>SUMIFS('Resultat-Produktion &amp; forbrug'!H$4:H$291,'Resultat-Produktion &amp; forbrug'!$A$4:$A$291,'Produktion &amp; forbrug'!$A97,'Resultat-Produktion &amp; forbrug'!$E$4:$E$291,'Produktion &amp; forbrug'!$F97)</f>
        <v>0</v>
      </c>
      <c r="I97" s="94">
        <f>SUMIFS('Resultat-Produktion &amp; forbrug'!I$4:I$291,'Resultat-Produktion &amp; forbrug'!$A$4:$A$291,'Produktion &amp; forbrug'!$A97,'Resultat-Produktion &amp; forbrug'!$E$4:$E$291,'Produktion &amp; forbrug'!$F97)</f>
        <v>0</v>
      </c>
      <c r="J97" s="94">
        <f>SUMIFS('Resultat-Produktion &amp; forbrug'!J$4:J$291,'Resultat-Produktion &amp; forbrug'!$A$4:$A$291,'Produktion &amp; forbrug'!$A97,'Resultat-Produktion &amp; forbrug'!$E$4:$E$291,'Produktion &amp; forbrug'!$F97)</f>
        <v>0</v>
      </c>
      <c r="K97" s="94">
        <f>SUMIFS('Resultat-Produktion &amp; forbrug'!K$4:K$291,'Resultat-Produktion &amp; forbrug'!$A$4:$A$291,'Produktion &amp; forbrug'!$A97,'Resultat-Produktion &amp; forbrug'!$E$4:$E$291,'Produktion &amp; forbrug'!$F97)</f>
        <v>0</v>
      </c>
      <c r="L97" s="94">
        <f>SUMIFS('Resultat-Produktion &amp; forbrug'!L$4:L$291,'Resultat-Produktion &amp; forbrug'!$A$4:$A$291,'Produktion &amp; forbrug'!$A97,'Resultat-Produktion &amp; forbrug'!$E$4:$E$291,'Produktion &amp; forbrug'!$F97)</f>
        <v>0</v>
      </c>
      <c r="M97" s="94">
        <f>SUMIFS('Resultat-Produktion &amp; forbrug'!M$4:M$291,'Resultat-Produktion &amp; forbrug'!$A$4:$A$291,'Produktion &amp; forbrug'!$A97,'Resultat-Produktion &amp; forbrug'!$E$4:$E$291,'Produktion &amp; forbrug'!$F97)</f>
        <v>0</v>
      </c>
      <c r="N97" s="94">
        <f>SUMIFS('Resultat-Produktion &amp; forbrug'!N$4:N$291,'Resultat-Produktion &amp; forbrug'!$A$4:$A$291,'Produktion &amp; forbrug'!$A97,'Resultat-Produktion &amp; forbrug'!$E$4:$E$291,'Produktion &amp; forbrug'!$F97)</f>
        <v>0</v>
      </c>
      <c r="O97" s="179">
        <f t="shared" si="17"/>
        <v>0</v>
      </c>
      <c r="P97" s="94">
        <f t="shared" si="18"/>
        <v>0</v>
      </c>
      <c r="Q97" s="180">
        <f t="shared" si="19"/>
        <v>0</v>
      </c>
      <c r="R97">
        <f>IFERROR(VLOOKUP(A97,[1]Energiindhold!$A$2:$C$11,3,FALSE),IFERROR(VLOOKUP(A97,[1]Biogasudbytte!$A$2:$B$18,2,FALSE)*[1]Energiindhold!$C$10,0))*P97</f>
        <v>0</v>
      </c>
      <c r="S97">
        <f>IF(A97&lt;&gt;"Biogas",IFERROR(VLOOKUP(A97,[1]Biogasudbytte!$A$2:$B$18,2,FALSE)*[1]Energiindhold!$C$10,0)*K97*IFERROR(VLOOKUP(A97,Biogasanlæg!$F$3:$G$8,2,FALSE),1)+IFERROR(VLOOKUP(A97,[1]Energiindhold!$A$2:$C$11,3,FALSE),0)*M97+IF(F97&lt;&gt;År1,R97,0),0)</f>
        <v>0</v>
      </c>
      <c r="T97">
        <f>IFERROR(VLOOKUP(A97,[1]Biogasudbytte!$A$2:$B$18,2,FALSE)*[1]Energiindhold!$C$10,0)*K97*IFERROR(VLOOKUP(A97,Biogasanlæg!$F$3:$G$8,2,FALSE),1)</f>
        <v>0</v>
      </c>
      <c r="U97" s="170">
        <f t="shared" si="20"/>
        <v>0</v>
      </c>
      <c r="V97" s="169">
        <f>P97*IFERROR(VLOOKUP(A97,[1]Tørstofindhold!A$2:B$24,2,FALSE),0)</f>
        <v>0</v>
      </c>
      <c r="W97">
        <f>IF(F97=År1,Q97,SUM(P97,Q97))*IFERROR(VLOOKUP(A97,[1]Tørstofindhold!A$2:B$24,2,FALSE),0)</f>
        <v>0</v>
      </c>
      <c r="X97">
        <f>K97*IFERROR(VLOOKUP(A97,[1]Tørstofindhold!A$2:B$24,2,FALSE),0)</f>
        <v>0</v>
      </c>
      <c r="Y97" s="170">
        <f t="shared" si="21"/>
        <v>0</v>
      </c>
      <c r="Z97">
        <f t="shared" si="15"/>
        <v>0</v>
      </c>
      <c r="AA97">
        <f t="shared" si="16"/>
        <v>0</v>
      </c>
      <c r="AC97" s="94">
        <f t="shared" si="22"/>
        <v>0</v>
      </c>
      <c r="AD97">
        <f>AC97*E97*10000*VLOOKUP(A97,[1]kcal!$A$2:$C$49,3,FALSE)/1000000000000</f>
        <v>0</v>
      </c>
    </row>
    <row r="98" spans="1:30" x14ac:dyDescent="0.25">
      <c r="A98" s="171" t="str">
        <f t="shared" si="11"/>
        <v>Træ til energi</v>
      </c>
      <c r="B98" s="171" t="str">
        <f t="shared" si="12"/>
        <v>Vedmasse</v>
      </c>
      <c r="C98" s="171" t="str">
        <f>IFERROR(VLOOKUP(A98,'Kategorisering af kcal'!$J$2:$K$18,2,FALSE),"")</f>
        <v/>
      </c>
      <c r="D98" s="171">
        <f>IF(COUNTIFS('Resultater - Danmark'!$D$3:$D$504,'Produktion &amp; forbrug'!A98,'Resultater - Danmark'!$A$3:$A$504,"Til energi")+COUNTIFS('Resultater - Danmark'!$D$3:$D$504,'Produktion &amp; forbrug'!A98,'Resultater - Danmark'!$A$3:$A$504,"Biogasanlæg")&gt;0,1,0)</f>
        <v>1</v>
      </c>
      <c r="E98" s="171">
        <f t="shared" si="14"/>
        <v>0</v>
      </c>
      <c r="F98" s="171">
        <f t="shared" si="13"/>
        <v>2030</v>
      </c>
      <c r="G98" s="94">
        <f ca="1">SUMIFS('Resultat-Produktion &amp; forbrug'!G$4:G$291,'Resultat-Produktion &amp; forbrug'!$A$4:$A$291,'Produktion &amp; forbrug'!$A98,'Resultat-Produktion &amp; forbrug'!$E$4:$E$291,'Produktion &amp; forbrug'!$F98)</f>
        <v>2874839.9680931582</v>
      </c>
      <c r="H98" s="94">
        <f>SUMIFS('Resultat-Produktion &amp; forbrug'!H$4:H$291,'Resultat-Produktion &amp; forbrug'!$A$4:$A$291,'Produktion &amp; forbrug'!$A98,'Resultat-Produktion &amp; forbrug'!$E$4:$E$291,'Produktion &amp; forbrug'!$F98)</f>
        <v>0</v>
      </c>
      <c r="I98" s="94">
        <f>SUMIFS('Resultat-Produktion &amp; forbrug'!I$4:I$291,'Resultat-Produktion &amp; forbrug'!$A$4:$A$291,'Produktion &amp; forbrug'!$A98,'Resultat-Produktion &amp; forbrug'!$E$4:$E$291,'Produktion &amp; forbrug'!$F98)</f>
        <v>0</v>
      </c>
      <c r="J98" s="94">
        <f>SUMIFS('Resultat-Produktion &amp; forbrug'!J$4:J$291,'Resultat-Produktion &amp; forbrug'!$A$4:$A$291,'Produktion &amp; forbrug'!$A98,'Resultat-Produktion &amp; forbrug'!$E$4:$E$291,'Produktion &amp; forbrug'!$F98)</f>
        <v>0</v>
      </c>
      <c r="K98" s="94">
        <f>SUMIFS('Resultat-Produktion &amp; forbrug'!K$4:K$291,'Resultat-Produktion &amp; forbrug'!$A$4:$A$291,'Produktion &amp; forbrug'!$A98,'Resultat-Produktion &amp; forbrug'!$E$4:$E$291,'Produktion &amp; forbrug'!$F98)</f>
        <v>0</v>
      </c>
      <c r="L98" s="94">
        <f>SUMIFS('Resultat-Produktion &amp; forbrug'!L$4:L$291,'Resultat-Produktion &amp; forbrug'!$A$4:$A$291,'Produktion &amp; forbrug'!$A98,'Resultat-Produktion &amp; forbrug'!$E$4:$E$291,'Produktion &amp; forbrug'!$F98)</f>
        <v>0</v>
      </c>
      <c r="M98" s="94">
        <f ca="1">SUMIFS('Resultat-Produktion &amp; forbrug'!M$4:M$291,'Resultat-Produktion &amp; forbrug'!$A$4:$A$291,'Produktion &amp; forbrug'!$A98,'Resultat-Produktion &amp; forbrug'!$E$4:$E$291,'Produktion &amp; forbrug'!$F98)</f>
        <v>2874839.9680931582</v>
      </c>
      <c r="N98" s="94">
        <f>SUMIFS('Resultat-Produktion &amp; forbrug'!N$4:N$291,'Resultat-Produktion &amp; forbrug'!$A$4:$A$291,'Produktion &amp; forbrug'!$A98,'Resultat-Produktion &amp; forbrug'!$E$4:$E$291,'Produktion &amp; forbrug'!$F98)</f>
        <v>0</v>
      </c>
      <c r="O98" s="179">
        <f t="shared" ca="1" si="17"/>
        <v>0</v>
      </c>
      <c r="P98" s="94">
        <f t="shared" ca="1" si="18"/>
        <v>0</v>
      </c>
      <c r="Q98" s="180">
        <f t="shared" ca="1" si="19"/>
        <v>2874839.9680931582</v>
      </c>
      <c r="R98">
        <f ca="1">IFERROR(VLOOKUP(A98,[1]Energiindhold!$A$2:$C$11,3,FALSE),IFERROR(VLOOKUP(A98,[1]Biogasudbytte!$A$2:$B$18,2,FALSE)*[1]Energiindhold!$C$10,0))*P98</f>
        <v>0</v>
      </c>
      <c r="S98">
        <f ca="1">IF(A98&lt;&gt;"Biogas",IFERROR(VLOOKUP(A98,[1]Biogasudbytte!$A$2:$B$18,2,FALSE)*[1]Energiindhold!$C$10,0)*K98*IFERROR(VLOOKUP(A98,Biogasanlæg!$F$3:$G$8,2,FALSE),1)+IFERROR(VLOOKUP(A98,[1]Energiindhold!$A$2:$C$11,3,FALSE),0)*M98+IF(F98&lt;&gt;År1,R98,0),0)</f>
        <v>41.66669115626091</v>
      </c>
      <c r="T98">
        <f>IFERROR(VLOOKUP(A98,[1]Biogasudbytte!$A$2:$B$18,2,FALSE)*[1]Energiindhold!$C$10,0)*K98*IFERROR(VLOOKUP(A98,Biogasanlæg!$F$3:$G$8,2,FALSE),1)</f>
        <v>0</v>
      </c>
      <c r="U98" s="170">
        <f t="shared" ca="1" si="20"/>
        <v>41.66669115626091</v>
      </c>
      <c r="V98" s="169">
        <f ca="1">P98*IFERROR(VLOOKUP(A98,[1]Tørstofindhold!A$2:B$24,2,FALSE),0)</f>
        <v>0</v>
      </c>
      <c r="W98">
        <f ca="1">IF(F98=År1,Q98,SUM(P98,Q98))*IFERROR(VLOOKUP(A98,[1]Tørstofindhold!A$2:B$24,2,FALSE),0)</f>
        <v>1421847.9342194078</v>
      </c>
      <c r="X98">
        <f>K98*IFERROR(VLOOKUP(A98,[1]Tørstofindhold!A$2:B$24,2,FALSE),0)</f>
        <v>0</v>
      </c>
      <c r="Y98" s="170">
        <f t="shared" ca="1" si="21"/>
        <v>1421847.9342194078</v>
      </c>
      <c r="Z98">
        <f t="shared" ca="1" si="15"/>
        <v>0</v>
      </c>
      <c r="AA98">
        <f t="shared" ca="1" si="16"/>
        <v>0</v>
      </c>
      <c r="AC98" s="94">
        <f t="shared" ca="1" si="22"/>
        <v>2874839.9680931582</v>
      </c>
      <c r="AD98">
        <f ca="1">AC98*E98*10000*VLOOKUP(A98,[1]kcal!$A$2:$C$49,3,FALSE)/1000000000000</f>
        <v>0</v>
      </c>
    </row>
    <row r="99" spans="1:30" x14ac:dyDescent="0.25">
      <c r="A99" s="171" t="str">
        <f t="shared" si="11"/>
        <v>Træmaterialer</v>
      </c>
      <c r="B99" s="171" t="str">
        <f t="shared" si="12"/>
        <v/>
      </c>
      <c r="C99" s="171" t="str">
        <f>IFERROR(VLOOKUP(A99,'Kategorisering af kcal'!$J$2:$K$18,2,FALSE),"")</f>
        <v/>
      </c>
      <c r="D99" s="171">
        <f>IF(COUNTIFS('Resultater - Danmark'!$D$3:$D$504,'Produktion &amp; forbrug'!A99,'Resultater - Danmark'!$A$3:$A$504,"Til energi")+COUNTIFS('Resultater - Danmark'!$D$3:$D$504,'Produktion &amp; forbrug'!A99,'Resultater - Danmark'!$A$3:$A$504,"Biogasanlæg")&gt;0,1,0)</f>
        <v>0</v>
      </c>
      <c r="E99" s="171">
        <f t="shared" si="14"/>
        <v>0</v>
      </c>
      <c r="F99" s="171">
        <f t="shared" si="13"/>
        <v>2030</v>
      </c>
      <c r="G99" s="94">
        <f ca="1">SUMIFS('Resultat-Produktion &amp; forbrug'!G$4:G$291,'Resultat-Produktion &amp; forbrug'!$A$4:$A$291,'Produktion &amp; forbrug'!$A99,'Resultat-Produktion &amp; forbrug'!$E$4:$E$291,'Produktion &amp; forbrug'!$F99)</f>
        <v>792057.93807476689</v>
      </c>
      <c r="H99" s="94">
        <f>SUMIFS('Resultat-Produktion &amp; forbrug'!H$4:H$291,'Resultat-Produktion &amp; forbrug'!$A$4:$A$291,'Produktion &amp; forbrug'!$A99,'Resultat-Produktion &amp; forbrug'!$E$4:$E$291,'Produktion &amp; forbrug'!$F99)</f>
        <v>0</v>
      </c>
      <c r="I99" s="94">
        <f>SUMIFS('Resultat-Produktion &amp; forbrug'!I$4:I$291,'Resultat-Produktion &amp; forbrug'!$A$4:$A$291,'Produktion &amp; forbrug'!$A99,'Resultat-Produktion &amp; forbrug'!$E$4:$E$291,'Produktion &amp; forbrug'!$F99)</f>
        <v>0</v>
      </c>
      <c r="J99" s="94">
        <f>SUMIFS('Resultat-Produktion &amp; forbrug'!J$4:J$291,'Resultat-Produktion &amp; forbrug'!$A$4:$A$291,'Produktion &amp; forbrug'!$A99,'Resultat-Produktion &amp; forbrug'!$E$4:$E$291,'Produktion &amp; forbrug'!$F99)</f>
        <v>0</v>
      </c>
      <c r="K99" s="94">
        <f>SUMIFS('Resultat-Produktion &amp; forbrug'!K$4:K$291,'Resultat-Produktion &amp; forbrug'!$A$4:$A$291,'Produktion &amp; forbrug'!$A99,'Resultat-Produktion &amp; forbrug'!$E$4:$E$291,'Produktion &amp; forbrug'!$F99)</f>
        <v>0</v>
      </c>
      <c r="L99" s="94">
        <f>SUMIFS('Resultat-Produktion &amp; forbrug'!L$4:L$291,'Resultat-Produktion &amp; forbrug'!$A$4:$A$291,'Produktion &amp; forbrug'!$A99,'Resultat-Produktion &amp; forbrug'!$E$4:$E$291,'Produktion &amp; forbrug'!$F99)</f>
        <v>0</v>
      </c>
      <c r="M99" s="94">
        <f>SUMIFS('Resultat-Produktion &amp; forbrug'!M$4:M$291,'Resultat-Produktion &amp; forbrug'!$A$4:$A$291,'Produktion &amp; forbrug'!$A99,'Resultat-Produktion &amp; forbrug'!$E$4:$E$291,'Produktion &amp; forbrug'!$F99)</f>
        <v>0</v>
      </c>
      <c r="N99" s="94">
        <f ca="1">SUMIFS('Resultat-Produktion &amp; forbrug'!N$4:N$291,'Resultat-Produktion &amp; forbrug'!$A$4:$A$291,'Produktion &amp; forbrug'!$A99,'Resultat-Produktion &amp; forbrug'!$E$4:$E$291,'Produktion &amp; forbrug'!$F99)</f>
        <v>792057.93807476689</v>
      </c>
      <c r="O99" s="179">
        <f t="shared" ca="1" si="17"/>
        <v>0</v>
      </c>
      <c r="P99" s="94">
        <f t="shared" si="18"/>
        <v>0</v>
      </c>
      <c r="Q99" s="180">
        <f t="shared" si="19"/>
        <v>0</v>
      </c>
      <c r="R99">
        <f>IFERROR(VLOOKUP(A99,[1]Energiindhold!$A$2:$C$11,3,FALSE),IFERROR(VLOOKUP(A99,[1]Biogasudbytte!$A$2:$B$18,2,FALSE)*[1]Energiindhold!$C$10,0))*P99</f>
        <v>0</v>
      </c>
      <c r="S99">
        <f>IF(A99&lt;&gt;"Biogas",IFERROR(VLOOKUP(A99,[1]Biogasudbytte!$A$2:$B$18,2,FALSE)*[1]Energiindhold!$C$10,0)*K99*IFERROR(VLOOKUP(A99,Biogasanlæg!$F$3:$G$8,2,FALSE),1)+IFERROR(VLOOKUP(A99,[1]Energiindhold!$A$2:$C$11,3,FALSE),0)*M99+IF(F99&lt;&gt;År1,R99,0),0)</f>
        <v>0</v>
      </c>
      <c r="T99">
        <f>IFERROR(VLOOKUP(A99,[1]Biogasudbytte!$A$2:$B$18,2,FALSE)*[1]Energiindhold!$C$10,0)*K99*IFERROR(VLOOKUP(A99,Biogasanlæg!$F$3:$G$8,2,FALSE),1)</f>
        <v>0</v>
      </c>
      <c r="U99" s="170">
        <f t="shared" si="20"/>
        <v>0</v>
      </c>
      <c r="V99" s="169">
        <f>P99*IFERROR(VLOOKUP(A99,[1]Tørstofindhold!A$2:B$24,2,FALSE),0)</f>
        <v>0</v>
      </c>
      <c r="W99">
        <f>IF(F99=År1,Q99,SUM(P99,Q99))*IFERROR(VLOOKUP(A99,[1]Tørstofindhold!A$2:B$24,2,FALSE),0)</f>
        <v>0</v>
      </c>
      <c r="X99">
        <f>K99*IFERROR(VLOOKUP(A99,[1]Tørstofindhold!A$2:B$24,2,FALSE),0)</f>
        <v>0</v>
      </c>
      <c r="Y99" s="170">
        <f t="shared" si="21"/>
        <v>0</v>
      </c>
      <c r="Z99">
        <f t="shared" ca="1" si="15"/>
        <v>0</v>
      </c>
      <c r="AA99">
        <f t="shared" ca="1" si="16"/>
        <v>0</v>
      </c>
      <c r="AC99" s="94">
        <f t="shared" ca="1" si="22"/>
        <v>792057.93807476689</v>
      </c>
      <c r="AD99">
        <f ca="1">AC99*E99*10000*VLOOKUP(A99,[1]kcal!$A$2:$C$49,3,FALSE)/1000000000000</f>
        <v>0</v>
      </c>
    </row>
    <row r="100" spans="1:30" x14ac:dyDescent="0.25">
      <c r="A100" s="171" t="str">
        <f t="shared" si="11"/>
        <v>Æg</v>
      </c>
      <c r="B100" s="171" t="str">
        <f t="shared" si="12"/>
        <v/>
      </c>
      <c r="C100" s="171" t="str">
        <f>IFERROR(VLOOKUP(A100,'Kategorisering af kcal'!$J$2:$K$18,2,FALSE),"")</f>
        <v>Æg</v>
      </c>
      <c r="D100" s="171">
        <f>IF(COUNTIFS('Resultater - Danmark'!$D$3:$D$504,'Produktion &amp; forbrug'!A100,'Resultater - Danmark'!$A$3:$A$504,"Til energi")+COUNTIFS('Resultater - Danmark'!$D$3:$D$504,'Produktion &amp; forbrug'!A100,'Resultater - Danmark'!$A$3:$A$504,"Biogasanlæg")&gt;0,1,0)</f>
        <v>0</v>
      </c>
      <c r="E100" s="171">
        <f t="shared" si="14"/>
        <v>1</v>
      </c>
      <c r="F100" s="171">
        <f t="shared" ref="F100:F147" si="23">År3</f>
        <v>2050</v>
      </c>
      <c r="G100" s="94">
        <f ca="1">SUMIFS('Resultat-Produktion &amp; forbrug'!G$4:G$291,'Resultat-Produktion &amp; forbrug'!$A$4:$A$291,'Produktion &amp; forbrug'!$A100,'Resultat-Produktion &amp; forbrug'!$E$4:$E$291,'Produktion &amp; forbrug'!$F100)</f>
        <v>225699.33858382018</v>
      </c>
      <c r="H100" s="94">
        <f>SUMIFS('Resultat-Produktion &amp; forbrug'!H$4:H$291,'Resultat-Produktion &amp; forbrug'!$A$4:$A$291,'Produktion &amp; forbrug'!$A100,'Resultat-Produktion &amp; forbrug'!$E$4:$E$291,'Produktion &amp; forbrug'!$F100)</f>
        <v>0</v>
      </c>
      <c r="I100" s="94">
        <f>SUMIFS('Resultat-Produktion &amp; forbrug'!I$4:I$291,'Resultat-Produktion &amp; forbrug'!$A$4:$A$291,'Produktion &amp; forbrug'!$A100,'Resultat-Produktion &amp; forbrug'!$E$4:$E$291,'Produktion &amp; forbrug'!$F100)</f>
        <v>0</v>
      </c>
      <c r="J100" s="94">
        <f>SUMIFS('Resultat-Produktion &amp; forbrug'!J$4:J$291,'Resultat-Produktion &amp; forbrug'!$A$4:$A$291,'Produktion &amp; forbrug'!$A100,'Resultat-Produktion &amp; forbrug'!$E$4:$E$291,'Produktion &amp; forbrug'!$F100)</f>
        <v>63381.970906546776</v>
      </c>
      <c r="K100" s="94">
        <f>SUMIFS('Resultat-Produktion &amp; forbrug'!K$4:K$291,'Resultat-Produktion &amp; forbrug'!$A$4:$A$291,'Produktion &amp; forbrug'!$A100,'Resultat-Produktion &amp; forbrug'!$E$4:$E$291,'Produktion &amp; forbrug'!$F100)</f>
        <v>0</v>
      </c>
      <c r="L100" s="94">
        <f>SUMIFS('Resultat-Produktion &amp; forbrug'!L$4:L$291,'Resultat-Produktion &amp; forbrug'!$A$4:$A$291,'Produktion &amp; forbrug'!$A100,'Resultat-Produktion &amp; forbrug'!$E$4:$E$291,'Produktion &amp; forbrug'!$F100)</f>
        <v>0</v>
      </c>
      <c r="M100" s="94">
        <f>SUMIFS('Resultat-Produktion &amp; forbrug'!M$4:M$291,'Resultat-Produktion &amp; forbrug'!$A$4:$A$291,'Produktion &amp; forbrug'!$A100,'Resultat-Produktion &amp; forbrug'!$E$4:$E$291,'Produktion &amp; forbrug'!$F100)</f>
        <v>0</v>
      </c>
      <c r="N100" s="94">
        <f>SUMIFS('Resultat-Produktion &amp; forbrug'!N$4:N$291,'Resultat-Produktion &amp; forbrug'!$A$4:$A$291,'Produktion &amp; forbrug'!$A100,'Resultat-Produktion &amp; forbrug'!$E$4:$E$291,'Produktion &amp; forbrug'!$F100)</f>
        <v>0</v>
      </c>
      <c r="O100" s="179">
        <f t="shared" ca="1" si="17"/>
        <v>162317.3676772734</v>
      </c>
      <c r="P100" s="94">
        <f t="shared" si="18"/>
        <v>0</v>
      </c>
      <c r="Q100" s="180">
        <f t="shared" si="19"/>
        <v>0</v>
      </c>
      <c r="R100">
        <f>IFERROR(VLOOKUP(A100,[1]Energiindhold!$A$2:$C$11,3,FALSE),IFERROR(VLOOKUP(A100,[1]Biogasudbytte!$A$2:$B$18,2,FALSE)*[1]Energiindhold!$C$10,0))*P100</f>
        <v>0</v>
      </c>
      <c r="S100">
        <f>IF(A100&lt;&gt;"Biogas",IFERROR(VLOOKUP(A100,[1]Biogasudbytte!$A$2:$B$18,2,FALSE)*[1]Energiindhold!$C$10,0)*K100*IFERROR(VLOOKUP(A100,Biogasanlæg!$F$3:$G$8,2,FALSE),1)+IFERROR(VLOOKUP(A100,[1]Energiindhold!$A$2:$C$11,3,FALSE),0)*M100+IF(F100&lt;&gt;År1,R100,0),0)</f>
        <v>0</v>
      </c>
      <c r="T100">
        <f>IFERROR(VLOOKUP(A100,[1]Biogasudbytte!$A$2:$B$18,2,FALSE)*[1]Energiindhold!$C$10,0)*K100*IFERROR(VLOOKUP(A100,Biogasanlæg!$F$3:$G$8,2,FALSE),1)</f>
        <v>0</v>
      </c>
      <c r="U100" s="170">
        <f t="shared" si="20"/>
        <v>0</v>
      </c>
      <c r="V100" s="169">
        <f>P100*IFERROR(VLOOKUP(A100,[1]Tørstofindhold!A$2:B$24,2,FALSE),0)</f>
        <v>0</v>
      </c>
      <c r="W100">
        <f>IF(F100=År1,Q100,SUM(P100,Q100))*IFERROR(VLOOKUP(A100,[1]Tørstofindhold!A$2:B$24,2,FALSE),0)</f>
        <v>0</v>
      </c>
      <c r="X100">
        <f>K100*IFERROR(VLOOKUP(A100,[1]Tørstofindhold!A$2:B$24,2,FALSE),0)</f>
        <v>0</v>
      </c>
      <c r="Y100" s="170">
        <f t="shared" si="21"/>
        <v>0</v>
      </c>
      <c r="Z100">
        <f t="shared" ref="Z100:Z131" ca="1" si="24">IF(SUMIFS($O$4:$O$147,$A$4:$A$147,A100,$F$4:$F$147,F100)&lt;0,1,0)</f>
        <v>0</v>
      </c>
      <c r="AA100">
        <f t="shared" ref="AA100:AA131" ca="1" si="25">IF(SUMIFS($O$4:$O$147,$A$4:$A$147,A100,$F$4:$F$147,F100)&gt;0,1,0)</f>
        <v>1</v>
      </c>
      <c r="AC100" s="94">
        <f t="shared" ca="1" si="22"/>
        <v>225699.33858382018</v>
      </c>
      <c r="AD100">
        <f ca="1">AC100*E100*10000*VLOOKUP(A100,[1]kcal!$A$2:$C$49,3,FALSE)/1000000000000</f>
        <v>0.3114650872456719</v>
      </c>
    </row>
    <row r="101" spans="1:30" x14ac:dyDescent="0.25">
      <c r="A101" s="171" t="str">
        <f t="shared" si="11"/>
        <v>Bælgsæd</v>
      </c>
      <c r="B101" s="171" t="str">
        <f t="shared" si="12"/>
        <v/>
      </c>
      <c r="C101" s="171" t="str">
        <f>IFERROR(VLOOKUP(A101,'Kategorisering af kcal'!$J$2:$K$18,2,FALSE),"")</f>
        <v>Bælgsæd</v>
      </c>
      <c r="D101" s="171">
        <f>IF(COUNTIFS('Resultater - Danmark'!$D$3:$D$504,'Produktion &amp; forbrug'!A101,'Resultater - Danmark'!$A$3:$A$504,"Til energi")+COUNTIFS('Resultater - Danmark'!$D$3:$D$504,'Produktion &amp; forbrug'!A101,'Resultater - Danmark'!$A$3:$A$504,"Biogasanlæg")&gt;0,1,0)</f>
        <v>0</v>
      </c>
      <c r="E101" s="171">
        <f t="shared" si="14"/>
        <v>1</v>
      </c>
      <c r="F101" s="171">
        <f t="shared" si="23"/>
        <v>2050</v>
      </c>
      <c r="G101" s="94">
        <f>SUMIFS('Resultat-Produktion &amp; forbrug'!G$4:G$291,'Resultat-Produktion &amp; forbrug'!$A$4:$A$291,'Produktion &amp; forbrug'!$A101,'Resultat-Produktion &amp; forbrug'!$E$4:$E$291,'Produktion &amp; forbrug'!$F101)</f>
        <v>278178.23040412681</v>
      </c>
      <c r="H101" s="94">
        <f ca="1">SUMIFS('Resultat-Produktion &amp; forbrug'!H$4:H$291,'Resultat-Produktion &amp; forbrug'!$A$4:$A$291,'Produktion &amp; forbrug'!$A101,'Resultat-Produktion &amp; forbrug'!$E$4:$E$291,'Produktion &amp; forbrug'!$F101)</f>
        <v>67285.125780707793</v>
      </c>
      <c r="I101" s="94">
        <f>SUMIFS('Resultat-Produktion &amp; forbrug'!I$4:I$291,'Resultat-Produktion &amp; forbrug'!$A$4:$A$291,'Produktion &amp; forbrug'!$A101,'Resultat-Produktion &amp; forbrug'!$E$4:$E$291,'Produktion &amp; forbrug'!$F101)</f>
        <v>0</v>
      </c>
      <c r="J101" s="94">
        <f>SUMIFS('Resultat-Produktion &amp; forbrug'!J$4:J$291,'Resultat-Produktion &amp; forbrug'!$A$4:$A$291,'Produktion &amp; forbrug'!$A101,'Resultat-Produktion &amp; forbrug'!$E$4:$E$291,'Produktion &amp; forbrug'!$F101)</f>
        <v>0</v>
      </c>
      <c r="K101" s="94">
        <f>SUMIFS('Resultat-Produktion &amp; forbrug'!K$4:K$291,'Resultat-Produktion &amp; forbrug'!$A$4:$A$291,'Produktion &amp; forbrug'!$A101,'Resultat-Produktion &amp; forbrug'!$E$4:$E$291,'Produktion &amp; forbrug'!$F101)</f>
        <v>0</v>
      </c>
      <c r="L101" s="94">
        <f>SUMIFS('Resultat-Produktion &amp; forbrug'!L$4:L$291,'Resultat-Produktion &amp; forbrug'!$A$4:$A$291,'Produktion &amp; forbrug'!$A101,'Resultat-Produktion &amp; forbrug'!$E$4:$E$291,'Produktion &amp; forbrug'!$F101)</f>
        <v>0</v>
      </c>
      <c r="M101" s="94">
        <f>SUMIFS('Resultat-Produktion &amp; forbrug'!M$4:M$291,'Resultat-Produktion &amp; forbrug'!$A$4:$A$291,'Produktion &amp; forbrug'!$A101,'Resultat-Produktion &amp; forbrug'!$E$4:$E$291,'Produktion &amp; forbrug'!$F101)</f>
        <v>0</v>
      </c>
      <c r="N101" s="94">
        <f>SUMIFS('Resultat-Produktion &amp; forbrug'!N$4:N$291,'Resultat-Produktion &amp; forbrug'!$A$4:$A$291,'Produktion &amp; forbrug'!$A101,'Resultat-Produktion &amp; forbrug'!$E$4:$E$291,'Produktion &amp; forbrug'!$F101)</f>
        <v>0</v>
      </c>
      <c r="O101" s="179">
        <f t="shared" ca="1" si="17"/>
        <v>210893.104623419</v>
      </c>
      <c r="P101" s="94">
        <f t="shared" si="18"/>
        <v>0</v>
      </c>
      <c r="Q101" s="180">
        <f t="shared" si="19"/>
        <v>0</v>
      </c>
      <c r="R101">
        <f>IFERROR(VLOOKUP(A101,[1]Energiindhold!$A$2:$C$11,3,FALSE),IFERROR(VLOOKUP(A101,[1]Biogasudbytte!$A$2:$B$18,2,FALSE)*[1]Energiindhold!$C$10,0))*P101</f>
        <v>0</v>
      </c>
      <c r="S101">
        <f>IF(A101&lt;&gt;"Biogas",IFERROR(VLOOKUP(A101,[1]Biogasudbytte!$A$2:$B$18,2,FALSE)*[1]Energiindhold!$C$10,0)*K101*IFERROR(VLOOKUP(A101,Biogasanlæg!$F$3:$G$8,2,FALSE),1)+IFERROR(VLOOKUP(A101,[1]Energiindhold!$A$2:$C$11,3,FALSE),0)*M101+IF(F101&lt;&gt;År1,R101,0),0)</f>
        <v>0</v>
      </c>
      <c r="T101">
        <f>IFERROR(VLOOKUP(A101,[1]Biogasudbytte!$A$2:$B$18,2,FALSE)*[1]Energiindhold!$C$10,0)*K101*IFERROR(VLOOKUP(A101,Biogasanlæg!$F$3:$G$8,2,FALSE),1)</f>
        <v>0</v>
      </c>
      <c r="U101" s="170">
        <f t="shared" si="20"/>
        <v>0</v>
      </c>
      <c r="V101" s="169">
        <f>P101*IFERROR(VLOOKUP(A101,[1]Tørstofindhold!A$2:B$24,2,FALSE),0)</f>
        <v>0</v>
      </c>
      <c r="W101">
        <f>IF(F101=År1,Q101,SUM(P101,Q101))*IFERROR(VLOOKUP(A101,[1]Tørstofindhold!A$2:B$24,2,FALSE),0)</f>
        <v>0</v>
      </c>
      <c r="X101">
        <f>K101*IFERROR(VLOOKUP(A101,[1]Tørstofindhold!A$2:B$24,2,FALSE),0)</f>
        <v>0</v>
      </c>
      <c r="Y101" s="170">
        <f t="shared" si="21"/>
        <v>0</v>
      </c>
      <c r="Z101">
        <f t="shared" ca="1" si="24"/>
        <v>0</v>
      </c>
      <c r="AA101">
        <f t="shared" ca="1" si="25"/>
        <v>1</v>
      </c>
      <c r="AC101" s="94">
        <f t="shared" ca="1" si="22"/>
        <v>210893.104623419</v>
      </c>
      <c r="AD101">
        <f ca="1">AC101*E101*10000*VLOOKUP(A101,[1]kcal!$A$2:$C$49,3,FALSE)/1000000000000</f>
        <v>1.464652611609645</v>
      </c>
    </row>
    <row r="102" spans="1:30" x14ac:dyDescent="0.25">
      <c r="A102" s="171" t="str">
        <f t="shared" si="11"/>
        <v>Bioaffald</v>
      </c>
      <c r="B102" s="171" t="str">
        <f t="shared" si="12"/>
        <v>Bionedbrydeligt affald</v>
      </c>
      <c r="C102" s="171" t="str">
        <f>IFERROR(VLOOKUP(A102,'Kategorisering af kcal'!$J$2:$K$18,2,FALSE),"")</f>
        <v/>
      </c>
      <c r="D102" s="171">
        <f>IF(COUNTIFS('Resultater - Danmark'!$D$3:$D$504,'Produktion &amp; forbrug'!A102,'Resultater - Danmark'!$A$3:$A$504,"Til energi")+COUNTIFS('Resultater - Danmark'!$D$3:$D$504,'Produktion &amp; forbrug'!A102,'Resultater - Danmark'!$A$3:$A$504,"Biogasanlæg")&gt;0,1,0)</f>
        <v>1</v>
      </c>
      <c r="E102" s="171">
        <f t="shared" si="14"/>
        <v>0</v>
      </c>
      <c r="F102" s="171">
        <f t="shared" si="23"/>
        <v>2050</v>
      </c>
      <c r="G102" s="94">
        <f ca="1">SUMIFS('Resultat-Produktion &amp; forbrug'!G$4:G$291,'Resultat-Produktion &amp; forbrug'!$A$4:$A$291,'Produktion &amp; forbrug'!$A102,'Resultat-Produktion &amp; forbrug'!$E$4:$E$291,'Produktion &amp; forbrug'!$F102)</f>
        <v>369776.8151095995</v>
      </c>
      <c r="H102" s="94">
        <f>SUMIFS('Resultat-Produktion &amp; forbrug'!H$4:H$291,'Resultat-Produktion &amp; forbrug'!$A$4:$A$291,'Produktion &amp; forbrug'!$A102,'Resultat-Produktion &amp; forbrug'!$E$4:$E$291,'Produktion &amp; forbrug'!$F102)</f>
        <v>0</v>
      </c>
      <c r="I102" s="94">
        <f>SUMIFS('Resultat-Produktion &amp; forbrug'!I$4:I$291,'Resultat-Produktion &amp; forbrug'!$A$4:$A$291,'Produktion &amp; forbrug'!$A102,'Resultat-Produktion &amp; forbrug'!$E$4:$E$291,'Produktion &amp; forbrug'!$F102)</f>
        <v>0</v>
      </c>
      <c r="J102" s="94">
        <f>SUMIFS('Resultat-Produktion &amp; forbrug'!J$4:J$291,'Resultat-Produktion &amp; forbrug'!$A$4:$A$291,'Produktion &amp; forbrug'!$A102,'Resultat-Produktion &amp; forbrug'!$E$4:$E$291,'Produktion &amp; forbrug'!$F102)</f>
        <v>0</v>
      </c>
      <c r="K102" s="94">
        <f ca="1">SUMIFS('Resultat-Produktion &amp; forbrug'!K$4:K$291,'Resultat-Produktion &amp; forbrug'!$A$4:$A$291,'Produktion &amp; forbrug'!$A102,'Resultat-Produktion &amp; forbrug'!$E$4:$E$291,'Produktion &amp; forbrug'!$F102)</f>
        <v>0</v>
      </c>
      <c r="L102" s="94">
        <f>SUMIFS('Resultat-Produktion &amp; forbrug'!L$4:L$291,'Resultat-Produktion &amp; forbrug'!$A$4:$A$291,'Produktion &amp; forbrug'!$A102,'Resultat-Produktion &amp; forbrug'!$E$4:$E$291,'Produktion &amp; forbrug'!$F102)</f>
        <v>0</v>
      </c>
      <c r="M102" s="94">
        <f ca="1">SUMIFS('Resultat-Produktion &amp; forbrug'!M$4:M$291,'Resultat-Produktion &amp; forbrug'!$A$4:$A$291,'Produktion &amp; forbrug'!$A102,'Resultat-Produktion &amp; forbrug'!$E$4:$E$291,'Produktion &amp; forbrug'!$F102)</f>
        <v>369776.8151095995</v>
      </c>
      <c r="N102" s="94">
        <f ca="1">SUMIFS('Resultat-Produktion &amp; forbrug'!N$4:N$291,'Resultat-Produktion &amp; forbrug'!$A$4:$A$291,'Produktion &amp; forbrug'!$A102,'Resultat-Produktion &amp; forbrug'!$E$4:$E$291,'Produktion &amp; forbrug'!$F102)</f>
        <v>0</v>
      </c>
      <c r="O102" s="179">
        <f t="shared" ca="1" si="17"/>
        <v>0</v>
      </c>
      <c r="P102" s="94">
        <f t="shared" ca="1" si="18"/>
        <v>0</v>
      </c>
      <c r="Q102" s="180">
        <f t="shared" ca="1" si="19"/>
        <v>369776.8151095995</v>
      </c>
      <c r="R102">
        <f ca="1">IFERROR(VLOOKUP(A102,[1]Energiindhold!$A$2:$C$11,3,FALSE),IFERROR(VLOOKUP(A102,[1]Biogasudbytte!$A$2:$B$18,2,FALSE)*[1]Energiindhold!$C$10,0))*P102</f>
        <v>0</v>
      </c>
      <c r="S102">
        <f ca="1">IF(A102&lt;&gt;"Biogas",IFERROR(VLOOKUP(A102,[1]Biogasudbytte!$A$2:$B$18,2,FALSE)*[1]Energiindhold!$C$10,0)*K102*IFERROR(VLOOKUP(A102,Biogasanlæg!$F$3:$G$8,2,FALSE),1)+IFERROR(VLOOKUP(A102,[1]Energiindhold!$A$2:$C$11,3,FALSE),0)*M102+IF(F102&lt;&gt;År1,R102,0),0)</f>
        <v>6.6013372467689999</v>
      </c>
      <c r="T102">
        <f ca="1">IFERROR(VLOOKUP(A102,[1]Biogasudbytte!$A$2:$B$18,2,FALSE)*[1]Energiindhold!$C$10,0)*K102*IFERROR(VLOOKUP(A102,Biogasanlæg!$F$3:$G$8,2,FALSE),1)</f>
        <v>0</v>
      </c>
      <c r="U102" s="170">
        <f t="shared" ca="1" si="20"/>
        <v>6.6013372467689999</v>
      </c>
      <c r="V102" s="169">
        <f ca="1">P102*IFERROR(VLOOKUP(A102,[1]Tørstofindhold!A$2:B$24,2,FALSE),0)</f>
        <v>0</v>
      </c>
      <c r="W102">
        <f ca="1">IF(F102=År1,Q102,SUM(P102,Q102))*IFERROR(VLOOKUP(A102,[1]Tørstofindhold!A$2:B$24,2,FALSE),0)</f>
        <v>103537.50823068788</v>
      </c>
      <c r="X102">
        <f ca="1">K102*IFERROR(VLOOKUP(A102,[1]Tørstofindhold!A$2:B$24,2,FALSE),0)</f>
        <v>0</v>
      </c>
      <c r="Y102" s="170">
        <f t="shared" ca="1" si="21"/>
        <v>103537.50823068788</v>
      </c>
      <c r="Z102">
        <f t="shared" ca="1" si="24"/>
        <v>0</v>
      </c>
      <c r="AA102">
        <f t="shared" ca="1" si="25"/>
        <v>0</v>
      </c>
      <c r="AC102" s="94">
        <f t="shared" ca="1" si="22"/>
        <v>369776.8151095995</v>
      </c>
      <c r="AD102">
        <f ca="1">AC102*E102*10000*VLOOKUP(A102,[1]kcal!$A$2:$C$49,3,FALSE)/1000000000000</f>
        <v>0</v>
      </c>
    </row>
    <row r="103" spans="1:30" x14ac:dyDescent="0.25">
      <c r="A103" s="171" t="str">
        <f t="shared" si="11"/>
        <v>Biogas</v>
      </c>
      <c r="B103" s="171" t="str">
        <f t="shared" si="12"/>
        <v/>
      </c>
      <c r="C103" s="171" t="str">
        <f>IFERROR(VLOOKUP(A103,'Kategorisering af kcal'!$J$2:$K$18,2,FALSE),"")</f>
        <v/>
      </c>
      <c r="D103" s="171">
        <f>IF(COUNTIFS('Resultater - Danmark'!$D$3:$D$504,'Produktion &amp; forbrug'!A103,'Resultater - Danmark'!$A$3:$A$504,"Til energi")+COUNTIFS('Resultater - Danmark'!$D$3:$D$504,'Produktion &amp; forbrug'!A103,'Resultater - Danmark'!$A$3:$A$504,"Biogasanlæg")&gt;0,1,0)</f>
        <v>1</v>
      </c>
      <c r="E103" s="171">
        <f t="shared" si="14"/>
        <v>0</v>
      </c>
      <c r="F103" s="171">
        <f t="shared" si="23"/>
        <v>2050</v>
      </c>
      <c r="G103" s="94">
        <f ca="1">SUMIFS('Resultat-Produktion &amp; forbrug'!G$4:G$291,'Resultat-Produktion &amp; forbrug'!$A$4:$A$291,'Produktion &amp; forbrug'!$A103,'Resultat-Produktion &amp; forbrug'!$E$4:$E$291,'Produktion &amp; forbrug'!$F103)</f>
        <v>691433626.95155251</v>
      </c>
      <c r="H103" s="94">
        <f>SUMIFS('Resultat-Produktion &amp; forbrug'!H$4:H$291,'Resultat-Produktion &amp; forbrug'!$A$4:$A$291,'Produktion &amp; forbrug'!$A103,'Resultat-Produktion &amp; forbrug'!$E$4:$E$291,'Produktion &amp; forbrug'!$F103)</f>
        <v>0</v>
      </c>
      <c r="I103" s="94">
        <f>SUMIFS('Resultat-Produktion &amp; forbrug'!I$4:I$291,'Resultat-Produktion &amp; forbrug'!$A$4:$A$291,'Produktion &amp; forbrug'!$A103,'Resultat-Produktion &amp; forbrug'!$E$4:$E$291,'Produktion &amp; forbrug'!$F103)</f>
        <v>0</v>
      </c>
      <c r="J103" s="94">
        <f>SUMIFS('Resultat-Produktion &amp; forbrug'!J$4:J$291,'Resultat-Produktion &amp; forbrug'!$A$4:$A$291,'Produktion &amp; forbrug'!$A103,'Resultat-Produktion &amp; forbrug'!$E$4:$E$291,'Produktion &amp; forbrug'!$F103)</f>
        <v>0</v>
      </c>
      <c r="K103" s="94">
        <f>SUMIFS('Resultat-Produktion &amp; forbrug'!K$4:K$291,'Resultat-Produktion &amp; forbrug'!$A$4:$A$291,'Produktion &amp; forbrug'!$A103,'Resultat-Produktion &amp; forbrug'!$E$4:$E$291,'Produktion &amp; forbrug'!$F103)</f>
        <v>0</v>
      </c>
      <c r="L103" s="94">
        <f>SUMIFS('Resultat-Produktion &amp; forbrug'!L$4:L$291,'Resultat-Produktion &amp; forbrug'!$A$4:$A$291,'Produktion &amp; forbrug'!$A103,'Resultat-Produktion &amp; forbrug'!$E$4:$E$291,'Produktion &amp; forbrug'!$F103)</f>
        <v>0</v>
      </c>
      <c r="M103" s="94">
        <f ca="1">SUMIFS('Resultat-Produktion &amp; forbrug'!M$4:M$291,'Resultat-Produktion &amp; forbrug'!$A$4:$A$291,'Produktion &amp; forbrug'!$A103,'Resultat-Produktion &amp; forbrug'!$E$4:$E$291,'Produktion &amp; forbrug'!$F103)</f>
        <v>691433626.95155251</v>
      </c>
      <c r="N103" s="94">
        <f>SUMIFS('Resultat-Produktion &amp; forbrug'!N$4:N$291,'Resultat-Produktion &amp; forbrug'!$A$4:$A$291,'Produktion &amp; forbrug'!$A103,'Resultat-Produktion &amp; forbrug'!$E$4:$E$291,'Produktion &amp; forbrug'!$F103)</f>
        <v>0</v>
      </c>
      <c r="O103" s="179">
        <f t="shared" ca="1" si="17"/>
        <v>0</v>
      </c>
      <c r="P103" s="94">
        <f t="shared" ca="1" si="18"/>
        <v>0</v>
      </c>
      <c r="Q103" s="180">
        <f t="shared" ca="1" si="19"/>
        <v>691433626.95155251</v>
      </c>
      <c r="R103">
        <f ca="1">IFERROR(VLOOKUP(A103,[1]Energiindhold!$A$2:$C$11,3,FALSE),IFERROR(VLOOKUP(A103,[1]Biogasudbytte!$A$2:$B$18,2,FALSE)*[1]Energiindhold!$C$10,0))*P103</f>
        <v>0</v>
      </c>
      <c r="S103">
        <f>IF(A103&lt;&gt;"Biogas",IFERROR(VLOOKUP(A103,[1]Biogasudbytte!$A$2:$B$18,2,FALSE)*[1]Energiindhold!$C$10,0)*K103*IFERROR(VLOOKUP(A103,Biogasanlæg!$F$3:$G$8,2,FALSE),1)+IFERROR(VLOOKUP(A103,[1]Energiindhold!$A$2:$C$11,3,FALSE),0)*M103+IF(F103&lt;&gt;År1,R103,0),0)</f>
        <v>0</v>
      </c>
      <c r="T103">
        <f>IFERROR(VLOOKUP(A103,[1]Biogasudbytte!$A$2:$B$18,2,FALSE)*[1]Energiindhold!$C$10,0)*K103*IFERROR(VLOOKUP(A103,Biogasanlæg!$F$3:$G$8,2,FALSE),1)</f>
        <v>0</v>
      </c>
      <c r="U103" s="170">
        <f t="shared" si="20"/>
        <v>0</v>
      </c>
      <c r="V103" s="169">
        <f ca="1">P103*IFERROR(VLOOKUP(A103,[1]Tørstofindhold!A$2:B$24,2,FALSE),0)</f>
        <v>0</v>
      </c>
      <c r="W103">
        <f ca="1">IF(F103=År1,Q103,SUM(P103,Q103))*IFERROR(VLOOKUP(A103,[1]Tørstofindhold!A$2:B$24,2,FALSE),0)</f>
        <v>0</v>
      </c>
      <c r="X103">
        <f>K103*IFERROR(VLOOKUP(A103,[1]Tørstofindhold!A$2:B$24,2,FALSE),0)</f>
        <v>0</v>
      </c>
      <c r="Y103" s="170">
        <f t="shared" ca="1" si="21"/>
        <v>0</v>
      </c>
      <c r="Z103">
        <f t="shared" ca="1" si="24"/>
        <v>0</v>
      </c>
      <c r="AA103">
        <f t="shared" ca="1" si="25"/>
        <v>0</v>
      </c>
      <c r="AC103" s="94">
        <f t="shared" ca="1" si="22"/>
        <v>691433626.95155251</v>
      </c>
      <c r="AD103">
        <f ca="1">AC103*E103*10000*VLOOKUP(A103,[1]kcal!$A$2:$C$49,3,FALSE)/1000000000000</f>
        <v>0</v>
      </c>
    </row>
    <row r="104" spans="1:30" x14ac:dyDescent="0.25">
      <c r="A104" s="171" t="str">
        <f t="shared" si="11"/>
        <v>Biogasgylle</v>
      </c>
      <c r="B104" s="171" t="str">
        <f t="shared" si="12"/>
        <v/>
      </c>
      <c r="C104" s="171" t="str">
        <f>IFERROR(VLOOKUP(A104,'Kategorisering af kcal'!$J$2:$K$18,2,FALSE),"")</f>
        <v/>
      </c>
      <c r="D104" s="171">
        <f>IF(COUNTIFS('Resultater - Danmark'!$D$3:$D$504,'Produktion &amp; forbrug'!A104,'Resultater - Danmark'!$A$3:$A$504,"Til energi")+COUNTIFS('Resultater - Danmark'!$D$3:$D$504,'Produktion &amp; forbrug'!A104,'Resultater - Danmark'!$A$3:$A$504,"Biogasanlæg")&gt;0,1,0)</f>
        <v>0</v>
      </c>
      <c r="E104" s="171">
        <f t="shared" si="14"/>
        <v>0</v>
      </c>
      <c r="F104" s="171">
        <f t="shared" si="23"/>
        <v>2050</v>
      </c>
      <c r="G104" s="94">
        <f ca="1">SUMIFS('Resultat-Produktion &amp; forbrug'!G$4:G$291,'Resultat-Produktion &amp; forbrug'!$A$4:$A$291,'Produktion &amp; forbrug'!$A104,'Resultat-Produktion &amp; forbrug'!$E$4:$E$291,'Produktion &amp; forbrug'!$F104)</f>
        <v>33318090.389208868</v>
      </c>
      <c r="H104" s="94">
        <f>SUMIFS('Resultat-Produktion &amp; forbrug'!H$4:H$291,'Resultat-Produktion &amp; forbrug'!$A$4:$A$291,'Produktion &amp; forbrug'!$A104,'Resultat-Produktion &amp; forbrug'!$E$4:$E$291,'Produktion &amp; forbrug'!$F104)</f>
        <v>0</v>
      </c>
      <c r="I104" s="94">
        <f>SUMIFS('Resultat-Produktion &amp; forbrug'!I$4:I$291,'Resultat-Produktion &amp; forbrug'!$A$4:$A$291,'Produktion &amp; forbrug'!$A104,'Resultat-Produktion &amp; forbrug'!$E$4:$E$291,'Produktion &amp; forbrug'!$F104)</f>
        <v>0</v>
      </c>
      <c r="J104" s="94">
        <f>SUMIFS('Resultat-Produktion &amp; forbrug'!J$4:J$291,'Resultat-Produktion &amp; forbrug'!$A$4:$A$291,'Produktion &amp; forbrug'!$A104,'Resultat-Produktion &amp; forbrug'!$E$4:$E$291,'Produktion &amp; forbrug'!$F104)</f>
        <v>0</v>
      </c>
      <c r="K104" s="94">
        <f>SUMIFS('Resultat-Produktion &amp; forbrug'!K$4:K$291,'Resultat-Produktion &amp; forbrug'!$A$4:$A$291,'Produktion &amp; forbrug'!$A104,'Resultat-Produktion &amp; forbrug'!$E$4:$E$291,'Produktion &amp; forbrug'!$F104)</f>
        <v>0</v>
      </c>
      <c r="L104" s="94">
        <f ca="1">SUMIFS('Resultat-Produktion &amp; forbrug'!L$4:L$291,'Resultat-Produktion &amp; forbrug'!$A$4:$A$291,'Produktion &amp; forbrug'!$A104,'Resultat-Produktion &amp; forbrug'!$E$4:$E$291,'Produktion &amp; forbrug'!$F104)</f>
        <v>26291745.297047496</v>
      </c>
      <c r="M104" s="94">
        <f>SUMIFS('Resultat-Produktion &amp; forbrug'!M$4:M$291,'Resultat-Produktion &amp; forbrug'!$A$4:$A$291,'Produktion &amp; forbrug'!$A104,'Resultat-Produktion &amp; forbrug'!$E$4:$E$291,'Produktion &amp; forbrug'!$F104)</f>
        <v>0</v>
      </c>
      <c r="N104" s="94">
        <f>SUMIFS('Resultat-Produktion &amp; forbrug'!N$4:N$291,'Resultat-Produktion &amp; forbrug'!$A$4:$A$291,'Produktion &amp; forbrug'!$A104,'Resultat-Produktion &amp; forbrug'!$E$4:$E$291,'Produktion &amp; forbrug'!$F104)</f>
        <v>0</v>
      </c>
      <c r="O104" s="179">
        <f t="shared" ca="1" si="17"/>
        <v>7026345.0921613723</v>
      </c>
      <c r="P104" s="94">
        <f t="shared" si="18"/>
        <v>0</v>
      </c>
      <c r="Q104" s="180">
        <f t="shared" si="19"/>
        <v>0</v>
      </c>
      <c r="R104">
        <f>IFERROR(VLOOKUP(A104,[1]Energiindhold!$A$2:$C$11,3,FALSE),IFERROR(VLOOKUP(A104,[1]Biogasudbytte!$A$2:$B$18,2,FALSE)*[1]Energiindhold!$C$10,0))*P104</f>
        <v>0</v>
      </c>
      <c r="S104">
        <f>IF(A104&lt;&gt;"Biogas",IFERROR(VLOOKUP(A104,[1]Biogasudbytte!$A$2:$B$18,2,FALSE)*[1]Energiindhold!$C$10,0)*K104*IFERROR(VLOOKUP(A104,Biogasanlæg!$F$3:$G$8,2,FALSE),1)+IFERROR(VLOOKUP(A104,[1]Energiindhold!$A$2:$C$11,3,FALSE),0)*M104+IF(F104&lt;&gt;År1,R104,0),0)</f>
        <v>0</v>
      </c>
      <c r="T104">
        <f>IFERROR(VLOOKUP(A104,[1]Biogasudbytte!$A$2:$B$18,2,FALSE)*[1]Energiindhold!$C$10,0)*K104*IFERROR(VLOOKUP(A104,Biogasanlæg!$F$3:$G$8,2,FALSE),1)</f>
        <v>0</v>
      </c>
      <c r="U104" s="170">
        <f t="shared" si="20"/>
        <v>0</v>
      </c>
      <c r="V104" s="169">
        <f>P104*IFERROR(VLOOKUP(A104,[1]Tørstofindhold!A$2:B$24,2,FALSE),0)</f>
        <v>0</v>
      </c>
      <c r="W104">
        <f>IF(F104=År1,Q104,SUM(P104,Q104))*IFERROR(VLOOKUP(A104,[1]Tørstofindhold!A$2:B$24,2,FALSE),0)</f>
        <v>0</v>
      </c>
      <c r="X104">
        <f>K104*IFERROR(VLOOKUP(A104,[1]Tørstofindhold!A$2:B$24,2,FALSE),0)</f>
        <v>0</v>
      </c>
      <c r="Y104" s="170">
        <f t="shared" si="21"/>
        <v>0</v>
      </c>
      <c r="Z104">
        <f t="shared" ca="1" si="24"/>
        <v>0</v>
      </c>
      <c r="AA104">
        <f t="shared" ca="1" si="25"/>
        <v>1</v>
      </c>
      <c r="AC104" s="94">
        <f t="shared" ca="1" si="22"/>
        <v>7026345.0921613723</v>
      </c>
      <c r="AD104">
        <f ca="1">AC104*E104*10000*VLOOKUP(A104,[1]kcal!$A$2:$C$49,3,FALSE)/1000000000000</f>
        <v>0</v>
      </c>
    </row>
    <row r="105" spans="1:30" x14ac:dyDescent="0.25">
      <c r="A105" s="171" t="str">
        <f t="shared" si="11"/>
        <v>Brun saft</v>
      </c>
      <c r="B105" s="171" t="str">
        <f t="shared" si="12"/>
        <v>Bionedbrydeligt affald</v>
      </c>
      <c r="C105" s="171" t="str">
        <f>IFERROR(VLOOKUP(A105,'Kategorisering af kcal'!$J$2:$K$18,2,FALSE),"")</f>
        <v/>
      </c>
      <c r="D105" s="171">
        <f>IF(COUNTIFS('Resultater - Danmark'!$D$3:$D$504,'Produktion &amp; forbrug'!A105,'Resultater - Danmark'!$A$3:$A$504,"Til energi")+COUNTIFS('Resultater - Danmark'!$D$3:$D$504,'Produktion &amp; forbrug'!A105,'Resultater - Danmark'!$A$3:$A$504,"Biogasanlæg")&gt;0,1,0)</f>
        <v>1</v>
      </c>
      <c r="E105" s="171">
        <f t="shared" si="14"/>
        <v>0</v>
      </c>
      <c r="F105" s="171">
        <f t="shared" si="23"/>
        <v>2050</v>
      </c>
      <c r="G105" s="94">
        <f ca="1">SUMIFS('Resultat-Produktion &amp; forbrug'!G$4:G$291,'Resultat-Produktion &amp; forbrug'!$A$4:$A$291,'Produktion &amp; forbrug'!$A105,'Resultat-Produktion &amp; forbrug'!$E$4:$E$291,'Produktion &amp; forbrug'!$F105)</f>
        <v>0</v>
      </c>
      <c r="H105" s="94">
        <f>SUMIFS('Resultat-Produktion &amp; forbrug'!H$4:H$291,'Resultat-Produktion &amp; forbrug'!$A$4:$A$291,'Produktion &amp; forbrug'!$A105,'Resultat-Produktion &amp; forbrug'!$E$4:$E$291,'Produktion &amp; forbrug'!$F105)</f>
        <v>0</v>
      </c>
      <c r="I105" s="94">
        <f>SUMIFS('Resultat-Produktion &amp; forbrug'!I$4:I$291,'Resultat-Produktion &amp; forbrug'!$A$4:$A$291,'Produktion &amp; forbrug'!$A105,'Resultat-Produktion &amp; forbrug'!$E$4:$E$291,'Produktion &amp; forbrug'!$F105)</f>
        <v>0</v>
      </c>
      <c r="J105" s="94">
        <f>SUMIFS('Resultat-Produktion &amp; forbrug'!J$4:J$291,'Resultat-Produktion &amp; forbrug'!$A$4:$A$291,'Produktion &amp; forbrug'!$A105,'Resultat-Produktion &amp; forbrug'!$E$4:$E$291,'Produktion &amp; forbrug'!$F105)</f>
        <v>0</v>
      </c>
      <c r="K105" s="94">
        <f ca="1">SUMIFS('Resultat-Produktion &amp; forbrug'!K$4:K$291,'Resultat-Produktion &amp; forbrug'!$A$4:$A$291,'Produktion &amp; forbrug'!$A105,'Resultat-Produktion &amp; forbrug'!$E$4:$E$291,'Produktion &amp; forbrug'!$F105)</f>
        <v>0</v>
      </c>
      <c r="L105" s="94">
        <f>SUMIFS('Resultat-Produktion &amp; forbrug'!L$4:L$291,'Resultat-Produktion &amp; forbrug'!$A$4:$A$291,'Produktion &amp; forbrug'!$A105,'Resultat-Produktion &amp; forbrug'!$E$4:$E$291,'Produktion &amp; forbrug'!$F105)</f>
        <v>0</v>
      </c>
      <c r="M105" s="94">
        <f>SUMIFS('Resultat-Produktion &amp; forbrug'!M$4:M$291,'Resultat-Produktion &amp; forbrug'!$A$4:$A$291,'Produktion &amp; forbrug'!$A105,'Resultat-Produktion &amp; forbrug'!$E$4:$E$291,'Produktion &amp; forbrug'!$F105)</f>
        <v>0</v>
      </c>
      <c r="N105" s="94">
        <f>SUMIFS('Resultat-Produktion &amp; forbrug'!N$4:N$291,'Resultat-Produktion &amp; forbrug'!$A$4:$A$291,'Produktion &amp; forbrug'!$A105,'Resultat-Produktion &amp; forbrug'!$E$4:$E$291,'Produktion &amp; forbrug'!$F105)</f>
        <v>0</v>
      </c>
      <c r="O105" s="179">
        <f t="shared" ca="1" si="17"/>
        <v>0</v>
      </c>
      <c r="P105" s="94">
        <f t="shared" ca="1" si="18"/>
        <v>0</v>
      </c>
      <c r="Q105" s="180">
        <f t="shared" ca="1" si="19"/>
        <v>0</v>
      </c>
      <c r="R105">
        <f ca="1">IFERROR(VLOOKUP(A105,[1]Energiindhold!$A$2:$C$11,3,FALSE),IFERROR(VLOOKUP(A105,[1]Biogasudbytte!$A$2:$B$18,2,FALSE)*[1]Energiindhold!$C$10,0))*P105</f>
        <v>0</v>
      </c>
      <c r="S105">
        <f ca="1">IF(A105&lt;&gt;"Biogas",IFERROR(VLOOKUP(A105,[1]Biogasudbytte!$A$2:$B$18,2,FALSE)*[1]Energiindhold!$C$10,0)*K105*IFERROR(VLOOKUP(A105,Biogasanlæg!$F$3:$G$8,2,FALSE),1)+IFERROR(VLOOKUP(A105,[1]Energiindhold!$A$2:$C$11,3,FALSE),0)*M105+IF(F105&lt;&gt;År1,R105,0),0)</f>
        <v>0</v>
      </c>
      <c r="T105">
        <f ca="1">IFERROR(VLOOKUP(A105,[1]Biogasudbytte!$A$2:$B$18,2,FALSE)*[1]Energiindhold!$C$10,0)*K105*IFERROR(VLOOKUP(A105,Biogasanlæg!$F$3:$G$8,2,FALSE),1)</f>
        <v>0</v>
      </c>
      <c r="U105" s="170">
        <f t="shared" ca="1" si="20"/>
        <v>0</v>
      </c>
      <c r="V105" s="169">
        <f ca="1">P105*IFERROR(VLOOKUP(A105,[1]Tørstofindhold!A$2:B$24,2,FALSE),0)</f>
        <v>0</v>
      </c>
      <c r="W105">
        <f ca="1">IF(F105=År1,Q105,SUM(P105,Q105))*IFERROR(VLOOKUP(A105,[1]Tørstofindhold!A$2:B$24,2,FALSE),0)</f>
        <v>0</v>
      </c>
      <c r="X105">
        <f ca="1">K105*IFERROR(VLOOKUP(A105,[1]Tørstofindhold!A$2:B$24,2,FALSE),0)</f>
        <v>0</v>
      </c>
      <c r="Y105" s="170">
        <f t="shared" ca="1" si="21"/>
        <v>0</v>
      </c>
      <c r="Z105">
        <f t="shared" ca="1" si="24"/>
        <v>0</v>
      </c>
      <c r="AA105">
        <f t="shared" ca="1" si="25"/>
        <v>0</v>
      </c>
      <c r="AC105" s="94">
        <f t="shared" ca="1" si="22"/>
        <v>0</v>
      </c>
      <c r="AD105">
        <f ca="1">AC105*E105*10000*VLOOKUP(A105,[1]kcal!$A$2:$C$49,3,FALSE)/1000000000000</f>
        <v>0</v>
      </c>
    </row>
    <row r="106" spans="1:30" x14ac:dyDescent="0.25">
      <c r="A106" s="171" t="str">
        <f t="shared" si="11"/>
        <v>Dybstrøelse</v>
      </c>
      <c r="B106" s="171" t="str">
        <f t="shared" si="12"/>
        <v>Husdyrgødning</v>
      </c>
      <c r="C106" s="171" t="str">
        <f>IFERROR(VLOOKUP(A106,'Kategorisering af kcal'!$J$2:$K$18,2,FALSE),"")</f>
        <v/>
      </c>
      <c r="D106" s="171">
        <f>IF(COUNTIFS('Resultater - Danmark'!$D$3:$D$504,'Produktion &amp; forbrug'!A106,'Resultater - Danmark'!$A$3:$A$504,"Til energi")+COUNTIFS('Resultater - Danmark'!$D$3:$D$504,'Produktion &amp; forbrug'!A106,'Resultater - Danmark'!$A$3:$A$504,"Biogasanlæg")&gt;0,1,0)</f>
        <v>1</v>
      </c>
      <c r="E106" s="171">
        <f t="shared" si="14"/>
        <v>0</v>
      </c>
      <c r="F106" s="171">
        <f t="shared" si="23"/>
        <v>2050</v>
      </c>
      <c r="G106" s="94">
        <f ca="1">SUMIFS('Resultat-Produktion &amp; forbrug'!G$4:G$291,'Resultat-Produktion &amp; forbrug'!$A$4:$A$291,'Produktion &amp; forbrug'!$A106,'Resultat-Produktion &amp; forbrug'!$E$4:$E$291,'Produktion &amp; forbrug'!$F106)</f>
        <v>2879232.6979424451</v>
      </c>
      <c r="H106" s="94">
        <f>SUMIFS('Resultat-Produktion &amp; forbrug'!H$4:H$291,'Resultat-Produktion &amp; forbrug'!$A$4:$A$291,'Produktion &amp; forbrug'!$A106,'Resultat-Produktion &amp; forbrug'!$E$4:$E$291,'Produktion &amp; forbrug'!$F106)</f>
        <v>0</v>
      </c>
      <c r="I106" s="94">
        <f>SUMIFS('Resultat-Produktion &amp; forbrug'!I$4:I$291,'Resultat-Produktion &amp; forbrug'!$A$4:$A$291,'Produktion &amp; forbrug'!$A106,'Resultat-Produktion &amp; forbrug'!$E$4:$E$291,'Produktion &amp; forbrug'!$F106)</f>
        <v>0</v>
      </c>
      <c r="J106" s="94">
        <f>SUMIFS('Resultat-Produktion &amp; forbrug'!J$4:J$291,'Resultat-Produktion &amp; forbrug'!$A$4:$A$291,'Produktion &amp; forbrug'!$A106,'Resultat-Produktion &amp; forbrug'!$E$4:$E$291,'Produktion &amp; forbrug'!$F106)</f>
        <v>0</v>
      </c>
      <c r="K106" s="94">
        <f ca="1">SUMIFS('Resultat-Produktion &amp; forbrug'!K$4:K$291,'Resultat-Produktion &amp; forbrug'!$A$4:$A$291,'Produktion &amp; forbrug'!$A106,'Resultat-Produktion &amp; forbrug'!$E$4:$E$291,'Produktion &amp; forbrug'!$F106)</f>
        <v>2591309.4281482003</v>
      </c>
      <c r="L106" s="94">
        <f ca="1">SUMIFS('Resultat-Produktion &amp; forbrug'!L$4:L$291,'Resultat-Produktion &amp; forbrug'!$A$4:$A$291,'Produktion &amp; forbrug'!$A106,'Resultat-Produktion &amp; forbrug'!$E$4:$E$291,'Produktion &amp; forbrug'!$F106)</f>
        <v>108999.52356496397</v>
      </c>
      <c r="M106" s="94">
        <f>SUMIFS('Resultat-Produktion &amp; forbrug'!M$4:M$291,'Resultat-Produktion &amp; forbrug'!$A$4:$A$291,'Produktion &amp; forbrug'!$A106,'Resultat-Produktion &amp; forbrug'!$E$4:$E$291,'Produktion &amp; forbrug'!$F106)</f>
        <v>0</v>
      </c>
      <c r="N106" s="94">
        <f>SUMIFS('Resultat-Produktion &amp; forbrug'!N$4:N$291,'Resultat-Produktion &amp; forbrug'!$A$4:$A$291,'Produktion &amp; forbrug'!$A106,'Resultat-Produktion &amp; forbrug'!$E$4:$E$291,'Produktion &amp; forbrug'!$F106)</f>
        <v>0</v>
      </c>
      <c r="O106" s="179">
        <f t="shared" ca="1" si="17"/>
        <v>178923.74622928072</v>
      </c>
      <c r="P106" s="94">
        <f t="shared" ca="1" si="18"/>
        <v>178923.74622928072</v>
      </c>
      <c r="Q106" s="180">
        <f t="shared" ca="1" si="19"/>
        <v>2591309.4281482003</v>
      </c>
      <c r="R106">
        <f ca="1">IFERROR(VLOOKUP(A106,[1]Energiindhold!$A$2:$C$11,3,FALSE),IFERROR(VLOOKUP(A106,[1]Biogasudbytte!$A$2:$B$18,2,FALSE)*[1]Energiindhold!$C$10,0))*P106</f>
        <v>0.38540174937787069</v>
      </c>
      <c r="S106">
        <f ca="1">IF(A106&lt;&gt;"Biogas",IFERROR(VLOOKUP(A106,[1]Biogasudbytte!$A$2:$B$18,2,FALSE)*[1]Energiindhold!$C$10,0)*K106*IFERROR(VLOOKUP(A106,Biogasanlæg!$F$3:$G$8,2,FALSE),1)+IFERROR(VLOOKUP(A106,[1]Energiindhold!$A$2:$C$11,3,FALSE),0)*M106+IF(F106&lt;&gt;År1,R106,0),0)</f>
        <v>5.9670822576090945</v>
      </c>
      <c r="T106">
        <f ca="1">IFERROR(VLOOKUP(A106,[1]Biogasudbytte!$A$2:$B$18,2,FALSE)*[1]Energiindhold!$C$10,0)*K106*IFERROR(VLOOKUP(A106,Biogasanlæg!$F$3:$G$8,2,FALSE),1)</f>
        <v>5.5816805082312237</v>
      </c>
      <c r="U106" s="170">
        <f t="shared" ca="1" si="20"/>
        <v>0.38540174937787075</v>
      </c>
      <c r="V106" s="169">
        <f ca="1">P106*IFERROR(VLOOKUP(A106,[1]Tørstofindhold!A$2:B$24,2,FALSE),0)</f>
        <v>53677.123868784212</v>
      </c>
      <c r="W106">
        <f ca="1">IF(F106=År1,Q106,SUM(P106,Q106))*IFERROR(VLOOKUP(A106,[1]Tørstofindhold!A$2:B$24,2,FALSE),0)</f>
        <v>831069.95231324423</v>
      </c>
      <c r="X106">
        <f ca="1">K106*IFERROR(VLOOKUP(A106,[1]Tørstofindhold!A$2:B$24,2,FALSE),0)</f>
        <v>777392.82844446006</v>
      </c>
      <c r="Y106" s="170">
        <f t="shared" ca="1" si="21"/>
        <v>53677.123868784169</v>
      </c>
      <c r="Z106">
        <f t="shared" ca="1" si="24"/>
        <v>0</v>
      </c>
      <c r="AA106">
        <f t="shared" ca="1" si="25"/>
        <v>1</v>
      </c>
      <c r="AC106" s="94">
        <f t="shared" ca="1" si="22"/>
        <v>178923.74622928072</v>
      </c>
      <c r="AD106">
        <f ca="1">AC106*E106*10000*VLOOKUP(A106,[1]kcal!$A$2:$C$49,3,FALSE)/1000000000000</f>
        <v>0</v>
      </c>
    </row>
    <row r="107" spans="1:30" x14ac:dyDescent="0.25">
      <c r="A107" s="171" t="str">
        <f t="shared" si="11"/>
        <v>Fiberfraktion</v>
      </c>
      <c r="B107" s="171" t="str">
        <f t="shared" si="12"/>
        <v/>
      </c>
      <c r="C107" s="171" t="str">
        <f>IFERROR(VLOOKUP(A107,'Kategorisering af kcal'!$J$2:$K$18,2,FALSE),"")</f>
        <v/>
      </c>
      <c r="D107" s="171">
        <f>IF(COUNTIFS('Resultater - Danmark'!$D$3:$D$504,'Produktion &amp; forbrug'!A107,'Resultater - Danmark'!$A$3:$A$504,"Til energi")+COUNTIFS('Resultater - Danmark'!$D$3:$D$504,'Produktion &amp; forbrug'!A107,'Resultater - Danmark'!$A$3:$A$504,"Biogasanlæg")&gt;0,1,0)</f>
        <v>0</v>
      </c>
      <c r="E107" s="171">
        <f t="shared" si="14"/>
        <v>0</v>
      </c>
      <c r="F107" s="171">
        <f t="shared" si="23"/>
        <v>2050</v>
      </c>
      <c r="G107" s="94">
        <f ca="1">SUMIFS('Resultat-Produktion &amp; forbrug'!G$4:G$291,'Resultat-Produktion &amp; forbrug'!$A$4:$A$291,'Produktion &amp; forbrug'!$A107,'Resultat-Produktion &amp; forbrug'!$E$4:$E$291,'Produktion &amp; forbrug'!$F107)</f>
        <v>0</v>
      </c>
      <c r="H107" s="94">
        <f ca="1">SUMIFS('Resultat-Produktion &amp; forbrug'!H$4:H$291,'Resultat-Produktion &amp; forbrug'!$A$4:$A$291,'Produktion &amp; forbrug'!$A107,'Resultat-Produktion &amp; forbrug'!$E$4:$E$291,'Produktion &amp; forbrug'!$F107)</f>
        <v>0</v>
      </c>
      <c r="I107" s="94">
        <f>SUMIFS('Resultat-Produktion &amp; forbrug'!I$4:I$291,'Resultat-Produktion &amp; forbrug'!$A$4:$A$291,'Produktion &amp; forbrug'!$A107,'Resultat-Produktion &amp; forbrug'!$E$4:$E$291,'Produktion &amp; forbrug'!$F107)</f>
        <v>0</v>
      </c>
      <c r="J107" s="94">
        <f>SUMIFS('Resultat-Produktion &amp; forbrug'!J$4:J$291,'Resultat-Produktion &amp; forbrug'!$A$4:$A$291,'Produktion &amp; forbrug'!$A107,'Resultat-Produktion &amp; forbrug'!$E$4:$E$291,'Produktion &amp; forbrug'!$F107)</f>
        <v>0</v>
      </c>
      <c r="K107" s="94">
        <f>SUMIFS('Resultat-Produktion &amp; forbrug'!K$4:K$291,'Resultat-Produktion &amp; forbrug'!$A$4:$A$291,'Produktion &amp; forbrug'!$A107,'Resultat-Produktion &amp; forbrug'!$E$4:$E$291,'Produktion &amp; forbrug'!$F107)</f>
        <v>0</v>
      </c>
      <c r="L107" s="94">
        <f>SUMIFS('Resultat-Produktion &amp; forbrug'!L$4:L$291,'Resultat-Produktion &amp; forbrug'!$A$4:$A$291,'Produktion &amp; forbrug'!$A107,'Resultat-Produktion &amp; forbrug'!$E$4:$E$291,'Produktion &amp; forbrug'!$F107)</f>
        <v>0</v>
      </c>
      <c r="M107" s="94">
        <f>SUMIFS('Resultat-Produktion &amp; forbrug'!M$4:M$291,'Resultat-Produktion &amp; forbrug'!$A$4:$A$291,'Produktion &amp; forbrug'!$A107,'Resultat-Produktion &amp; forbrug'!$E$4:$E$291,'Produktion &amp; forbrug'!$F107)</f>
        <v>0</v>
      </c>
      <c r="N107" s="94">
        <f>SUMIFS('Resultat-Produktion &amp; forbrug'!N$4:N$291,'Resultat-Produktion &amp; forbrug'!$A$4:$A$291,'Produktion &amp; forbrug'!$A107,'Resultat-Produktion &amp; forbrug'!$E$4:$E$291,'Produktion &amp; forbrug'!$F107)</f>
        <v>0</v>
      </c>
      <c r="O107" s="179">
        <f t="shared" ca="1" si="17"/>
        <v>0</v>
      </c>
      <c r="P107" s="94">
        <f t="shared" si="18"/>
        <v>0</v>
      </c>
      <c r="Q107" s="180">
        <f t="shared" si="19"/>
        <v>0</v>
      </c>
      <c r="R107">
        <f>IFERROR(VLOOKUP(A107,[1]Energiindhold!$A$2:$C$11,3,FALSE),IFERROR(VLOOKUP(A107,[1]Biogasudbytte!$A$2:$B$18,2,FALSE)*[1]Energiindhold!$C$10,0))*P107</f>
        <v>0</v>
      </c>
      <c r="S107">
        <f>IF(A107&lt;&gt;"Biogas",IFERROR(VLOOKUP(A107,[1]Biogasudbytte!$A$2:$B$18,2,FALSE)*[1]Energiindhold!$C$10,0)*K107*IFERROR(VLOOKUP(A107,Biogasanlæg!$F$3:$G$8,2,FALSE),1)+IFERROR(VLOOKUP(A107,[1]Energiindhold!$A$2:$C$11,3,FALSE),0)*M107+IF(F107&lt;&gt;År1,R107,0),0)</f>
        <v>0</v>
      </c>
      <c r="T107">
        <f>IFERROR(VLOOKUP(A107,[1]Biogasudbytte!$A$2:$B$18,2,FALSE)*[1]Energiindhold!$C$10,0)*K107*IFERROR(VLOOKUP(A107,Biogasanlæg!$F$3:$G$8,2,FALSE),1)</f>
        <v>0</v>
      </c>
      <c r="U107" s="170">
        <f t="shared" si="20"/>
        <v>0</v>
      </c>
      <c r="V107" s="169">
        <f>P107*IFERROR(VLOOKUP(A107,[1]Tørstofindhold!A$2:B$24,2,FALSE),0)</f>
        <v>0</v>
      </c>
      <c r="W107">
        <f>IF(F107=År1,Q107,SUM(P107,Q107))*IFERROR(VLOOKUP(A107,[1]Tørstofindhold!A$2:B$24,2,FALSE),0)</f>
        <v>0</v>
      </c>
      <c r="X107">
        <f>K107*IFERROR(VLOOKUP(A107,[1]Tørstofindhold!A$2:B$24,2,FALSE),0)</f>
        <v>0</v>
      </c>
      <c r="Y107" s="170">
        <f t="shared" si="21"/>
        <v>0</v>
      </c>
      <c r="Z107">
        <f t="shared" ca="1" si="24"/>
        <v>0</v>
      </c>
      <c r="AA107">
        <f t="shared" ca="1" si="25"/>
        <v>0</v>
      </c>
      <c r="AC107" s="94">
        <f t="shared" ca="1" si="22"/>
        <v>0</v>
      </c>
      <c r="AD107">
        <f ca="1">AC107*E107*10000*VLOOKUP(A107,[1]kcal!$A$2:$C$49,3,FALSE)/1000000000000</f>
        <v>0</v>
      </c>
    </row>
    <row r="108" spans="1:30" x14ac:dyDescent="0.25">
      <c r="A108" s="171" t="str">
        <f t="shared" si="11"/>
        <v>Fjerkrægylle</v>
      </c>
      <c r="B108" s="171" t="str">
        <f t="shared" si="12"/>
        <v>Husdyrgødning</v>
      </c>
      <c r="C108" s="171" t="str">
        <f>IFERROR(VLOOKUP(A108,'Kategorisering af kcal'!$J$2:$K$18,2,FALSE),"")</f>
        <v/>
      </c>
      <c r="D108" s="171">
        <f>IF(COUNTIFS('Resultater - Danmark'!$D$3:$D$504,'Produktion &amp; forbrug'!A108,'Resultater - Danmark'!$A$3:$A$504,"Til energi")+COUNTIFS('Resultater - Danmark'!$D$3:$D$504,'Produktion &amp; forbrug'!A108,'Resultater - Danmark'!$A$3:$A$504,"Biogasanlæg")&gt;0,1,0)</f>
        <v>1</v>
      </c>
      <c r="E108" s="171">
        <f t="shared" si="14"/>
        <v>0</v>
      </c>
      <c r="F108" s="171">
        <f t="shared" si="23"/>
        <v>2050</v>
      </c>
      <c r="G108" s="94">
        <f ca="1">SUMIFS('Resultat-Produktion &amp; forbrug'!G$4:G$291,'Resultat-Produktion &amp; forbrug'!$A$4:$A$291,'Produktion &amp; forbrug'!$A108,'Resultat-Produktion &amp; forbrug'!$E$4:$E$291,'Produktion &amp; forbrug'!$F108)</f>
        <v>9338.6301198509736</v>
      </c>
      <c r="H108" s="94">
        <f>SUMIFS('Resultat-Produktion &amp; forbrug'!H$4:H$291,'Resultat-Produktion &amp; forbrug'!$A$4:$A$291,'Produktion &amp; forbrug'!$A108,'Resultat-Produktion &amp; forbrug'!$E$4:$E$291,'Produktion &amp; forbrug'!$F108)</f>
        <v>0</v>
      </c>
      <c r="I108" s="94">
        <f>SUMIFS('Resultat-Produktion &amp; forbrug'!I$4:I$291,'Resultat-Produktion &amp; forbrug'!$A$4:$A$291,'Produktion &amp; forbrug'!$A108,'Resultat-Produktion &amp; forbrug'!$E$4:$E$291,'Produktion &amp; forbrug'!$F108)</f>
        <v>0</v>
      </c>
      <c r="J108" s="94">
        <f>SUMIFS('Resultat-Produktion &amp; forbrug'!J$4:J$291,'Resultat-Produktion &amp; forbrug'!$A$4:$A$291,'Produktion &amp; forbrug'!$A108,'Resultat-Produktion &amp; forbrug'!$E$4:$E$291,'Produktion &amp; forbrug'!$F108)</f>
        <v>0</v>
      </c>
      <c r="K108" s="94">
        <f ca="1">SUMIFS('Resultat-Produktion &amp; forbrug'!K$4:K$291,'Resultat-Produktion &amp; forbrug'!$A$4:$A$291,'Produktion &amp; forbrug'!$A108,'Resultat-Produktion &amp; forbrug'!$E$4:$E$291,'Produktion &amp; forbrug'!$F108)</f>
        <v>8404.7671078658768</v>
      </c>
      <c r="L108" s="94">
        <f ca="1">SUMIFS('Resultat-Produktion &amp; forbrug'!L$4:L$291,'Resultat-Produktion &amp; forbrug'!$A$4:$A$291,'Produktion &amp; forbrug'!$A108,'Resultat-Produktion &amp; forbrug'!$E$4:$E$291,'Produktion &amp; forbrug'!$F108)</f>
        <v>933.86301198509727</v>
      </c>
      <c r="M108" s="94">
        <f>SUMIFS('Resultat-Produktion &amp; forbrug'!M$4:M$291,'Resultat-Produktion &amp; forbrug'!$A$4:$A$291,'Produktion &amp; forbrug'!$A108,'Resultat-Produktion &amp; forbrug'!$E$4:$E$291,'Produktion &amp; forbrug'!$F108)</f>
        <v>0</v>
      </c>
      <c r="N108" s="94">
        <f>SUMIFS('Resultat-Produktion &amp; forbrug'!N$4:N$291,'Resultat-Produktion &amp; forbrug'!$A$4:$A$291,'Produktion &amp; forbrug'!$A108,'Resultat-Produktion &amp; forbrug'!$E$4:$E$291,'Produktion &amp; forbrug'!$F108)</f>
        <v>0</v>
      </c>
      <c r="O108" s="179">
        <f t="shared" ca="1" si="17"/>
        <v>0</v>
      </c>
      <c r="P108" s="94">
        <f t="shared" ca="1" si="18"/>
        <v>0</v>
      </c>
      <c r="Q108" s="180">
        <f t="shared" ca="1" si="19"/>
        <v>8404.7671078658768</v>
      </c>
      <c r="R108">
        <f ca="1">IFERROR(VLOOKUP(A108,[1]Energiindhold!$A$2:$C$11,3,FALSE),IFERROR(VLOOKUP(A108,[1]Biogasudbytte!$A$2:$B$18,2,FALSE)*[1]Energiindhold!$C$10,0))*P108</f>
        <v>0</v>
      </c>
      <c r="S108">
        <f ca="1">IF(A108&lt;&gt;"Biogas",IFERROR(VLOOKUP(A108,[1]Biogasudbytte!$A$2:$B$18,2,FALSE)*[1]Energiindhold!$C$10,0)*K108*IFERROR(VLOOKUP(A108,Biogasanlæg!$F$3:$G$8,2,FALSE),1)+IFERROR(VLOOKUP(A108,[1]Energiindhold!$A$2:$C$11,3,FALSE),0)*M108+IF(F108&lt;&gt;År1,R108,0),0)</f>
        <v>3.9526779231582434E-3</v>
      </c>
      <c r="T108">
        <f ca="1">IFERROR(VLOOKUP(A108,[1]Biogasudbytte!$A$2:$B$18,2,FALSE)*[1]Energiindhold!$C$10,0)*K108*IFERROR(VLOOKUP(A108,Biogasanlæg!$F$3:$G$8,2,FALSE),1)</f>
        <v>3.9526779231582434E-3</v>
      </c>
      <c r="U108" s="170">
        <f t="shared" ca="1" si="20"/>
        <v>0</v>
      </c>
      <c r="V108" s="169">
        <f ca="1">P108*IFERROR(VLOOKUP(A108,[1]Tørstofindhold!A$2:B$24,2,FALSE),0)</f>
        <v>0</v>
      </c>
      <c r="W108">
        <f ca="1">IF(F108=År1,Q108,SUM(P108,Q108))*IFERROR(VLOOKUP(A108,[1]Tørstofindhold!A$2:B$24,2,FALSE),0)</f>
        <v>529.50032779555022</v>
      </c>
      <c r="X108">
        <f ca="1">K108*IFERROR(VLOOKUP(A108,[1]Tørstofindhold!A$2:B$24,2,FALSE),0)</f>
        <v>529.50032779555022</v>
      </c>
      <c r="Y108" s="170">
        <f t="shared" ca="1" si="21"/>
        <v>0</v>
      </c>
      <c r="Z108">
        <f t="shared" ca="1" si="24"/>
        <v>0</v>
      </c>
      <c r="AA108">
        <f t="shared" ca="1" si="25"/>
        <v>0</v>
      </c>
      <c r="AC108" s="94">
        <f t="shared" ca="1" si="22"/>
        <v>0</v>
      </c>
      <c r="AD108">
        <f ca="1">AC108*E108*10000*VLOOKUP(A108,[1]kcal!$A$2:$C$49,3,FALSE)/1000000000000</f>
        <v>0</v>
      </c>
    </row>
    <row r="109" spans="1:30" x14ac:dyDescent="0.25">
      <c r="A109" s="171" t="str">
        <f t="shared" si="11"/>
        <v>Fjerkrækød</v>
      </c>
      <c r="B109" s="171" t="str">
        <f t="shared" si="12"/>
        <v/>
      </c>
      <c r="C109" s="171" t="str">
        <f>IFERROR(VLOOKUP(A109,'Kategorisering af kcal'!$J$2:$K$18,2,FALSE),"")</f>
        <v>Kød</v>
      </c>
      <c r="D109" s="171">
        <f>IF(COUNTIFS('Resultater - Danmark'!$D$3:$D$504,'Produktion &amp; forbrug'!A109,'Resultater - Danmark'!$A$3:$A$504,"Til energi")+COUNTIFS('Resultater - Danmark'!$D$3:$D$504,'Produktion &amp; forbrug'!A109,'Resultater - Danmark'!$A$3:$A$504,"Biogasanlæg")&gt;0,1,0)</f>
        <v>0</v>
      </c>
      <c r="E109" s="171">
        <f t="shared" si="14"/>
        <v>1</v>
      </c>
      <c r="F109" s="171">
        <f t="shared" si="23"/>
        <v>2050</v>
      </c>
      <c r="G109" s="94">
        <f ca="1">SUMIFS('Resultat-Produktion &amp; forbrug'!G$4:G$291,'Resultat-Produktion &amp; forbrug'!$A$4:$A$291,'Produktion &amp; forbrug'!$A109,'Resultat-Produktion &amp; forbrug'!$E$4:$E$291,'Produktion &amp; forbrug'!$F109)</f>
        <v>188233.86614274088</v>
      </c>
      <c r="H109" s="94">
        <f>SUMIFS('Resultat-Produktion &amp; forbrug'!H$4:H$291,'Resultat-Produktion &amp; forbrug'!$A$4:$A$291,'Produktion &amp; forbrug'!$A109,'Resultat-Produktion &amp; forbrug'!$E$4:$E$291,'Produktion &amp; forbrug'!$F109)</f>
        <v>0</v>
      </c>
      <c r="I109" s="94">
        <f>SUMIFS('Resultat-Produktion &amp; forbrug'!I$4:I$291,'Resultat-Produktion &amp; forbrug'!$A$4:$A$291,'Produktion &amp; forbrug'!$A109,'Resultat-Produktion &amp; forbrug'!$E$4:$E$291,'Produktion &amp; forbrug'!$F109)</f>
        <v>0</v>
      </c>
      <c r="J109" s="94">
        <f>SUMIFS('Resultat-Produktion &amp; forbrug'!J$4:J$291,'Resultat-Produktion &amp; forbrug'!$A$4:$A$291,'Produktion &amp; forbrug'!$A109,'Resultat-Produktion &amp; forbrug'!$E$4:$E$291,'Produktion &amp; forbrug'!$F109)</f>
        <v>68663.801815425672</v>
      </c>
      <c r="K109" s="94">
        <f>SUMIFS('Resultat-Produktion &amp; forbrug'!K$4:K$291,'Resultat-Produktion &amp; forbrug'!$A$4:$A$291,'Produktion &amp; forbrug'!$A109,'Resultat-Produktion &amp; forbrug'!$E$4:$E$291,'Produktion &amp; forbrug'!$F109)</f>
        <v>0</v>
      </c>
      <c r="L109" s="94">
        <f>SUMIFS('Resultat-Produktion &amp; forbrug'!L$4:L$291,'Resultat-Produktion &amp; forbrug'!$A$4:$A$291,'Produktion &amp; forbrug'!$A109,'Resultat-Produktion &amp; forbrug'!$E$4:$E$291,'Produktion &amp; forbrug'!$F109)</f>
        <v>0</v>
      </c>
      <c r="M109" s="94">
        <f>SUMIFS('Resultat-Produktion &amp; forbrug'!M$4:M$291,'Resultat-Produktion &amp; forbrug'!$A$4:$A$291,'Produktion &amp; forbrug'!$A109,'Resultat-Produktion &amp; forbrug'!$E$4:$E$291,'Produktion &amp; forbrug'!$F109)</f>
        <v>0</v>
      </c>
      <c r="N109" s="94">
        <f>SUMIFS('Resultat-Produktion &amp; forbrug'!N$4:N$291,'Resultat-Produktion &amp; forbrug'!$A$4:$A$291,'Produktion &amp; forbrug'!$A109,'Resultat-Produktion &amp; forbrug'!$E$4:$E$291,'Produktion &amp; forbrug'!$F109)</f>
        <v>0</v>
      </c>
      <c r="O109" s="179">
        <f t="shared" ca="1" si="17"/>
        <v>119570.06432731521</v>
      </c>
      <c r="P109" s="94">
        <f t="shared" si="18"/>
        <v>0</v>
      </c>
      <c r="Q109" s="180">
        <f t="shared" si="19"/>
        <v>0</v>
      </c>
      <c r="R109">
        <f>IFERROR(VLOOKUP(A109,[1]Energiindhold!$A$2:$C$11,3,FALSE),IFERROR(VLOOKUP(A109,[1]Biogasudbytte!$A$2:$B$18,2,FALSE)*[1]Energiindhold!$C$10,0))*P109</f>
        <v>0</v>
      </c>
      <c r="S109">
        <f>IF(A109&lt;&gt;"Biogas",IFERROR(VLOOKUP(A109,[1]Biogasudbytte!$A$2:$B$18,2,FALSE)*[1]Energiindhold!$C$10,0)*K109*IFERROR(VLOOKUP(A109,Biogasanlæg!$F$3:$G$8,2,FALSE),1)+IFERROR(VLOOKUP(A109,[1]Energiindhold!$A$2:$C$11,3,FALSE),0)*M109+IF(F109&lt;&gt;År1,R109,0),0)</f>
        <v>0</v>
      </c>
      <c r="T109">
        <f>IFERROR(VLOOKUP(A109,[1]Biogasudbytte!$A$2:$B$18,2,FALSE)*[1]Energiindhold!$C$10,0)*K109*IFERROR(VLOOKUP(A109,Biogasanlæg!$F$3:$G$8,2,FALSE),1)</f>
        <v>0</v>
      </c>
      <c r="U109" s="170">
        <f t="shared" si="20"/>
        <v>0</v>
      </c>
      <c r="V109" s="169">
        <f>P109*IFERROR(VLOOKUP(A109,[1]Tørstofindhold!A$2:B$24,2,FALSE),0)</f>
        <v>0</v>
      </c>
      <c r="W109">
        <f>IF(F109=År1,Q109,SUM(P109,Q109))*IFERROR(VLOOKUP(A109,[1]Tørstofindhold!A$2:B$24,2,FALSE),0)</f>
        <v>0</v>
      </c>
      <c r="X109">
        <f>K109*IFERROR(VLOOKUP(A109,[1]Tørstofindhold!A$2:B$24,2,FALSE),0)</f>
        <v>0</v>
      </c>
      <c r="Y109" s="170">
        <f t="shared" si="21"/>
        <v>0</v>
      </c>
      <c r="Z109">
        <f t="shared" ca="1" si="24"/>
        <v>0</v>
      </c>
      <c r="AA109">
        <f t="shared" ca="1" si="25"/>
        <v>1</v>
      </c>
      <c r="AC109" s="94">
        <f t="shared" ca="1" si="22"/>
        <v>188233.86614274088</v>
      </c>
      <c r="AD109">
        <f ca="1">AC109*E109*10000*VLOOKUP(A109,[1]kcal!$A$2:$C$49,3,FALSE)/1000000000000</f>
        <v>0.28611547653696612</v>
      </c>
    </row>
    <row r="110" spans="1:30" x14ac:dyDescent="0.25">
      <c r="A110" s="171" t="str">
        <f t="shared" si="11"/>
        <v>Frø</v>
      </c>
      <c r="B110" s="171" t="str">
        <f t="shared" si="12"/>
        <v/>
      </c>
      <c r="C110" s="171" t="str">
        <f>IFERROR(VLOOKUP(A110,'Kategorisering af kcal'!$J$2:$K$18,2,FALSE),"")</f>
        <v/>
      </c>
      <c r="D110" s="171">
        <f>IF(COUNTIFS('Resultater - Danmark'!$D$3:$D$504,'Produktion &amp; forbrug'!A110,'Resultater - Danmark'!$A$3:$A$504,"Til energi")+COUNTIFS('Resultater - Danmark'!$D$3:$D$504,'Produktion &amp; forbrug'!A110,'Resultater - Danmark'!$A$3:$A$504,"Biogasanlæg")&gt;0,1,0)</f>
        <v>0</v>
      </c>
      <c r="E110" s="171">
        <f t="shared" si="14"/>
        <v>0</v>
      </c>
      <c r="F110" s="171">
        <f t="shared" si="23"/>
        <v>2050</v>
      </c>
      <c r="G110" s="94">
        <f>SUMIFS('Resultat-Produktion &amp; forbrug'!G$4:G$291,'Resultat-Produktion &amp; forbrug'!$A$4:$A$291,'Produktion &amp; forbrug'!$A110,'Resultat-Produktion &amp; forbrug'!$E$4:$E$291,'Produktion &amp; forbrug'!$F110)</f>
        <v>1433074.1712037951</v>
      </c>
      <c r="H110" s="94">
        <f>SUMIFS('Resultat-Produktion &amp; forbrug'!H$4:H$291,'Resultat-Produktion &amp; forbrug'!$A$4:$A$291,'Produktion &amp; forbrug'!$A110,'Resultat-Produktion &amp; forbrug'!$E$4:$E$291,'Produktion &amp; forbrug'!$F110)</f>
        <v>0</v>
      </c>
      <c r="I110" s="94">
        <f>SUMIFS('Resultat-Produktion &amp; forbrug'!I$4:I$291,'Resultat-Produktion &amp; forbrug'!$A$4:$A$291,'Produktion &amp; forbrug'!$A110,'Resultat-Produktion &amp; forbrug'!$E$4:$E$291,'Produktion &amp; forbrug'!$F110)</f>
        <v>0</v>
      </c>
      <c r="J110" s="94">
        <f>SUMIFS('Resultat-Produktion &amp; forbrug'!J$4:J$291,'Resultat-Produktion &amp; forbrug'!$A$4:$A$291,'Produktion &amp; forbrug'!$A110,'Resultat-Produktion &amp; forbrug'!$E$4:$E$291,'Produktion &amp; forbrug'!$F110)</f>
        <v>0</v>
      </c>
      <c r="K110" s="94">
        <f>SUMIFS('Resultat-Produktion &amp; forbrug'!K$4:K$291,'Resultat-Produktion &amp; forbrug'!$A$4:$A$291,'Produktion &amp; forbrug'!$A110,'Resultat-Produktion &amp; forbrug'!$E$4:$E$291,'Produktion &amp; forbrug'!$F110)</f>
        <v>0</v>
      </c>
      <c r="L110" s="94">
        <f>SUMIFS('Resultat-Produktion &amp; forbrug'!L$4:L$291,'Resultat-Produktion &amp; forbrug'!$A$4:$A$291,'Produktion &amp; forbrug'!$A110,'Resultat-Produktion &amp; forbrug'!$E$4:$E$291,'Produktion &amp; forbrug'!$F110)</f>
        <v>0</v>
      </c>
      <c r="M110" s="94">
        <f>SUMIFS('Resultat-Produktion &amp; forbrug'!M$4:M$291,'Resultat-Produktion &amp; forbrug'!$A$4:$A$291,'Produktion &amp; forbrug'!$A110,'Resultat-Produktion &amp; forbrug'!$E$4:$E$291,'Produktion &amp; forbrug'!$F110)</f>
        <v>0</v>
      </c>
      <c r="N110" s="94">
        <f>SUMIFS('Resultat-Produktion &amp; forbrug'!N$4:N$291,'Resultat-Produktion &amp; forbrug'!$A$4:$A$291,'Produktion &amp; forbrug'!$A110,'Resultat-Produktion &amp; forbrug'!$E$4:$E$291,'Produktion &amp; forbrug'!$F110)</f>
        <v>0</v>
      </c>
      <c r="O110" s="179">
        <f t="shared" si="17"/>
        <v>1433074.1712037951</v>
      </c>
      <c r="P110" s="94">
        <f t="shared" si="18"/>
        <v>0</v>
      </c>
      <c r="Q110" s="180">
        <f t="shared" si="19"/>
        <v>0</v>
      </c>
      <c r="R110">
        <f>IFERROR(VLOOKUP(A110,[1]Energiindhold!$A$2:$C$11,3,FALSE),IFERROR(VLOOKUP(A110,[1]Biogasudbytte!$A$2:$B$18,2,FALSE)*[1]Energiindhold!$C$10,0))*P110</f>
        <v>0</v>
      </c>
      <c r="S110">
        <f>IF(A110&lt;&gt;"Biogas",IFERROR(VLOOKUP(A110,[1]Biogasudbytte!$A$2:$B$18,2,FALSE)*[1]Energiindhold!$C$10,0)*K110*IFERROR(VLOOKUP(A110,Biogasanlæg!$F$3:$G$8,2,FALSE),1)+IFERROR(VLOOKUP(A110,[1]Energiindhold!$A$2:$C$11,3,FALSE),0)*M110+IF(F110&lt;&gt;År1,R110,0),0)</f>
        <v>0</v>
      </c>
      <c r="T110">
        <f>IFERROR(VLOOKUP(A110,[1]Biogasudbytte!$A$2:$B$18,2,FALSE)*[1]Energiindhold!$C$10,0)*K110*IFERROR(VLOOKUP(A110,Biogasanlæg!$F$3:$G$8,2,FALSE),1)</f>
        <v>0</v>
      </c>
      <c r="U110" s="170">
        <f t="shared" si="20"/>
        <v>0</v>
      </c>
      <c r="V110" s="169">
        <f>P110*IFERROR(VLOOKUP(A110,[1]Tørstofindhold!A$2:B$24,2,FALSE),0)</f>
        <v>0</v>
      </c>
      <c r="W110">
        <f>IF(F110=År1,Q110,SUM(P110,Q110))*IFERROR(VLOOKUP(A110,[1]Tørstofindhold!A$2:B$24,2,FALSE),0)</f>
        <v>0</v>
      </c>
      <c r="X110">
        <f>K110*IFERROR(VLOOKUP(A110,[1]Tørstofindhold!A$2:B$24,2,FALSE),0)</f>
        <v>0</v>
      </c>
      <c r="Y110" s="170">
        <f t="shared" si="21"/>
        <v>0</v>
      </c>
      <c r="Z110">
        <f t="shared" si="24"/>
        <v>0</v>
      </c>
      <c r="AA110">
        <f t="shared" si="25"/>
        <v>1</v>
      </c>
      <c r="AC110" s="94">
        <f t="shared" si="22"/>
        <v>1433074.1712037951</v>
      </c>
      <c r="AD110">
        <f>AC110*E110*10000*VLOOKUP(A110,[1]kcal!$A$2:$C$49,3,FALSE)/1000000000000</f>
        <v>0</v>
      </c>
    </row>
    <row r="111" spans="1:30" x14ac:dyDescent="0.25">
      <c r="A111" s="171" t="str">
        <f t="shared" si="11"/>
        <v>Frugt</v>
      </c>
      <c r="B111" s="171" t="str">
        <f t="shared" si="12"/>
        <v/>
      </c>
      <c r="C111" s="171" t="str">
        <f>IFERROR(VLOOKUP(A111,'Kategorisering af kcal'!$J$2:$K$18,2,FALSE),"")</f>
        <v>Frugt</v>
      </c>
      <c r="D111" s="171">
        <f>IF(COUNTIFS('Resultater - Danmark'!$D$3:$D$504,'Produktion &amp; forbrug'!A111,'Resultater - Danmark'!$A$3:$A$504,"Til energi")+COUNTIFS('Resultater - Danmark'!$D$3:$D$504,'Produktion &amp; forbrug'!A111,'Resultater - Danmark'!$A$3:$A$504,"Biogasanlæg")&gt;0,1,0)</f>
        <v>0</v>
      </c>
      <c r="E111" s="171">
        <f t="shared" si="14"/>
        <v>1</v>
      </c>
      <c r="F111" s="171">
        <f t="shared" si="23"/>
        <v>2050</v>
      </c>
      <c r="G111" s="94">
        <f>SUMIFS('Resultat-Produktion &amp; forbrug'!G$4:G$291,'Resultat-Produktion &amp; forbrug'!$A$4:$A$291,'Produktion &amp; forbrug'!$A111,'Resultat-Produktion &amp; forbrug'!$E$4:$E$291,'Produktion &amp; forbrug'!$F111)</f>
        <v>41205.106350818656</v>
      </c>
      <c r="H111" s="94">
        <f>SUMIFS('Resultat-Produktion &amp; forbrug'!H$4:H$291,'Resultat-Produktion &amp; forbrug'!$A$4:$A$291,'Produktion &amp; forbrug'!$A111,'Resultat-Produktion &amp; forbrug'!$E$4:$E$291,'Produktion &amp; forbrug'!$F111)</f>
        <v>0</v>
      </c>
      <c r="I111" s="94">
        <f>SUMIFS('Resultat-Produktion &amp; forbrug'!I$4:I$291,'Resultat-Produktion &amp; forbrug'!$A$4:$A$291,'Produktion &amp; forbrug'!$A111,'Resultat-Produktion &amp; forbrug'!$E$4:$E$291,'Produktion &amp; forbrug'!$F111)</f>
        <v>0</v>
      </c>
      <c r="J111" s="94">
        <f>SUMIFS('Resultat-Produktion &amp; forbrug'!J$4:J$291,'Resultat-Produktion &amp; forbrug'!$A$4:$A$291,'Produktion &amp; forbrug'!$A111,'Resultat-Produktion &amp; forbrug'!$E$4:$E$291,'Produktion &amp; forbrug'!$F111)</f>
        <v>501773.93634349527</v>
      </c>
      <c r="K111" s="94">
        <f>SUMIFS('Resultat-Produktion &amp; forbrug'!K$4:K$291,'Resultat-Produktion &amp; forbrug'!$A$4:$A$291,'Produktion &amp; forbrug'!$A111,'Resultat-Produktion &amp; forbrug'!$E$4:$E$291,'Produktion &amp; forbrug'!$F111)</f>
        <v>0</v>
      </c>
      <c r="L111" s="94">
        <f>SUMIFS('Resultat-Produktion &amp; forbrug'!L$4:L$291,'Resultat-Produktion &amp; forbrug'!$A$4:$A$291,'Produktion &amp; forbrug'!$A111,'Resultat-Produktion &amp; forbrug'!$E$4:$E$291,'Produktion &amp; forbrug'!$F111)</f>
        <v>0</v>
      </c>
      <c r="M111" s="94">
        <f>SUMIFS('Resultat-Produktion &amp; forbrug'!M$4:M$291,'Resultat-Produktion &amp; forbrug'!$A$4:$A$291,'Produktion &amp; forbrug'!$A111,'Resultat-Produktion &amp; forbrug'!$E$4:$E$291,'Produktion &amp; forbrug'!$F111)</f>
        <v>0</v>
      </c>
      <c r="N111" s="94">
        <f>SUMIFS('Resultat-Produktion &amp; forbrug'!N$4:N$291,'Resultat-Produktion &amp; forbrug'!$A$4:$A$291,'Produktion &amp; forbrug'!$A111,'Resultat-Produktion &amp; forbrug'!$E$4:$E$291,'Produktion &amp; forbrug'!$F111)</f>
        <v>0</v>
      </c>
      <c r="O111" s="179">
        <f t="shared" si="17"/>
        <v>-460568.82999267662</v>
      </c>
      <c r="P111" s="94">
        <f t="shared" si="18"/>
        <v>0</v>
      </c>
      <c r="Q111" s="180">
        <f t="shared" si="19"/>
        <v>0</v>
      </c>
      <c r="R111">
        <f>IFERROR(VLOOKUP(A111,[1]Energiindhold!$A$2:$C$11,3,FALSE),IFERROR(VLOOKUP(A111,[1]Biogasudbytte!$A$2:$B$18,2,FALSE)*[1]Energiindhold!$C$10,0))*P111</f>
        <v>0</v>
      </c>
      <c r="S111">
        <f>IF(A111&lt;&gt;"Biogas",IFERROR(VLOOKUP(A111,[1]Biogasudbytte!$A$2:$B$18,2,FALSE)*[1]Energiindhold!$C$10,0)*K111*IFERROR(VLOOKUP(A111,Biogasanlæg!$F$3:$G$8,2,FALSE),1)+IFERROR(VLOOKUP(A111,[1]Energiindhold!$A$2:$C$11,3,FALSE),0)*M111+IF(F111&lt;&gt;År1,R111,0),0)</f>
        <v>0</v>
      </c>
      <c r="T111">
        <f>IFERROR(VLOOKUP(A111,[1]Biogasudbytte!$A$2:$B$18,2,FALSE)*[1]Energiindhold!$C$10,0)*K111*IFERROR(VLOOKUP(A111,Biogasanlæg!$F$3:$G$8,2,FALSE),1)</f>
        <v>0</v>
      </c>
      <c r="U111" s="170">
        <f t="shared" si="20"/>
        <v>0</v>
      </c>
      <c r="V111" s="169">
        <f>P111*IFERROR(VLOOKUP(A111,[1]Tørstofindhold!A$2:B$24,2,FALSE),0)</f>
        <v>0</v>
      </c>
      <c r="W111">
        <f>IF(F111=År1,Q111,SUM(P111,Q111))*IFERROR(VLOOKUP(A111,[1]Tørstofindhold!A$2:B$24,2,FALSE),0)</f>
        <v>0</v>
      </c>
      <c r="X111">
        <f>K111*IFERROR(VLOOKUP(A111,[1]Tørstofindhold!A$2:B$24,2,FALSE),0)</f>
        <v>0</v>
      </c>
      <c r="Y111" s="170">
        <f t="shared" si="21"/>
        <v>0</v>
      </c>
      <c r="Z111">
        <f t="shared" si="24"/>
        <v>1</v>
      </c>
      <c r="AA111">
        <f t="shared" si="25"/>
        <v>0</v>
      </c>
      <c r="AC111" s="94">
        <f t="shared" si="22"/>
        <v>41205.106350818656</v>
      </c>
      <c r="AD111">
        <f>AC111*E111*10000*VLOOKUP(A111,[1]kcal!$A$2:$C$49,3,FALSE)/1000000000000</f>
        <v>2.1426655302425702E-2</v>
      </c>
    </row>
    <row r="112" spans="1:30" x14ac:dyDescent="0.25">
      <c r="A112" s="171" t="str">
        <f t="shared" si="11"/>
        <v>Glycerin</v>
      </c>
      <c r="B112" s="171" t="str">
        <f t="shared" si="12"/>
        <v>Glycerin</v>
      </c>
      <c r="C112" s="171" t="str">
        <f>IFERROR(VLOOKUP(A112,'Kategorisering af kcal'!$J$2:$K$18,2,FALSE),"")</f>
        <v/>
      </c>
      <c r="D112" s="171">
        <f>IF(COUNTIFS('Resultater - Danmark'!$D$3:$D$504,'Produktion &amp; forbrug'!A112,'Resultater - Danmark'!$A$3:$A$504,"Til energi")+COUNTIFS('Resultater - Danmark'!$D$3:$D$504,'Produktion &amp; forbrug'!A112,'Resultater - Danmark'!$A$3:$A$504,"Biogasanlæg")&gt;0,1,0)</f>
        <v>1</v>
      </c>
      <c r="E112" s="171">
        <f t="shared" si="14"/>
        <v>0</v>
      </c>
      <c r="F112" s="171">
        <f t="shared" si="23"/>
        <v>2050</v>
      </c>
      <c r="G112" s="94">
        <f>SUMIFS('Resultat-Produktion &amp; forbrug'!G$4:G$291,'Resultat-Produktion &amp; forbrug'!$A$4:$A$291,'Produktion &amp; forbrug'!$A112,'Resultat-Produktion &amp; forbrug'!$E$4:$E$291,'Produktion &amp; forbrug'!$F112)</f>
        <v>0</v>
      </c>
      <c r="H112" s="94">
        <f>SUMIFS('Resultat-Produktion &amp; forbrug'!H$4:H$291,'Resultat-Produktion &amp; forbrug'!$A$4:$A$291,'Produktion &amp; forbrug'!$A112,'Resultat-Produktion &amp; forbrug'!$E$4:$E$291,'Produktion &amp; forbrug'!$F112)</f>
        <v>0</v>
      </c>
      <c r="I112" s="94">
        <f>SUMIFS('Resultat-Produktion &amp; forbrug'!I$4:I$291,'Resultat-Produktion &amp; forbrug'!$A$4:$A$291,'Produktion &amp; forbrug'!$A112,'Resultat-Produktion &amp; forbrug'!$E$4:$E$291,'Produktion &amp; forbrug'!$F112)</f>
        <v>0</v>
      </c>
      <c r="J112" s="94">
        <f>SUMIFS('Resultat-Produktion &amp; forbrug'!J$4:J$291,'Resultat-Produktion &amp; forbrug'!$A$4:$A$291,'Produktion &amp; forbrug'!$A112,'Resultat-Produktion &amp; forbrug'!$E$4:$E$291,'Produktion &amp; forbrug'!$F112)</f>
        <v>0</v>
      </c>
      <c r="K112" s="94">
        <f>SUMIFS('Resultat-Produktion &amp; forbrug'!K$4:K$291,'Resultat-Produktion &amp; forbrug'!$A$4:$A$291,'Produktion &amp; forbrug'!$A112,'Resultat-Produktion &amp; forbrug'!$E$4:$E$291,'Produktion &amp; forbrug'!$F112)</f>
        <v>142742</v>
      </c>
      <c r="L112" s="94">
        <f>SUMIFS('Resultat-Produktion &amp; forbrug'!L$4:L$291,'Resultat-Produktion &amp; forbrug'!$A$4:$A$291,'Produktion &amp; forbrug'!$A112,'Resultat-Produktion &amp; forbrug'!$E$4:$E$291,'Produktion &amp; forbrug'!$F112)</f>
        <v>0</v>
      </c>
      <c r="M112" s="94">
        <f>SUMIFS('Resultat-Produktion &amp; forbrug'!M$4:M$291,'Resultat-Produktion &amp; forbrug'!$A$4:$A$291,'Produktion &amp; forbrug'!$A112,'Resultat-Produktion &amp; forbrug'!$E$4:$E$291,'Produktion &amp; forbrug'!$F112)</f>
        <v>0</v>
      </c>
      <c r="N112" s="94">
        <f>SUMIFS('Resultat-Produktion &amp; forbrug'!N$4:N$291,'Resultat-Produktion &amp; forbrug'!$A$4:$A$291,'Produktion &amp; forbrug'!$A112,'Resultat-Produktion &amp; forbrug'!$E$4:$E$291,'Produktion &amp; forbrug'!$F112)</f>
        <v>0</v>
      </c>
      <c r="O112" s="179">
        <f t="shared" si="17"/>
        <v>-142742</v>
      </c>
      <c r="P112" s="94">
        <f t="shared" si="18"/>
        <v>0</v>
      </c>
      <c r="Q112" s="180">
        <f t="shared" si="19"/>
        <v>142742</v>
      </c>
      <c r="R112">
        <f>IFERROR(VLOOKUP(A112,[1]Energiindhold!$A$2:$C$11,3,FALSE),IFERROR(VLOOKUP(A112,[1]Biogasudbytte!$A$2:$B$18,2,FALSE)*[1]Energiindhold!$C$10,0))*P112</f>
        <v>0</v>
      </c>
      <c r="S112">
        <f>IF(A112&lt;&gt;"Biogas",IFERROR(VLOOKUP(A112,[1]Biogasudbytte!$A$2:$B$18,2,FALSE)*[1]Energiindhold!$C$10,0)*K112*IFERROR(VLOOKUP(A112,Biogasanlæg!$F$3:$G$8,2,FALSE),1)+IFERROR(VLOOKUP(A112,[1]Energiindhold!$A$2:$C$11,3,FALSE),0)*M112+IF(F112&lt;&gt;År1,R112,0),0)</f>
        <v>2.1694819870080004</v>
      </c>
      <c r="T112">
        <f>IFERROR(VLOOKUP(A112,[1]Biogasudbytte!$A$2:$B$18,2,FALSE)*[1]Energiindhold!$C$10,0)*K112*IFERROR(VLOOKUP(A112,Biogasanlæg!$F$3:$G$8,2,FALSE),1)</f>
        <v>2.1694819870080004</v>
      </c>
      <c r="U112" s="170">
        <f t="shared" si="20"/>
        <v>0</v>
      </c>
      <c r="V112" s="169">
        <f>P112*IFERROR(VLOOKUP(A112,[1]Tørstofindhold!A$2:B$24,2,FALSE),0)</f>
        <v>0</v>
      </c>
      <c r="W112">
        <f>IF(F112=År1,Q112,SUM(P112,Q112))*IFERROR(VLOOKUP(A112,[1]Tørstofindhold!A$2:B$24,2,FALSE),0)</f>
        <v>128467.8</v>
      </c>
      <c r="X112">
        <f>K112*IFERROR(VLOOKUP(A112,[1]Tørstofindhold!A$2:B$24,2,FALSE),0)</f>
        <v>128467.8</v>
      </c>
      <c r="Y112" s="170">
        <f t="shared" si="21"/>
        <v>0</v>
      </c>
      <c r="Z112">
        <f t="shared" si="24"/>
        <v>1</v>
      </c>
      <c r="AA112">
        <f t="shared" si="25"/>
        <v>0</v>
      </c>
      <c r="AC112" s="94">
        <f t="shared" si="22"/>
        <v>-142742</v>
      </c>
      <c r="AD112">
        <f>AC112*E112*10000*VLOOKUP(A112,[1]kcal!$A$2:$C$49,3,FALSE)/1000000000000</f>
        <v>0</v>
      </c>
    </row>
    <row r="113" spans="1:30" x14ac:dyDescent="0.25">
      <c r="A113" s="171" t="str">
        <f t="shared" si="11"/>
        <v>Græs</v>
      </c>
      <c r="B113" s="171" t="str">
        <f t="shared" si="12"/>
        <v>Græs og urter</v>
      </c>
      <c r="C113" s="171" t="str">
        <f>IFERROR(VLOOKUP(A113,'Kategorisering af kcal'!$J$2:$K$18,2,FALSE),"")</f>
        <v/>
      </c>
      <c r="D113" s="171">
        <f>IF(COUNTIFS('Resultater - Danmark'!$D$3:$D$504,'Produktion &amp; forbrug'!A113,'Resultater - Danmark'!$A$3:$A$504,"Til energi")+COUNTIFS('Resultater - Danmark'!$D$3:$D$504,'Produktion &amp; forbrug'!A113,'Resultater - Danmark'!$A$3:$A$504,"Biogasanlæg")&gt;0,1,0)</f>
        <v>1</v>
      </c>
      <c r="E113" s="171">
        <f t="shared" si="14"/>
        <v>0</v>
      </c>
      <c r="F113" s="171">
        <f t="shared" si="23"/>
        <v>2050</v>
      </c>
      <c r="G113" s="94">
        <f>SUMIFS('Resultat-Produktion &amp; forbrug'!G$4:G$291,'Resultat-Produktion &amp; forbrug'!$A$4:$A$291,'Produktion &amp; forbrug'!$A113,'Resultat-Produktion &amp; forbrug'!$E$4:$E$291,'Produktion &amp; forbrug'!$F113)</f>
        <v>15749174.280025551</v>
      </c>
      <c r="H113" s="94">
        <f ca="1">SUMIFS('Resultat-Produktion &amp; forbrug'!H$4:H$291,'Resultat-Produktion &amp; forbrug'!$A$4:$A$291,'Produktion &amp; forbrug'!$A113,'Resultat-Produktion &amp; forbrug'!$E$4:$E$291,'Produktion &amp; forbrug'!$F113)</f>
        <v>12766418.101253457</v>
      </c>
      <c r="I113" s="94">
        <f>SUMIFS('Resultat-Produktion &amp; forbrug'!I$4:I$291,'Resultat-Produktion &amp; forbrug'!$A$4:$A$291,'Produktion &amp; forbrug'!$A113,'Resultat-Produktion &amp; forbrug'!$E$4:$E$291,'Produktion &amp; forbrug'!$F113)</f>
        <v>0</v>
      </c>
      <c r="J113" s="94">
        <f>SUMIFS('Resultat-Produktion &amp; forbrug'!J$4:J$291,'Resultat-Produktion &amp; forbrug'!$A$4:$A$291,'Produktion &amp; forbrug'!$A113,'Resultat-Produktion &amp; forbrug'!$E$4:$E$291,'Produktion &amp; forbrug'!$F113)</f>
        <v>0</v>
      </c>
      <c r="K113" s="94">
        <f>SUMIFS('Resultat-Produktion &amp; forbrug'!K$4:K$291,'Resultat-Produktion &amp; forbrug'!$A$4:$A$291,'Produktion &amp; forbrug'!$A113,'Resultat-Produktion &amp; forbrug'!$E$4:$E$291,'Produktion &amp; forbrug'!$F113)</f>
        <v>0</v>
      </c>
      <c r="L113" s="94">
        <f>SUMIFS('Resultat-Produktion &amp; forbrug'!L$4:L$291,'Resultat-Produktion &amp; forbrug'!$A$4:$A$291,'Produktion &amp; forbrug'!$A113,'Resultat-Produktion &amp; forbrug'!$E$4:$E$291,'Produktion &amp; forbrug'!$F113)</f>
        <v>0</v>
      </c>
      <c r="M113" s="94">
        <f>SUMIFS('Resultat-Produktion &amp; forbrug'!M$4:M$291,'Resultat-Produktion &amp; forbrug'!$A$4:$A$291,'Produktion &amp; forbrug'!$A113,'Resultat-Produktion &amp; forbrug'!$E$4:$E$291,'Produktion &amp; forbrug'!$F113)</f>
        <v>0</v>
      </c>
      <c r="N113" s="94">
        <f ca="1">SUMIFS('Resultat-Produktion &amp; forbrug'!N$4:N$291,'Resultat-Produktion &amp; forbrug'!$A$4:$A$291,'Produktion &amp; forbrug'!$A113,'Resultat-Produktion &amp; forbrug'!$E$4:$E$291,'Produktion &amp; forbrug'!$F113)</f>
        <v>0</v>
      </c>
      <c r="O113" s="179">
        <f t="shared" ca="1" si="17"/>
        <v>2982756.1787720937</v>
      </c>
      <c r="P113" s="94">
        <f t="shared" ca="1" si="18"/>
        <v>2982756.1787720937</v>
      </c>
      <c r="Q113" s="180">
        <f t="shared" si="19"/>
        <v>0</v>
      </c>
      <c r="R113">
        <f ca="1">IFERROR(VLOOKUP(A113,[1]Energiindhold!$A$2:$C$11,3,FALSE),IFERROR(VLOOKUP(A113,[1]Biogasudbytte!$A$2:$B$18,2,FALSE)*[1]Energiindhold!$C$10,0))*P113</f>
        <v>5.4878985244183065</v>
      </c>
      <c r="S113">
        <f ca="1">IF(A113&lt;&gt;"Biogas",IFERROR(VLOOKUP(A113,[1]Biogasudbytte!$A$2:$B$18,2,FALSE)*[1]Energiindhold!$C$10,0)*K113*IFERROR(VLOOKUP(A113,Biogasanlæg!$F$3:$G$8,2,FALSE),1)+IFERROR(VLOOKUP(A113,[1]Energiindhold!$A$2:$C$11,3,FALSE),0)*M113+IF(F113&lt;&gt;År1,R113,0),0)</f>
        <v>5.4878985244183065</v>
      </c>
      <c r="T113">
        <f>IFERROR(VLOOKUP(A113,[1]Biogasudbytte!$A$2:$B$18,2,FALSE)*[1]Energiindhold!$C$10,0)*K113*IFERROR(VLOOKUP(A113,Biogasanlæg!$F$3:$G$8,2,FALSE),1)</f>
        <v>0</v>
      </c>
      <c r="U113" s="170">
        <f t="shared" ca="1" si="20"/>
        <v>5.4878985244183065</v>
      </c>
      <c r="V113" s="169">
        <f ca="1">P113*IFERROR(VLOOKUP(A113,[1]Tørstofindhold!A$2:B$24,2,FALSE),0)</f>
        <v>835171.73005618632</v>
      </c>
      <c r="W113">
        <f ca="1">IF(F113=År1,Q113,SUM(P113,Q113))*IFERROR(VLOOKUP(A113,[1]Tørstofindhold!A$2:B$24,2,FALSE),0)</f>
        <v>835171.73005618632</v>
      </c>
      <c r="X113">
        <f>K113*IFERROR(VLOOKUP(A113,[1]Tørstofindhold!A$2:B$24,2,FALSE),0)</f>
        <v>0</v>
      </c>
      <c r="Y113" s="170">
        <f t="shared" ca="1" si="21"/>
        <v>835171.73005618632</v>
      </c>
      <c r="Z113">
        <f t="shared" ca="1" si="24"/>
        <v>0</v>
      </c>
      <c r="AA113">
        <f t="shared" ca="1" si="25"/>
        <v>1</v>
      </c>
      <c r="AC113" s="94">
        <f t="shared" ca="1" si="22"/>
        <v>2982756.1787720937</v>
      </c>
      <c r="AD113">
        <f ca="1">AC113*E113*10000*VLOOKUP(A113,[1]kcal!$A$2:$C$49,3,FALSE)/1000000000000</f>
        <v>0</v>
      </c>
    </row>
    <row r="114" spans="1:30" x14ac:dyDescent="0.25">
      <c r="A114" s="171" t="str">
        <f t="shared" si="11"/>
        <v>Græsprotein</v>
      </c>
      <c r="B114" s="171" t="str">
        <f t="shared" si="12"/>
        <v/>
      </c>
      <c r="C114" s="171" t="str">
        <f>IFERROR(VLOOKUP(A114,'Kategorisering af kcal'!$J$2:$K$18,2,FALSE),"")</f>
        <v/>
      </c>
      <c r="D114" s="171">
        <f>IF(COUNTIFS('Resultater - Danmark'!$D$3:$D$504,'Produktion &amp; forbrug'!A114,'Resultater - Danmark'!$A$3:$A$504,"Til energi")+COUNTIFS('Resultater - Danmark'!$D$3:$D$504,'Produktion &amp; forbrug'!A114,'Resultater - Danmark'!$A$3:$A$504,"Biogasanlæg")&gt;0,1,0)</f>
        <v>0</v>
      </c>
      <c r="E114" s="171">
        <f t="shared" si="14"/>
        <v>0</v>
      </c>
      <c r="F114" s="171">
        <f t="shared" si="23"/>
        <v>2050</v>
      </c>
      <c r="G114" s="94">
        <f ca="1">SUMIFS('Resultat-Produktion &amp; forbrug'!G$4:G$291,'Resultat-Produktion &amp; forbrug'!$A$4:$A$291,'Produktion &amp; forbrug'!$A114,'Resultat-Produktion &amp; forbrug'!$E$4:$E$291,'Produktion &amp; forbrug'!$F114)</f>
        <v>0</v>
      </c>
      <c r="H114" s="94">
        <f ca="1">SUMIFS('Resultat-Produktion &amp; forbrug'!H$4:H$291,'Resultat-Produktion &amp; forbrug'!$A$4:$A$291,'Produktion &amp; forbrug'!$A114,'Resultat-Produktion &amp; forbrug'!$E$4:$E$291,'Produktion &amp; forbrug'!$F114)</f>
        <v>0</v>
      </c>
      <c r="I114" s="94">
        <f>SUMIFS('Resultat-Produktion &amp; forbrug'!I$4:I$291,'Resultat-Produktion &amp; forbrug'!$A$4:$A$291,'Produktion &amp; forbrug'!$A114,'Resultat-Produktion &amp; forbrug'!$E$4:$E$291,'Produktion &amp; forbrug'!$F114)</f>
        <v>0</v>
      </c>
      <c r="J114" s="94">
        <f>SUMIFS('Resultat-Produktion &amp; forbrug'!J$4:J$291,'Resultat-Produktion &amp; forbrug'!$A$4:$A$291,'Produktion &amp; forbrug'!$A114,'Resultat-Produktion &amp; forbrug'!$E$4:$E$291,'Produktion &amp; forbrug'!$F114)</f>
        <v>0</v>
      </c>
      <c r="K114" s="94">
        <f>SUMIFS('Resultat-Produktion &amp; forbrug'!K$4:K$291,'Resultat-Produktion &amp; forbrug'!$A$4:$A$291,'Produktion &amp; forbrug'!$A114,'Resultat-Produktion &amp; forbrug'!$E$4:$E$291,'Produktion &amp; forbrug'!$F114)</f>
        <v>0</v>
      </c>
      <c r="L114" s="94">
        <f>SUMIFS('Resultat-Produktion &amp; forbrug'!L$4:L$291,'Resultat-Produktion &amp; forbrug'!$A$4:$A$291,'Produktion &amp; forbrug'!$A114,'Resultat-Produktion &amp; forbrug'!$E$4:$E$291,'Produktion &amp; forbrug'!$F114)</f>
        <v>0</v>
      </c>
      <c r="M114" s="94">
        <f>SUMIFS('Resultat-Produktion &amp; forbrug'!M$4:M$291,'Resultat-Produktion &amp; forbrug'!$A$4:$A$291,'Produktion &amp; forbrug'!$A114,'Resultat-Produktion &amp; forbrug'!$E$4:$E$291,'Produktion &amp; forbrug'!$F114)</f>
        <v>0</v>
      </c>
      <c r="N114" s="94">
        <f>SUMIFS('Resultat-Produktion &amp; forbrug'!N$4:N$291,'Resultat-Produktion &amp; forbrug'!$A$4:$A$291,'Produktion &amp; forbrug'!$A114,'Resultat-Produktion &amp; forbrug'!$E$4:$E$291,'Produktion &amp; forbrug'!$F114)</f>
        <v>0</v>
      </c>
      <c r="O114" s="179">
        <f t="shared" ca="1" si="17"/>
        <v>0</v>
      </c>
      <c r="P114" s="94">
        <f t="shared" si="18"/>
        <v>0</v>
      </c>
      <c r="Q114" s="180">
        <f t="shared" si="19"/>
        <v>0</v>
      </c>
      <c r="R114">
        <f>IFERROR(VLOOKUP(A114,[1]Energiindhold!$A$2:$C$11,3,FALSE),IFERROR(VLOOKUP(A114,[1]Biogasudbytte!$A$2:$B$18,2,FALSE)*[1]Energiindhold!$C$10,0))*P114</f>
        <v>0</v>
      </c>
      <c r="S114">
        <f>IF(A114&lt;&gt;"Biogas",IFERROR(VLOOKUP(A114,[1]Biogasudbytte!$A$2:$B$18,2,FALSE)*[1]Energiindhold!$C$10,0)*K114*IFERROR(VLOOKUP(A114,Biogasanlæg!$F$3:$G$8,2,FALSE),1)+IFERROR(VLOOKUP(A114,[1]Energiindhold!$A$2:$C$11,3,FALSE),0)*M114+IF(F114&lt;&gt;År1,R114,0),0)</f>
        <v>0</v>
      </c>
      <c r="T114">
        <f>IFERROR(VLOOKUP(A114,[1]Biogasudbytte!$A$2:$B$18,2,FALSE)*[1]Energiindhold!$C$10,0)*K114*IFERROR(VLOOKUP(A114,Biogasanlæg!$F$3:$G$8,2,FALSE),1)</f>
        <v>0</v>
      </c>
      <c r="U114" s="170">
        <f t="shared" si="20"/>
        <v>0</v>
      </c>
      <c r="V114" s="169">
        <f>P114*IFERROR(VLOOKUP(A114,[1]Tørstofindhold!A$2:B$24,2,FALSE),0)</f>
        <v>0</v>
      </c>
      <c r="W114">
        <f>IF(F114=År1,Q114,SUM(P114,Q114))*IFERROR(VLOOKUP(A114,[1]Tørstofindhold!A$2:B$24,2,FALSE),0)</f>
        <v>0</v>
      </c>
      <c r="X114">
        <f>K114*IFERROR(VLOOKUP(A114,[1]Tørstofindhold!A$2:B$24,2,FALSE),0)</f>
        <v>0</v>
      </c>
      <c r="Y114" s="170">
        <f t="shared" si="21"/>
        <v>0</v>
      </c>
      <c r="Z114">
        <f t="shared" ca="1" si="24"/>
        <v>0</v>
      </c>
      <c r="AA114">
        <f t="shared" ca="1" si="25"/>
        <v>0</v>
      </c>
      <c r="AC114" s="94">
        <f t="shared" ca="1" si="22"/>
        <v>0</v>
      </c>
      <c r="AD114">
        <f ca="1">AC114*E114*10000*VLOOKUP(A114,[1]kcal!$A$2:$C$49,3,FALSE)/1000000000000</f>
        <v>0</v>
      </c>
    </row>
    <row r="115" spans="1:30" x14ac:dyDescent="0.25">
      <c r="A115" s="171" t="str">
        <f t="shared" si="11"/>
        <v>Grøntsager</v>
      </c>
      <c r="B115" s="171" t="str">
        <f t="shared" si="12"/>
        <v/>
      </c>
      <c r="C115" s="171" t="str">
        <f>IFERROR(VLOOKUP(A115,'Kategorisering af kcal'!$J$2:$K$18,2,FALSE),"")</f>
        <v>Grøntsager</v>
      </c>
      <c r="D115" s="171">
        <f>IF(COUNTIFS('Resultater - Danmark'!$D$3:$D$504,'Produktion &amp; forbrug'!A115,'Resultater - Danmark'!$A$3:$A$504,"Til energi")+COUNTIFS('Resultater - Danmark'!$D$3:$D$504,'Produktion &amp; forbrug'!A115,'Resultater - Danmark'!$A$3:$A$504,"Biogasanlæg")&gt;0,1,0)</f>
        <v>0</v>
      </c>
      <c r="E115" s="171">
        <f t="shared" si="14"/>
        <v>1</v>
      </c>
      <c r="F115" s="171">
        <f t="shared" si="23"/>
        <v>2050</v>
      </c>
      <c r="G115" s="94">
        <f>SUMIFS('Resultat-Produktion &amp; forbrug'!G$4:G$291,'Resultat-Produktion &amp; forbrug'!$A$4:$A$291,'Produktion &amp; forbrug'!$A115,'Resultat-Produktion &amp; forbrug'!$E$4:$E$291,'Produktion &amp; forbrug'!$F115)</f>
        <v>283127.27105558576</v>
      </c>
      <c r="H115" s="94">
        <f>SUMIFS('Resultat-Produktion &amp; forbrug'!H$4:H$291,'Resultat-Produktion &amp; forbrug'!$A$4:$A$291,'Produktion &amp; forbrug'!$A115,'Resultat-Produktion &amp; forbrug'!$E$4:$E$291,'Produktion &amp; forbrug'!$F115)</f>
        <v>0</v>
      </c>
      <c r="I115" s="94">
        <f>SUMIFS('Resultat-Produktion &amp; forbrug'!I$4:I$291,'Resultat-Produktion &amp; forbrug'!$A$4:$A$291,'Produktion &amp; forbrug'!$A115,'Resultat-Produktion &amp; forbrug'!$E$4:$E$291,'Produktion &amp; forbrug'!$F115)</f>
        <v>0</v>
      </c>
      <c r="J115" s="94">
        <f>SUMIFS('Resultat-Produktion &amp; forbrug'!J$4:J$291,'Resultat-Produktion &amp; forbrug'!$A$4:$A$291,'Produktion &amp; forbrug'!$A115,'Resultat-Produktion &amp; forbrug'!$E$4:$E$291,'Produktion &amp; forbrug'!$F115)</f>
        <v>525542.17543345026</v>
      </c>
      <c r="K115" s="94">
        <f>SUMIFS('Resultat-Produktion &amp; forbrug'!K$4:K$291,'Resultat-Produktion &amp; forbrug'!$A$4:$A$291,'Produktion &amp; forbrug'!$A115,'Resultat-Produktion &amp; forbrug'!$E$4:$E$291,'Produktion &amp; forbrug'!$F115)</f>
        <v>0</v>
      </c>
      <c r="L115" s="94">
        <f>SUMIFS('Resultat-Produktion &amp; forbrug'!L$4:L$291,'Resultat-Produktion &amp; forbrug'!$A$4:$A$291,'Produktion &amp; forbrug'!$A115,'Resultat-Produktion &amp; forbrug'!$E$4:$E$291,'Produktion &amp; forbrug'!$F115)</f>
        <v>0</v>
      </c>
      <c r="M115" s="94">
        <f>SUMIFS('Resultat-Produktion &amp; forbrug'!M$4:M$291,'Resultat-Produktion &amp; forbrug'!$A$4:$A$291,'Produktion &amp; forbrug'!$A115,'Resultat-Produktion &amp; forbrug'!$E$4:$E$291,'Produktion &amp; forbrug'!$F115)</f>
        <v>0</v>
      </c>
      <c r="N115" s="94">
        <f>SUMIFS('Resultat-Produktion &amp; forbrug'!N$4:N$291,'Resultat-Produktion &amp; forbrug'!$A$4:$A$291,'Produktion &amp; forbrug'!$A115,'Resultat-Produktion &amp; forbrug'!$E$4:$E$291,'Produktion &amp; forbrug'!$F115)</f>
        <v>0</v>
      </c>
      <c r="O115" s="179">
        <f t="shared" si="17"/>
        <v>-242414.9043778645</v>
      </c>
      <c r="P115" s="94">
        <f t="shared" si="18"/>
        <v>0</v>
      </c>
      <c r="Q115" s="180">
        <f t="shared" si="19"/>
        <v>0</v>
      </c>
      <c r="R115">
        <f>IFERROR(VLOOKUP(A115,[1]Energiindhold!$A$2:$C$11,3,FALSE),IFERROR(VLOOKUP(A115,[1]Biogasudbytte!$A$2:$B$18,2,FALSE)*[1]Energiindhold!$C$10,0))*P115</f>
        <v>0</v>
      </c>
      <c r="S115">
        <f>IF(A115&lt;&gt;"Biogas",IFERROR(VLOOKUP(A115,[1]Biogasudbytte!$A$2:$B$18,2,FALSE)*[1]Energiindhold!$C$10,0)*K115*IFERROR(VLOOKUP(A115,Biogasanlæg!$F$3:$G$8,2,FALSE),1)+IFERROR(VLOOKUP(A115,[1]Energiindhold!$A$2:$C$11,3,FALSE),0)*M115+IF(F115&lt;&gt;År1,R115,0),0)</f>
        <v>0</v>
      </c>
      <c r="T115">
        <f>IFERROR(VLOOKUP(A115,[1]Biogasudbytte!$A$2:$B$18,2,FALSE)*[1]Energiindhold!$C$10,0)*K115*IFERROR(VLOOKUP(A115,Biogasanlæg!$F$3:$G$8,2,FALSE),1)</f>
        <v>0</v>
      </c>
      <c r="U115" s="170">
        <f t="shared" si="20"/>
        <v>0</v>
      </c>
      <c r="V115" s="169">
        <f>P115*IFERROR(VLOOKUP(A115,[1]Tørstofindhold!A$2:B$24,2,FALSE),0)</f>
        <v>0</v>
      </c>
      <c r="W115">
        <f>IF(F115=År1,Q115,SUM(P115,Q115))*IFERROR(VLOOKUP(A115,[1]Tørstofindhold!A$2:B$24,2,FALSE),0)</f>
        <v>0</v>
      </c>
      <c r="X115">
        <f>K115*IFERROR(VLOOKUP(A115,[1]Tørstofindhold!A$2:B$24,2,FALSE),0)</f>
        <v>0</v>
      </c>
      <c r="Y115" s="170">
        <f t="shared" si="21"/>
        <v>0</v>
      </c>
      <c r="Z115">
        <f t="shared" si="24"/>
        <v>1</v>
      </c>
      <c r="AA115">
        <f t="shared" si="25"/>
        <v>0</v>
      </c>
      <c r="AC115" s="94">
        <f t="shared" si="22"/>
        <v>283127.27105558576</v>
      </c>
      <c r="AD115">
        <f>AC115*E115*10000*VLOOKUP(A115,[1]kcal!$A$2:$C$49,3,FALSE)/1000000000000</f>
        <v>0.11041963571167845</v>
      </c>
    </row>
    <row r="116" spans="1:30" x14ac:dyDescent="0.25">
      <c r="A116" s="171" t="str">
        <f t="shared" ref="A116:A147" si="26">A68</f>
        <v>Halm</v>
      </c>
      <c r="B116" s="171" t="str">
        <f t="shared" ref="B116:B147" si="27">IF(B68&lt;&gt;"",B68,"")</f>
        <v>Halm og strå</v>
      </c>
      <c r="C116" s="171" t="str">
        <f>IFERROR(VLOOKUP(A116,'Kategorisering af kcal'!$J$2:$K$18,2,FALSE),"")</f>
        <v/>
      </c>
      <c r="D116" s="171">
        <f>IF(COUNTIFS('Resultater - Danmark'!$D$3:$D$504,'Produktion &amp; forbrug'!A116,'Resultater - Danmark'!$A$3:$A$504,"Til energi")+COUNTIFS('Resultater - Danmark'!$D$3:$D$504,'Produktion &amp; forbrug'!A116,'Resultater - Danmark'!$A$3:$A$504,"Biogasanlæg")&gt;0,1,0)</f>
        <v>1</v>
      </c>
      <c r="E116" s="171">
        <f t="shared" si="14"/>
        <v>0</v>
      </c>
      <c r="F116" s="171">
        <f t="shared" si="23"/>
        <v>2050</v>
      </c>
      <c r="G116" s="94">
        <f ca="1">SUMIFS('Resultat-Produktion &amp; forbrug'!G$4:G$291,'Resultat-Produktion &amp; forbrug'!$A$4:$A$291,'Produktion &amp; forbrug'!$A116,'Resultat-Produktion &amp; forbrug'!$E$4:$E$291,'Produktion &amp; forbrug'!$F116)</f>
        <v>5496928.6729627736</v>
      </c>
      <c r="H116" s="94">
        <f ca="1">SUMIFS('Resultat-Produktion &amp; forbrug'!H$4:H$291,'Resultat-Produktion &amp; forbrug'!$A$4:$A$291,'Produktion &amp; forbrug'!$A116,'Resultat-Produktion &amp; forbrug'!$E$4:$E$291,'Produktion &amp; forbrug'!$F116)</f>
        <v>806486.99373265042</v>
      </c>
      <c r="I116" s="94">
        <f ca="1">SUMIFS('Resultat-Produktion &amp; forbrug'!I$4:I$291,'Resultat-Produktion &amp; forbrug'!$A$4:$A$291,'Produktion &amp; forbrug'!$A116,'Resultat-Produktion &amp; forbrug'!$E$4:$E$291,'Produktion &amp; forbrug'!$F116)</f>
        <v>747264.47265383892</v>
      </c>
      <c r="J116" s="94">
        <f>SUMIFS('Resultat-Produktion &amp; forbrug'!J$4:J$291,'Resultat-Produktion &amp; forbrug'!$A$4:$A$291,'Produktion &amp; forbrug'!$A116,'Resultat-Produktion &amp; forbrug'!$E$4:$E$291,'Produktion &amp; forbrug'!$F116)</f>
        <v>0</v>
      </c>
      <c r="K116" s="94">
        <f ca="1">SUMIFS('Resultat-Produktion &amp; forbrug'!K$4:K$291,'Resultat-Produktion &amp; forbrug'!$A$4:$A$291,'Produktion &amp; forbrug'!$A116,'Resultat-Produktion &amp; forbrug'!$E$4:$E$291,'Produktion &amp; forbrug'!$F116)</f>
        <v>0</v>
      </c>
      <c r="L116" s="94">
        <f>SUMIFS('Resultat-Produktion &amp; forbrug'!L$4:L$291,'Resultat-Produktion &amp; forbrug'!$A$4:$A$291,'Produktion &amp; forbrug'!$A116,'Resultat-Produktion &amp; forbrug'!$E$4:$E$291,'Produktion &amp; forbrug'!$F116)</f>
        <v>0</v>
      </c>
      <c r="M116" s="94">
        <f ca="1">SUMIFS('Resultat-Produktion &amp; forbrug'!M$4:M$291,'Resultat-Produktion &amp; forbrug'!$A$4:$A$291,'Produktion &amp; forbrug'!$A116,'Resultat-Produktion &amp; forbrug'!$E$4:$E$291,'Produktion &amp; forbrug'!$F116)</f>
        <v>3943177.206576285</v>
      </c>
      <c r="N116" s="94">
        <f ca="1">SUMIFS('Resultat-Produktion &amp; forbrug'!N$4:N$291,'Resultat-Produktion &amp; forbrug'!$A$4:$A$291,'Produktion &amp; forbrug'!$A116,'Resultat-Produktion &amp; forbrug'!$E$4:$E$291,'Produktion &amp; forbrug'!$F116)</f>
        <v>0</v>
      </c>
      <c r="O116" s="179">
        <f t="shared" ca="1" si="17"/>
        <v>0</v>
      </c>
      <c r="P116" s="94">
        <f t="shared" ca="1" si="18"/>
        <v>0</v>
      </c>
      <c r="Q116" s="180">
        <f t="shared" ca="1" si="19"/>
        <v>3943177.206576285</v>
      </c>
      <c r="R116">
        <f ca="1">IFERROR(VLOOKUP(A116,[1]Energiindhold!$A$2:$C$11,3,FALSE),IFERROR(VLOOKUP(A116,[1]Biogasudbytte!$A$2:$B$18,2,FALSE)*[1]Energiindhold!$C$10,0))*P116</f>
        <v>0</v>
      </c>
      <c r="S116">
        <f ca="1">IF(A116&lt;&gt;"Biogas",IFERROR(VLOOKUP(A116,[1]Biogasudbytte!$A$2:$B$18,2,FALSE)*[1]Energiindhold!$C$10,0)*K116*IFERROR(VLOOKUP(A116,Biogasanlæg!$F$3:$G$8,2,FALSE),1)+IFERROR(VLOOKUP(A116,[1]Energiindhold!$A$2:$C$11,3,FALSE),0)*M116+IF(F116&lt;&gt;År1,R116,0),0)</f>
        <v>40.755915968061302</v>
      </c>
      <c r="T116">
        <f ca="1">IFERROR(VLOOKUP(A116,[1]Biogasudbytte!$A$2:$B$18,2,FALSE)*[1]Energiindhold!$C$10,0)*K116*IFERROR(VLOOKUP(A116,Biogasanlæg!$F$3:$G$8,2,FALSE),1)</f>
        <v>0</v>
      </c>
      <c r="U116" s="170">
        <f t="shared" ca="1" si="20"/>
        <v>40.755915968061302</v>
      </c>
      <c r="V116" s="169">
        <f ca="1">P116*IFERROR(VLOOKUP(A116,[1]Tørstofindhold!A$2:B$24,2,FALSE),0)</f>
        <v>0</v>
      </c>
      <c r="W116">
        <f ca="1">IF(F116=År1,Q116,SUM(P116,Q116))*IFERROR(VLOOKUP(A116,[1]Tørstofindhold!A$2:B$24,2,FALSE),0)</f>
        <v>3351700.625589842</v>
      </c>
      <c r="X116">
        <f ca="1">K116*IFERROR(VLOOKUP(A116,[1]Tørstofindhold!A$2:B$24,2,FALSE),0)</f>
        <v>0</v>
      </c>
      <c r="Y116" s="170">
        <f t="shared" ca="1" si="21"/>
        <v>3351700.625589842</v>
      </c>
      <c r="Z116">
        <f t="shared" ca="1" si="24"/>
        <v>0</v>
      </c>
      <c r="AA116">
        <f t="shared" ca="1" si="25"/>
        <v>0</v>
      </c>
      <c r="AC116" s="94">
        <f t="shared" ca="1" si="22"/>
        <v>3943177.206576284</v>
      </c>
      <c r="AD116">
        <f ca="1">AC116*E116*10000*VLOOKUP(A116,[1]kcal!$A$2:$C$49,3,FALSE)/1000000000000</f>
        <v>0</v>
      </c>
    </row>
    <row r="117" spans="1:30" x14ac:dyDescent="0.25">
      <c r="A117" s="171" t="str">
        <f t="shared" si="26"/>
        <v>Have/parkaffald</v>
      </c>
      <c r="B117" s="171" t="str">
        <f t="shared" si="27"/>
        <v>Bionedbrydeligt affald</v>
      </c>
      <c r="C117" s="171" t="str">
        <f>IFERROR(VLOOKUP(A117,'Kategorisering af kcal'!$J$2:$K$18,2,FALSE),"")</f>
        <v/>
      </c>
      <c r="D117" s="171">
        <f>IF(COUNTIFS('Resultater - Danmark'!$D$3:$D$504,'Produktion &amp; forbrug'!A117,'Resultater - Danmark'!$A$3:$A$504,"Til energi")+COUNTIFS('Resultater - Danmark'!$D$3:$D$504,'Produktion &amp; forbrug'!A117,'Resultater - Danmark'!$A$3:$A$504,"Biogasanlæg")&gt;0,1,0)</f>
        <v>1</v>
      </c>
      <c r="E117" s="171">
        <f t="shared" ref="E117:E147" si="28">E69</f>
        <v>0</v>
      </c>
      <c r="F117" s="171">
        <f t="shared" si="23"/>
        <v>2050</v>
      </c>
      <c r="G117" s="94">
        <f>SUMIFS('Resultat-Produktion &amp; forbrug'!G$4:G$291,'Resultat-Produktion &amp; forbrug'!$A$4:$A$291,'Produktion &amp; forbrug'!$A117,'Resultat-Produktion &amp; forbrug'!$E$4:$E$291,'Produktion &amp; forbrug'!$F117)</f>
        <v>982809</v>
      </c>
      <c r="H117" s="94">
        <f>SUMIFS('Resultat-Produktion &amp; forbrug'!H$4:H$291,'Resultat-Produktion &amp; forbrug'!$A$4:$A$291,'Produktion &amp; forbrug'!$A117,'Resultat-Produktion &amp; forbrug'!$E$4:$E$291,'Produktion &amp; forbrug'!$F117)</f>
        <v>0</v>
      </c>
      <c r="I117" s="94">
        <f>SUMIFS('Resultat-Produktion &amp; forbrug'!I$4:I$291,'Resultat-Produktion &amp; forbrug'!$A$4:$A$291,'Produktion &amp; forbrug'!$A117,'Resultat-Produktion &amp; forbrug'!$E$4:$E$291,'Produktion &amp; forbrug'!$F117)</f>
        <v>0</v>
      </c>
      <c r="J117" s="94">
        <f>SUMIFS('Resultat-Produktion &amp; forbrug'!J$4:J$291,'Resultat-Produktion &amp; forbrug'!$A$4:$A$291,'Produktion &amp; forbrug'!$A117,'Resultat-Produktion &amp; forbrug'!$E$4:$E$291,'Produktion &amp; forbrug'!$F117)</f>
        <v>0</v>
      </c>
      <c r="K117" s="94">
        <f>SUMIFS('Resultat-Produktion &amp; forbrug'!K$4:K$291,'Resultat-Produktion &amp; forbrug'!$A$4:$A$291,'Produktion &amp; forbrug'!$A117,'Resultat-Produktion &amp; forbrug'!$E$4:$E$291,'Produktion &amp; forbrug'!$F117)</f>
        <v>980000</v>
      </c>
      <c r="L117" s="94">
        <f>SUMIFS('Resultat-Produktion &amp; forbrug'!L$4:L$291,'Resultat-Produktion &amp; forbrug'!$A$4:$A$291,'Produktion &amp; forbrug'!$A117,'Resultat-Produktion &amp; forbrug'!$E$4:$E$291,'Produktion &amp; forbrug'!$F117)</f>
        <v>0</v>
      </c>
      <c r="M117" s="94">
        <f>SUMIFS('Resultat-Produktion &amp; forbrug'!M$4:M$291,'Resultat-Produktion &amp; forbrug'!$A$4:$A$291,'Produktion &amp; forbrug'!$A117,'Resultat-Produktion &amp; forbrug'!$E$4:$E$291,'Produktion &amp; forbrug'!$F117)</f>
        <v>2808.9999999999418</v>
      </c>
      <c r="N117" s="94">
        <f>SUMIFS('Resultat-Produktion &amp; forbrug'!N$4:N$291,'Resultat-Produktion &amp; forbrug'!$A$4:$A$291,'Produktion &amp; forbrug'!$A117,'Resultat-Produktion &amp; forbrug'!$E$4:$E$291,'Produktion &amp; forbrug'!$F117)</f>
        <v>0</v>
      </c>
      <c r="O117" s="179">
        <f t="shared" si="17"/>
        <v>0</v>
      </c>
      <c r="P117" s="94">
        <f t="shared" si="18"/>
        <v>0</v>
      </c>
      <c r="Q117" s="180">
        <f t="shared" si="19"/>
        <v>982809</v>
      </c>
      <c r="R117">
        <f>IFERROR(VLOOKUP(A117,[1]Energiindhold!$A$2:$C$11,3,FALSE),IFERROR(VLOOKUP(A117,[1]Biogasudbytte!$A$2:$B$18,2,FALSE)*[1]Energiindhold!$C$10,0))*P117</f>
        <v>0</v>
      </c>
      <c r="S117">
        <f>IF(A117&lt;&gt;"Biogas",IFERROR(VLOOKUP(A117,[1]Biogasudbytte!$A$2:$B$18,2,FALSE)*[1]Energiindhold!$C$10,0)*K117*IFERROR(VLOOKUP(A117,Biogasanlæg!$F$3:$G$8,2,FALSE),1)+IFERROR(VLOOKUP(A117,[1]Energiindhold!$A$2:$C$11,3,FALSE),0)*M117+IF(F117&lt;&gt;År1,R117,0),0)</f>
        <v>1.7142554874425717</v>
      </c>
      <c r="T117">
        <f>IFERROR(VLOOKUP(A117,[1]Biogasudbytte!$A$2:$B$18,2,FALSE)*[1]Energiindhold!$C$10,0)*K117*IFERROR(VLOOKUP(A117,Biogasanlæg!$F$3:$G$8,2,FALSE),1)</f>
        <v>1.6641086</v>
      </c>
      <c r="U117" s="170">
        <f t="shared" si="20"/>
        <v>5.0146887442571675E-2</v>
      </c>
      <c r="V117" s="169">
        <f>P117*IFERROR(VLOOKUP(A117,[1]Tørstofindhold!A$2:B$24,2,FALSE),0)</f>
        <v>0</v>
      </c>
      <c r="W117">
        <f>IF(F117=År1,Q117,SUM(P117,Q117))*IFERROR(VLOOKUP(A117,[1]Tørstofindhold!A$2:B$24,2,FALSE),0)</f>
        <v>294842.7</v>
      </c>
      <c r="X117">
        <f>K117*IFERROR(VLOOKUP(A117,[1]Tørstofindhold!A$2:B$24,2,FALSE),0)</f>
        <v>294000</v>
      </c>
      <c r="Y117" s="170">
        <f t="shared" si="21"/>
        <v>842.70000000001164</v>
      </c>
      <c r="Z117">
        <f t="shared" si="24"/>
        <v>0</v>
      </c>
      <c r="AA117">
        <f t="shared" si="25"/>
        <v>0</v>
      </c>
      <c r="AC117" s="94">
        <f t="shared" si="22"/>
        <v>2809</v>
      </c>
      <c r="AD117">
        <f>AC117*E117*10000*VLOOKUP(A117,[1]kcal!$A$2:$C$49,3,FALSE)/1000000000000</f>
        <v>0</v>
      </c>
    </row>
    <row r="118" spans="1:30" x14ac:dyDescent="0.25">
      <c r="A118" s="171" t="str">
        <f t="shared" si="26"/>
        <v>Import af foder</v>
      </c>
      <c r="B118" s="171" t="str">
        <f t="shared" si="27"/>
        <v/>
      </c>
      <c r="C118" s="171" t="str">
        <f>IFERROR(VLOOKUP(A118,'Kategorisering af kcal'!$J$2:$K$18,2,FALSE),"")</f>
        <v>Olieafgrøder</v>
      </c>
      <c r="D118" s="171">
        <f>IF(COUNTIFS('Resultater - Danmark'!$D$3:$D$504,'Produktion &amp; forbrug'!A118,'Resultater - Danmark'!$A$3:$A$504,"Til energi")+COUNTIFS('Resultater - Danmark'!$D$3:$D$504,'Produktion &amp; forbrug'!A118,'Resultater - Danmark'!$A$3:$A$504,"Biogasanlæg")&gt;0,1,0)</f>
        <v>0</v>
      </c>
      <c r="E118" s="171">
        <f t="shared" si="28"/>
        <v>1</v>
      </c>
      <c r="F118" s="171">
        <f t="shared" si="23"/>
        <v>2050</v>
      </c>
      <c r="G118" s="94">
        <f>SUMIFS('Resultat-Produktion &amp; forbrug'!G$4:G$291,'Resultat-Produktion &amp; forbrug'!$A$4:$A$291,'Produktion &amp; forbrug'!$A118,'Resultat-Produktion &amp; forbrug'!$E$4:$E$291,'Produktion &amp; forbrug'!$F118)</f>
        <v>0</v>
      </c>
      <c r="H118" s="94">
        <f ca="1">SUMIFS('Resultat-Produktion &amp; forbrug'!H$4:H$291,'Resultat-Produktion &amp; forbrug'!$A$4:$A$291,'Produktion &amp; forbrug'!$A118,'Resultat-Produktion &amp; forbrug'!$E$4:$E$291,'Produktion &amp; forbrug'!$F118)</f>
        <v>5037039.2771946527</v>
      </c>
      <c r="I118" s="94">
        <f>SUMIFS('Resultat-Produktion &amp; forbrug'!I$4:I$291,'Resultat-Produktion &amp; forbrug'!$A$4:$A$291,'Produktion &amp; forbrug'!$A118,'Resultat-Produktion &amp; forbrug'!$E$4:$E$291,'Produktion &amp; forbrug'!$F118)</f>
        <v>0</v>
      </c>
      <c r="J118" s="94">
        <f>SUMIFS('Resultat-Produktion &amp; forbrug'!J$4:J$291,'Resultat-Produktion &amp; forbrug'!$A$4:$A$291,'Produktion &amp; forbrug'!$A118,'Resultat-Produktion &amp; forbrug'!$E$4:$E$291,'Produktion &amp; forbrug'!$F118)</f>
        <v>0</v>
      </c>
      <c r="K118" s="94">
        <f>SUMIFS('Resultat-Produktion &amp; forbrug'!K$4:K$291,'Resultat-Produktion &amp; forbrug'!$A$4:$A$291,'Produktion &amp; forbrug'!$A118,'Resultat-Produktion &amp; forbrug'!$E$4:$E$291,'Produktion &amp; forbrug'!$F118)</f>
        <v>0</v>
      </c>
      <c r="L118" s="94">
        <f>SUMIFS('Resultat-Produktion &amp; forbrug'!L$4:L$291,'Resultat-Produktion &amp; forbrug'!$A$4:$A$291,'Produktion &amp; forbrug'!$A118,'Resultat-Produktion &amp; forbrug'!$E$4:$E$291,'Produktion &amp; forbrug'!$F118)</f>
        <v>0</v>
      </c>
      <c r="M118" s="94">
        <f>SUMIFS('Resultat-Produktion &amp; forbrug'!M$4:M$291,'Resultat-Produktion &amp; forbrug'!$A$4:$A$291,'Produktion &amp; forbrug'!$A118,'Resultat-Produktion &amp; forbrug'!$E$4:$E$291,'Produktion &amp; forbrug'!$F118)</f>
        <v>0</v>
      </c>
      <c r="N118" s="94">
        <f>SUMIFS('Resultat-Produktion &amp; forbrug'!N$4:N$291,'Resultat-Produktion &amp; forbrug'!$A$4:$A$291,'Produktion &amp; forbrug'!$A118,'Resultat-Produktion &amp; forbrug'!$E$4:$E$291,'Produktion &amp; forbrug'!$F118)</f>
        <v>0</v>
      </c>
      <c r="O118" s="179">
        <f t="shared" ca="1" si="17"/>
        <v>-5037039.2771946527</v>
      </c>
      <c r="P118" s="94">
        <f t="shared" si="18"/>
        <v>0</v>
      </c>
      <c r="Q118" s="180">
        <f t="shared" si="19"/>
        <v>0</v>
      </c>
      <c r="R118">
        <f>IFERROR(VLOOKUP(A118,[1]Energiindhold!$A$2:$C$11,3,FALSE),IFERROR(VLOOKUP(A118,[1]Biogasudbytte!$A$2:$B$18,2,FALSE)*[1]Energiindhold!$C$10,0))*P118</f>
        <v>0</v>
      </c>
      <c r="S118">
        <f>IF(A118&lt;&gt;"Biogas",IFERROR(VLOOKUP(A118,[1]Biogasudbytte!$A$2:$B$18,2,FALSE)*[1]Energiindhold!$C$10,0)*K118*IFERROR(VLOOKUP(A118,Biogasanlæg!$F$3:$G$8,2,FALSE),1)+IFERROR(VLOOKUP(A118,[1]Energiindhold!$A$2:$C$11,3,FALSE),0)*M118+IF(F118&lt;&gt;År1,R118,0),0)</f>
        <v>0</v>
      </c>
      <c r="T118">
        <f>IFERROR(VLOOKUP(A118,[1]Biogasudbytte!$A$2:$B$18,2,FALSE)*[1]Energiindhold!$C$10,0)*K118*IFERROR(VLOOKUP(A118,Biogasanlæg!$F$3:$G$8,2,FALSE),1)</f>
        <v>0</v>
      </c>
      <c r="U118" s="170">
        <f t="shared" si="20"/>
        <v>0</v>
      </c>
      <c r="V118" s="169">
        <f>P118*IFERROR(VLOOKUP(A118,[1]Tørstofindhold!A$2:B$24,2,FALSE),0)</f>
        <v>0</v>
      </c>
      <c r="W118">
        <f>IF(F118=År1,Q118,SUM(P118,Q118))*IFERROR(VLOOKUP(A118,[1]Tørstofindhold!A$2:B$24,2,FALSE),0)</f>
        <v>0</v>
      </c>
      <c r="X118">
        <f>K118*IFERROR(VLOOKUP(A118,[1]Tørstofindhold!A$2:B$24,2,FALSE),0)</f>
        <v>0</v>
      </c>
      <c r="Y118" s="170">
        <f t="shared" si="21"/>
        <v>0</v>
      </c>
      <c r="Z118">
        <f t="shared" ca="1" si="24"/>
        <v>1</v>
      </c>
      <c r="AA118">
        <f t="shared" ca="1" si="25"/>
        <v>0</v>
      </c>
      <c r="AC118" s="94">
        <f t="shared" ca="1" si="22"/>
        <v>-5037039.2771946527</v>
      </c>
      <c r="AD118">
        <f ca="1">AC118*E118*10000*VLOOKUP(A118,[1]kcal!$A$2:$C$49,3,FALSE)/1000000000000</f>
        <v>-2.8711123880009524</v>
      </c>
    </row>
    <row r="119" spans="1:30" x14ac:dyDescent="0.25">
      <c r="A119" s="171" t="str">
        <f t="shared" si="26"/>
        <v>Industriaffald</v>
      </c>
      <c r="B119" s="171" t="str">
        <f t="shared" si="27"/>
        <v>Bionedbrydeligt affald</v>
      </c>
      <c r="C119" s="171" t="str">
        <f>IFERROR(VLOOKUP(A119,'Kategorisering af kcal'!$J$2:$K$18,2,FALSE),"")</f>
        <v/>
      </c>
      <c r="D119" s="171">
        <f>IF(COUNTIFS('Resultater - Danmark'!$D$3:$D$504,'Produktion &amp; forbrug'!A119,'Resultater - Danmark'!$A$3:$A$504,"Til energi")+COUNTIFS('Resultater - Danmark'!$D$3:$D$504,'Produktion &amp; forbrug'!A119,'Resultater - Danmark'!$A$3:$A$504,"Biogasanlæg")&gt;0,1,0)</f>
        <v>1</v>
      </c>
      <c r="E119" s="171">
        <f t="shared" si="28"/>
        <v>0</v>
      </c>
      <c r="F119" s="171">
        <f t="shared" si="23"/>
        <v>2050</v>
      </c>
      <c r="G119" s="94">
        <f ca="1">SUMIFS('Resultat-Produktion &amp; forbrug'!G$4:G$291,'Resultat-Produktion &amp; forbrug'!$A$4:$A$291,'Produktion &amp; forbrug'!$A119,'Resultat-Produktion &amp; forbrug'!$E$4:$E$291,'Produktion &amp; forbrug'!$F119)</f>
        <v>700822.02997791977</v>
      </c>
      <c r="H119" s="94">
        <f>SUMIFS('Resultat-Produktion &amp; forbrug'!H$4:H$291,'Resultat-Produktion &amp; forbrug'!$A$4:$A$291,'Produktion &amp; forbrug'!$A119,'Resultat-Produktion &amp; forbrug'!$E$4:$E$291,'Produktion &amp; forbrug'!$F119)</f>
        <v>0</v>
      </c>
      <c r="I119" s="94">
        <f>SUMIFS('Resultat-Produktion &amp; forbrug'!I$4:I$291,'Resultat-Produktion &amp; forbrug'!$A$4:$A$291,'Produktion &amp; forbrug'!$A119,'Resultat-Produktion &amp; forbrug'!$E$4:$E$291,'Produktion &amp; forbrug'!$F119)</f>
        <v>0</v>
      </c>
      <c r="J119" s="94">
        <f>SUMIFS('Resultat-Produktion &amp; forbrug'!J$4:J$291,'Resultat-Produktion &amp; forbrug'!$A$4:$A$291,'Produktion &amp; forbrug'!$A119,'Resultat-Produktion &amp; forbrug'!$E$4:$E$291,'Produktion &amp; forbrug'!$F119)</f>
        <v>0</v>
      </c>
      <c r="K119" s="94">
        <f ca="1">SUMIFS('Resultat-Produktion &amp; forbrug'!K$4:K$291,'Resultat-Produktion &amp; forbrug'!$A$4:$A$291,'Produktion &amp; forbrug'!$A119,'Resultat-Produktion &amp; forbrug'!$E$4:$E$291,'Produktion &amp; forbrug'!$F119)</f>
        <v>0</v>
      </c>
      <c r="L119" s="94">
        <f>SUMIFS('Resultat-Produktion &amp; forbrug'!L$4:L$291,'Resultat-Produktion &amp; forbrug'!$A$4:$A$291,'Produktion &amp; forbrug'!$A119,'Resultat-Produktion &amp; forbrug'!$E$4:$E$291,'Produktion &amp; forbrug'!$F119)</f>
        <v>0</v>
      </c>
      <c r="M119" s="94">
        <f>SUMIFS('Resultat-Produktion &amp; forbrug'!M$4:M$291,'Resultat-Produktion &amp; forbrug'!$A$4:$A$291,'Produktion &amp; forbrug'!$A119,'Resultat-Produktion &amp; forbrug'!$E$4:$E$291,'Produktion &amp; forbrug'!$F119)</f>
        <v>0</v>
      </c>
      <c r="N119" s="94">
        <f>SUMIFS('Resultat-Produktion &amp; forbrug'!N$4:N$291,'Resultat-Produktion &amp; forbrug'!$A$4:$A$291,'Produktion &amp; forbrug'!$A119,'Resultat-Produktion &amp; forbrug'!$E$4:$E$291,'Produktion &amp; forbrug'!$F119)</f>
        <v>0</v>
      </c>
      <c r="O119" s="179">
        <f t="shared" ca="1" si="17"/>
        <v>700822.02997791977</v>
      </c>
      <c r="P119" s="94">
        <f t="shared" ca="1" si="18"/>
        <v>700822.02997791977</v>
      </c>
      <c r="Q119" s="180">
        <f t="shared" ca="1" si="19"/>
        <v>0</v>
      </c>
      <c r="R119">
        <f ca="1">IFERROR(VLOOKUP(A119,[1]Energiindhold!$A$2:$C$11,3,FALSE),IFERROR(VLOOKUP(A119,[1]Biogasudbytte!$A$2:$B$18,2,FALSE)*[1]Energiindhold!$C$10,0))*P119</f>
        <v>3.0367529627582237</v>
      </c>
      <c r="S119">
        <f ca="1">IF(A119&lt;&gt;"Biogas",IFERROR(VLOOKUP(A119,[1]Biogasudbytte!$A$2:$B$18,2,FALSE)*[1]Energiindhold!$C$10,0)*K119*IFERROR(VLOOKUP(A119,Biogasanlæg!$F$3:$G$8,2,FALSE),1)+IFERROR(VLOOKUP(A119,[1]Energiindhold!$A$2:$C$11,3,FALSE),0)*M119+IF(F119&lt;&gt;År1,R119,0),0)</f>
        <v>3.0367529627582237</v>
      </c>
      <c r="T119">
        <f ca="1">IFERROR(VLOOKUP(A119,[1]Biogasudbytte!$A$2:$B$18,2,FALSE)*[1]Energiindhold!$C$10,0)*K119*IFERROR(VLOOKUP(A119,Biogasanlæg!$F$3:$G$8,2,FALSE),1)</f>
        <v>0</v>
      </c>
      <c r="U119" s="170">
        <f t="shared" ca="1" si="20"/>
        <v>3.0367529627582237</v>
      </c>
      <c r="V119" s="169">
        <f ca="1">P119*IFERROR(VLOOKUP(A119,[1]Tørstofindhold!A$2:B$24,2,FALSE),0)</f>
        <v>294345.2525907263</v>
      </c>
      <c r="W119">
        <f ca="1">IF(F119=År1,Q119,SUM(P119,Q119))*IFERROR(VLOOKUP(A119,[1]Tørstofindhold!A$2:B$24,2,FALSE),0)</f>
        <v>294345.2525907263</v>
      </c>
      <c r="X119">
        <f ca="1">K119*IFERROR(VLOOKUP(A119,[1]Tørstofindhold!A$2:B$24,2,FALSE),0)</f>
        <v>0</v>
      </c>
      <c r="Y119" s="170">
        <f t="shared" ca="1" si="21"/>
        <v>294345.2525907263</v>
      </c>
      <c r="Z119">
        <f t="shared" ca="1" si="24"/>
        <v>0</v>
      </c>
      <c r="AA119">
        <f t="shared" ca="1" si="25"/>
        <v>1</v>
      </c>
      <c r="AC119" s="94">
        <f t="shared" ca="1" si="22"/>
        <v>700822.02997791977</v>
      </c>
      <c r="AD119">
        <f ca="1">AC119*E119*10000*VLOOKUP(A119,[1]kcal!$A$2:$C$49,3,FALSE)/1000000000000</f>
        <v>0</v>
      </c>
    </row>
    <row r="120" spans="1:30" x14ac:dyDescent="0.25">
      <c r="A120" s="171" t="str">
        <f t="shared" si="26"/>
        <v>Juletræer</v>
      </c>
      <c r="B120" s="171" t="str">
        <f t="shared" si="27"/>
        <v/>
      </c>
      <c r="C120" s="171" t="str">
        <f>IFERROR(VLOOKUP(A120,'Kategorisering af kcal'!$J$2:$K$18,2,FALSE),"")</f>
        <v/>
      </c>
      <c r="D120" s="171">
        <f>IF(COUNTIFS('Resultater - Danmark'!$D$3:$D$504,'Produktion &amp; forbrug'!A120,'Resultater - Danmark'!$A$3:$A$504,"Til energi")+COUNTIFS('Resultater - Danmark'!$D$3:$D$504,'Produktion &amp; forbrug'!A120,'Resultater - Danmark'!$A$3:$A$504,"Biogasanlæg")&gt;0,1,0)</f>
        <v>0</v>
      </c>
      <c r="E120" s="171">
        <f t="shared" si="28"/>
        <v>0</v>
      </c>
      <c r="F120" s="171">
        <f t="shared" si="23"/>
        <v>2050</v>
      </c>
      <c r="G120" s="94">
        <f>SUMIFS('Resultat-Produktion &amp; forbrug'!G$4:G$291,'Resultat-Produktion &amp; forbrug'!$A$4:$A$291,'Produktion &amp; forbrug'!$A120,'Resultat-Produktion &amp; forbrug'!$E$4:$E$291,'Produktion &amp; forbrug'!$F120)</f>
        <v>886511.28127233672</v>
      </c>
      <c r="H120" s="94">
        <f>SUMIFS('Resultat-Produktion &amp; forbrug'!H$4:H$291,'Resultat-Produktion &amp; forbrug'!$A$4:$A$291,'Produktion &amp; forbrug'!$A120,'Resultat-Produktion &amp; forbrug'!$E$4:$E$291,'Produktion &amp; forbrug'!$F120)</f>
        <v>0</v>
      </c>
      <c r="I120" s="94">
        <f>SUMIFS('Resultat-Produktion &amp; forbrug'!I$4:I$291,'Resultat-Produktion &amp; forbrug'!$A$4:$A$291,'Produktion &amp; forbrug'!$A120,'Resultat-Produktion &amp; forbrug'!$E$4:$E$291,'Produktion &amp; forbrug'!$F120)</f>
        <v>0</v>
      </c>
      <c r="J120" s="94">
        <f>SUMIFS('Resultat-Produktion &amp; forbrug'!J$4:J$291,'Resultat-Produktion &amp; forbrug'!$A$4:$A$291,'Produktion &amp; forbrug'!$A120,'Resultat-Produktion &amp; forbrug'!$E$4:$E$291,'Produktion &amp; forbrug'!$F120)</f>
        <v>0</v>
      </c>
      <c r="K120" s="94">
        <f>SUMIFS('Resultat-Produktion &amp; forbrug'!K$4:K$291,'Resultat-Produktion &amp; forbrug'!$A$4:$A$291,'Produktion &amp; forbrug'!$A120,'Resultat-Produktion &amp; forbrug'!$E$4:$E$291,'Produktion &amp; forbrug'!$F120)</f>
        <v>0</v>
      </c>
      <c r="L120" s="94">
        <f>SUMIFS('Resultat-Produktion &amp; forbrug'!L$4:L$291,'Resultat-Produktion &amp; forbrug'!$A$4:$A$291,'Produktion &amp; forbrug'!$A120,'Resultat-Produktion &amp; forbrug'!$E$4:$E$291,'Produktion &amp; forbrug'!$F120)</f>
        <v>0</v>
      </c>
      <c r="M120" s="94">
        <f>SUMIFS('Resultat-Produktion &amp; forbrug'!M$4:M$291,'Resultat-Produktion &amp; forbrug'!$A$4:$A$291,'Produktion &amp; forbrug'!$A120,'Resultat-Produktion &amp; forbrug'!$E$4:$E$291,'Produktion &amp; forbrug'!$F120)</f>
        <v>0</v>
      </c>
      <c r="N120" s="94">
        <f>SUMIFS('Resultat-Produktion &amp; forbrug'!N$4:N$291,'Resultat-Produktion &amp; forbrug'!$A$4:$A$291,'Produktion &amp; forbrug'!$A120,'Resultat-Produktion &amp; forbrug'!$E$4:$E$291,'Produktion &amp; forbrug'!$F120)</f>
        <v>0</v>
      </c>
      <c r="O120" s="179">
        <f t="shared" si="17"/>
        <v>886511.28127233672</v>
      </c>
      <c r="P120" s="94">
        <f t="shared" si="18"/>
        <v>0</v>
      </c>
      <c r="Q120" s="180">
        <f t="shared" si="19"/>
        <v>0</v>
      </c>
      <c r="R120">
        <f>IFERROR(VLOOKUP(A120,[1]Energiindhold!$A$2:$C$11,3,FALSE),IFERROR(VLOOKUP(A120,[1]Biogasudbytte!$A$2:$B$18,2,FALSE)*[1]Energiindhold!$C$10,0))*P120</f>
        <v>0</v>
      </c>
      <c r="S120">
        <f>IF(A120&lt;&gt;"Biogas",IFERROR(VLOOKUP(A120,[1]Biogasudbytte!$A$2:$B$18,2,FALSE)*[1]Energiindhold!$C$10,0)*K120*IFERROR(VLOOKUP(A120,Biogasanlæg!$F$3:$G$8,2,FALSE),1)+IFERROR(VLOOKUP(A120,[1]Energiindhold!$A$2:$C$11,3,FALSE),0)*M120+IF(F120&lt;&gt;År1,R120,0),0)</f>
        <v>0</v>
      </c>
      <c r="T120">
        <f>IFERROR(VLOOKUP(A120,[1]Biogasudbytte!$A$2:$B$18,2,FALSE)*[1]Energiindhold!$C$10,0)*K120*IFERROR(VLOOKUP(A120,Biogasanlæg!$F$3:$G$8,2,FALSE),1)</f>
        <v>0</v>
      </c>
      <c r="U120" s="170">
        <f t="shared" si="20"/>
        <v>0</v>
      </c>
      <c r="V120" s="169">
        <f>P120*IFERROR(VLOOKUP(A120,[1]Tørstofindhold!A$2:B$24,2,FALSE),0)</f>
        <v>0</v>
      </c>
      <c r="W120">
        <f>IF(F120=År1,Q120,SUM(P120,Q120))*IFERROR(VLOOKUP(A120,[1]Tørstofindhold!A$2:B$24,2,FALSE),0)</f>
        <v>0</v>
      </c>
      <c r="X120">
        <f>K120*IFERROR(VLOOKUP(A120,[1]Tørstofindhold!A$2:B$24,2,FALSE),0)</f>
        <v>0</v>
      </c>
      <c r="Y120" s="170">
        <f t="shared" si="21"/>
        <v>0</v>
      </c>
      <c r="Z120">
        <f t="shared" si="24"/>
        <v>0</v>
      </c>
      <c r="AA120">
        <f t="shared" si="25"/>
        <v>1</v>
      </c>
      <c r="AC120" s="94">
        <f t="shared" si="22"/>
        <v>886511.28127233672</v>
      </c>
      <c r="AD120">
        <f>AC120*E120*10000*VLOOKUP(A120,[1]kcal!$A$2:$C$49,3,FALSE)/1000000000000</f>
        <v>0</v>
      </c>
    </row>
    <row r="121" spans="1:30" x14ac:dyDescent="0.25">
      <c r="A121" s="171" t="str">
        <f t="shared" si="26"/>
        <v>Kartofler</v>
      </c>
      <c r="B121" s="171" t="str">
        <f t="shared" si="27"/>
        <v/>
      </c>
      <c r="C121" s="171" t="str">
        <f>IFERROR(VLOOKUP(A121,'Kategorisering af kcal'!$J$2:$K$18,2,FALSE),"")</f>
        <v>Kartofler</v>
      </c>
      <c r="D121" s="171">
        <f>IF(COUNTIFS('Resultater - Danmark'!$D$3:$D$504,'Produktion &amp; forbrug'!A121,'Resultater - Danmark'!$A$3:$A$504,"Til energi")+COUNTIFS('Resultater - Danmark'!$D$3:$D$504,'Produktion &amp; forbrug'!A121,'Resultater - Danmark'!$A$3:$A$504,"Biogasanlæg")&gt;0,1,0)</f>
        <v>0</v>
      </c>
      <c r="E121" s="171">
        <f t="shared" si="28"/>
        <v>1</v>
      </c>
      <c r="F121" s="171">
        <f t="shared" si="23"/>
        <v>2050</v>
      </c>
      <c r="G121" s="94">
        <f>SUMIFS('Resultat-Produktion &amp; forbrug'!G$4:G$291,'Resultat-Produktion &amp; forbrug'!$A$4:$A$291,'Produktion &amp; forbrug'!$A121,'Resultat-Produktion &amp; forbrug'!$E$4:$E$291,'Produktion &amp; forbrug'!$F121)</f>
        <v>2153221.1823950112</v>
      </c>
      <c r="H121" s="94">
        <f ca="1">SUMIFS('Resultat-Produktion &amp; forbrug'!H$4:H$291,'Resultat-Produktion &amp; forbrug'!$A$4:$A$291,'Produktion &amp; forbrug'!$A121,'Resultat-Produktion &amp; forbrug'!$E$4:$E$291,'Produktion &amp; forbrug'!$F121)</f>
        <v>0</v>
      </c>
      <c r="I121" s="94">
        <f>SUMIFS('Resultat-Produktion &amp; forbrug'!I$4:I$291,'Resultat-Produktion &amp; forbrug'!$A$4:$A$291,'Produktion &amp; forbrug'!$A121,'Resultat-Produktion &amp; forbrug'!$E$4:$E$291,'Produktion &amp; forbrug'!$F121)</f>
        <v>0</v>
      </c>
      <c r="J121" s="94">
        <f>SUMIFS('Resultat-Produktion &amp; forbrug'!J$4:J$291,'Resultat-Produktion &amp; forbrug'!$A$4:$A$291,'Produktion &amp; forbrug'!$A121,'Resultat-Produktion &amp; forbrug'!$E$4:$E$291,'Produktion &amp; forbrug'!$F121)</f>
        <v>240323.30635398987</v>
      </c>
      <c r="K121" s="94">
        <f>SUMIFS('Resultat-Produktion &amp; forbrug'!K$4:K$291,'Resultat-Produktion &amp; forbrug'!$A$4:$A$291,'Produktion &amp; forbrug'!$A121,'Resultat-Produktion &amp; forbrug'!$E$4:$E$291,'Produktion &amp; forbrug'!$F121)</f>
        <v>0</v>
      </c>
      <c r="L121" s="94">
        <f>SUMIFS('Resultat-Produktion &amp; forbrug'!L$4:L$291,'Resultat-Produktion &amp; forbrug'!$A$4:$A$291,'Produktion &amp; forbrug'!$A121,'Resultat-Produktion &amp; forbrug'!$E$4:$E$291,'Produktion &amp; forbrug'!$F121)</f>
        <v>0</v>
      </c>
      <c r="M121" s="94">
        <f>SUMIFS('Resultat-Produktion &amp; forbrug'!M$4:M$291,'Resultat-Produktion &amp; forbrug'!$A$4:$A$291,'Produktion &amp; forbrug'!$A121,'Resultat-Produktion &amp; forbrug'!$E$4:$E$291,'Produktion &amp; forbrug'!$F121)</f>
        <v>0</v>
      </c>
      <c r="N121" s="94">
        <f>SUMIFS('Resultat-Produktion &amp; forbrug'!N$4:N$291,'Resultat-Produktion &amp; forbrug'!$A$4:$A$291,'Produktion &amp; forbrug'!$A121,'Resultat-Produktion &amp; forbrug'!$E$4:$E$291,'Produktion &amp; forbrug'!$F121)</f>
        <v>0</v>
      </c>
      <c r="O121" s="179">
        <f t="shared" ca="1" si="17"/>
        <v>1912897.8760410212</v>
      </c>
      <c r="P121" s="94">
        <f t="shared" si="18"/>
        <v>0</v>
      </c>
      <c r="Q121" s="180">
        <f t="shared" si="19"/>
        <v>0</v>
      </c>
      <c r="R121">
        <f>IFERROR(VLOOKUP(A121,[1]Energiindhold!$A$2:$C$11,3,FALSE),IFERROR(VLOOKUP(A121,[1]Biogasudbytte!$A$2:$B$18,2,FALSE)*[1]Energiindhold!$C$10,0))*P121</f>
        <v>0</v>
      </c>
      <c r="S121">
        <f>IF(A121&lt;&gt;"Biogas",IFERROR(VLOOKUP(A121,[1]Biogasudbytte!$A$2:$B$18,2,FALSE)*[1]Energiindhold!$C$10,0)*K121*IFERROR(VLOOKUP(A121,Biogasanlæg!$F$3:$G$8,2,FALSE),1)+IFERROR(VLOOKUP(A121,[1]Energiindhold!$A$2:$C$11,3,FALSE),0)*M121+IF(F121&lt;&gt;År1,R121,0),0)</f>
        <v>0</v>
      </c>
      <c r="T121">
        <f>IFERROR(VLOOKUP(A121,[1]Biogasudbytte!$A$2:$B$18,2,FALSE)*[1]Energiindhold!$C$10,0)*K121*IFERROR(VLOOKUP(A121,Biogasanlæg!$F$3:$G$8,2,FALSE),1)</f>
        <v>0</v>
      </c>
      <c r="U121" s="170">
        <f t="shared" si="20"/>
        <v>0</v>
      </c>
      <c r="V121" s="169">
        <f>P121*IFERROR(VLOOKUP(A121,[1]Tørstofindhold!A$2:B$24,2,FALSE),0)</f>
        <v>0</v>
      </c>
      <c r="W121">
        <f>IF(F121=År1,Q121,SUM(P121,Q121))*IFERROR(VLOOKUP(A121,[1]Tørstofindhold!A$2:B$24,2,FALSE),0)</f>
        <v>0</v>
      </c>
      <c r="X121">
        <f>K121*IFERROR(VLOOKUP(A121,[1]Tørstofindhold!A$2:B$24,2,FALSE),0)</f>
        <v>0</v>
      </c>
      <c r="Y121" s="170">
        <f t="shared" si="21"/>
        <v>0</v>
      </c>
      <c r="Z121">
        <f t="shared" ca="1" si="24"/>
        <v>0</v>
      </c>
      <c r="AA121">
        <f t="shared" ca="1" si="25"/>
        <v>1</v>
      </c>
      <c r="AC121" s="94">
        <f t="shared" ca="1" si="22"/>
        <v>2153221.1823950112</v>
      </c>
      <c r="AD121">
        <f ca="1">AC121*E121*10000*VLOOKUP(A121,[1]kcal!$A$2:$C$49,3,FALSE)/1000000000000</f>
        <v>1.6795125222681087</v>
      </c>
    </row>
    <row r="122" spans="1:30" x14ac:dyDescent="0.25">
      <c r="A122" s="171" t="str">
        <f t="shared" si="26"/>
        <v>Korn</v>
      </c>
      <c r="B122" s="171" t="str">
        <f t="shared" si="27"/>
        <v>Halm og strå</v>
      </c>
      <c r="C122" s="171" t="str">
        <f>IFERROR(VLOOKUP(A122,'Kategorisering af kcal'!$J$2:$K$18,2,FALSE),"")</f>
        <v>Korn</v>
      </c>
      <c r="D122" s="171">
        <f>IF(COUNTIFS('Resultater - Danmark'!$D$3:$D$504,'Produktion &amp; forbrug'!A122,'Resultater - Danmark'!$A$3:$A$504,"Til energi")+COUNTIFS('Resultater - Danmark'!$D$3:$D$504,'Produktion &amp; forbrug'!A122,'Resultater - Danmark'!$A$3:$A$504,"Biogasanlæg")&gt;0,1,0)</f>
        <v>1</v>
      </c>
      <c r="E122" s="171">
        <f t="shared" si="28"/>
        <v>1</v>
      </c>
      <c r="F122" s="171">
        <f t="shared" si="23"/>
        <v>2050</v>
      </c>
      <c r="G122" s="94">
        <f>SUMIFS('Resultat-Produktion &amp; forbrug'!G$4:G$291,'Resultat-Produktion &amp; forbrug'!$A$4:$A$291,'Produktion &amp; forbrug'!$A122,'Resultat-Produktion &amp; forbrug'!$E$4:$E$291,'Produktion &amp; forbrug'!$F122)</f>
        <v>9022837.0260440428</v>
      </c>
      <c r="H122" s="94">
        <f ca="1">SUMIFS('Resultat-Produktion &amp; forbrug'!H$4:H$291,'Resultat-Produktion &amp; forbrug'!$A$4:$A$291,'Produktion &amp; forbrug'!$A122,'Resultat-Produktion &amp; forbrug'!$E$4:$E$291,'Produktion &amp; forbrug'!$F122)</f>
        <v>6133226.1180386841</v>
      </c>
      <c r="I122" s="94">
        <f>SUMIFS('Resultat-Produktion &amp; forbrug'!I$4:I$291,'Resultat-Produktion &amp; forbrug'!$A$4:$A$291,'Produktion &amp; forbrug'!$A122,'Resultat-Produktion &amp; forbrug'!$E$4:$E$291,'Produktion &amp; forbrug'!$F122)</f>
        <v>0</v>
      </c>
      <c r="J122" s="94">
        <f>SUMIFS('Resultat-Produktion &amp; forbrug'!J$4:J$291,'Resultat-Produktion &amp; forbrug'!$A$4:$A$291,'Produktion &amp; forbrug'!$A122,'Resultat-Produktion &amp; forbrug'!$E$4:$E$291,'Produktion &amp; forbrug'!$F122)</f>
        <v>575719.56906779984</v>
      </c>
      <c r="K122" s="94">
        <f>SUMIFS('Resultat-Produktion &amp; forbrug'!K$4:K$291,'Resultat-Produktion &amp; forbrug'!$A$4:$A$291,'Produktion &amp; forbrug'!$A122,'Resultat-Produktion &amp; forbrug'!$E$4:$E$291,'Produktion &amp; forbrug'!$F122)</f>
        <v>0</v>
      </c>
      <c r="L122" s="94">
        <f>SUMIFS('Resultat-Produktion &amp; forbrug'!L$4:L$291,'Resultat-Produktion &amp; forbrug'!$A$4:$A$291,'Produktion &amp; forbrug'!$A122,'Resultat-Produktion &amp; forbrug'!$E$4:$E$291,'Produktion &amp; forbrug'!$F122)</f>
        <v>0</v>
      </c>
      <c r="M122" s="94">
        <f>SUMIFS('Resultat-Produktion &amp; forbrug'!M$4:M$291,'Resultat-Produktion &amp; forbrug'!$A$4:$A$291,'Produktion &amp; forbrug'!$A122,'Resultat-Produktion &amp; forbrug'!$E$4:$E$291,'Produktion &amp; forbrug'!$F122)</f>
        <v>0</v>
      </c>
      <c r="N122" s="94">
        <f>SUMIFS('Resultat-Produktion &amp; forbrug'!N$4:N$291,'Resultat-Produktion &amp; forbrug'!$A$4:$A$291,'Produktion &amp; forbrug'!$A122,'Resultat-Produktion &amp; forbrug'!$E$4:$E$291,'Produktion &amp; forbrug'!$F122)</f>
        <v>0</v>
      </c>
      <c r="O122" s="179">
        <f t="shared" ca="1" si="17"/>
        <v>2313891.3389375592</v>
      </c>
      <c r="P122" s="94">
        <f t="shared" ca="1" si="18"/>
        <v>2313891.3389375592</v>
      </c>
      <c r="Q122" s="180">
        <f t="shared" si="19"/>
        <v>0</v>
      </c>
      <c r="R122">
        <f ca="1">IFERROR(VLOOKUP(A122,[1]Energiindhold!$A$2:$C$11,3,FALSE),IFERROR(VLOOKUP(A122,[1]Biogasudbytte!$A$2:$B$18,2,FALSE)*[1]Energiindhold!$C$10,0))*P122</f>
        <v>7.9247538910736903</v>
      </c>
      <c r="S122">
        <f ca="1">IF(A122&lt;&gt;"Biogas",IFERROR(VLOOKUP(A122,[1]Biogasudbytte!$A$2:$B$18,2,FALSE)*[1]Energiindhold!$C$10,0)*K122*IFERROR(VLOOKUP(A122,Biogasanlæg!$F$3:$G$8,2,FALSE),1)+IFERROR(VLOOKUP(A122,[1]Energiindhold!$A$2:$C$11,3,FALSE),0)*M122+IF(F122&lt;&gt;År1,R122,0),0)</f>
        <v>7.9247538910736903</v>
      </c>
      <c r="T122">
        <f>IFERROR(VLOOKUP(A122,[1]Biogasudbytte!$A$2:$B$18,2,FALSE)*[1]Energiindhold!$C$10,0)*K122*IFERROR(VLOOKUP(A122,Biogasanlæg!$F$3:$G$8,2,FALSE),1)</f>
        <v>0</v>
      </c>
      <c r="U122" s="170">
        <f t="shared" ca="1" si="20"/>
        <v>7.9247538910736903</v>
      </c>
      <c r="V122" s="169">
        <f ca="1">P122*IFERROR(VLOOKUP(A122,[1]Tørstofindhold!A$2:B$24,2,FALSE),0)</f>
        <v>717306.31507064332</v>
      </c>
      <c r="W122">
        <f ca="1">IF(F122=År1,Q122,SUM(P122,Q122))*IFERROR(VLOOKUP(A122,[1]Tørstofindhold!A$2:B$24,2,FALSE),0)</f>
        <v>717306.31507064332</v>
      </c>
      <c r="X122">
        <f>K122*IFERROR(VLOOKUP(A122,[1]Tørstofindhold!A$2:B$24,2,FALSE),0)</f>
        <v>0</v>
      </c>
      <c r="Y122" s="170">
        <f t="shared" ca="1" si="21"/>
        <v>717306.31507064332</v>
      </c>
      <c r="Z122">
        <f t="shared" ca="1" si="24"/>
        <v>0</v>
      </c>
      <c r="AA122">
        <f t="shared" ca="1" si="25"/>
        <v>1</v>
      </c>
      <c r="AC122" s="94">
        <f t="shared" ca="1" si="22"/>
        <v>2889610.9080053587</v>
      </c>
      <c r="AD122">
        <f ca="1">AC122*E122*10000*VLOOKUP(A122,[1]kcal!$A$2:$C$49,3,FALSE)/1000000000000</f>
        <v>10.575975923299611</v>
      </c>
    </row>
    <row r="123" spans="1:30" x14ac:dyDescent="0.25">
      <c r="A123" s="171" t="str">
        <f t="shared" si="26"/>
        <v>Kunstgødning</v>
      </c>
      <c r="B123" s="171" t="str">
        <f t="shared" si="27"/>
        <v/>
      </c>
      <c r="C123" s="171" t="str">
        <f>IFERROR(VLOOKUP(A123,'Kategorisering af kcal'!$J$2:$K$18,2,FALSE),"")</f>
        <v/>
      </c>
      <c r="D123" s="171">
        <f>IF(COUNTIFS('Resultater - Danmark'!$D$3:$D$504,'Produktion &amp; forbrug'!A123,'Resultater - Danmark'!$A$3:$A$504,"Til energi")+COUNTIFS('Resultater - Danmark'!$D$3:$D$504,'Produktion &amp; forbrug'!A123,'Resultater - Danmark'!$A$3:$A$504,"Biogasanlæg")&gt;0,1,0)</f>
        <v>0</v>
      </c>
      <c r="E123" s="171">
        <f t="shared" si="28"/>
        <v>0</v>
      </c>
      <c r="F123" s="171">
        <f t="shared" si="23"/>
        <v>2050</v>
      </c>
      <c r="G123" s="94">
        <f>SUMIFS('Resultat-Produktion &amp; forbrug'!G$4:G$291,'Resultat-Produktion &amp; forbrug'!$A$4:$A$291,'Produktion &amp; forbrug'!$A123,'Resultat-Produktion &amp; forbrug'!$E$4:$E$291,'Produktion &amp; forbrug'!$F123)</f>
        <v>0</v>
      </c>
      <c r="H123" s="94">
        <f>SUMIFS('Resultat-Produktion &amp; forbrug'!H$4:H$291,'Resultat-Produktion &amp; forbrug'!$A$4:$A$291,'Produktion &amp; forbrug'!$A123,'Resultat-Produktion &amp; forbrug'!$E$4:$E$291,'Produktion &amp; forbrug'!$F123)</f>
        <v>0</v>
      </c>
      <c r="I123" s="94">
        <f>SUMIFS('Resultat-Produktion &amp; forbrug'!I$4:I$291,'Resultat-Produktion &amp; forbrug'!$A$4:$A$291,'Produktion &amp; forbrug'!$A123,'Resultat-Produktion &amp; forbrug'!$E$4:$E$291,'Produktion &amp; forbrug'!$F123)</f>
        <v>0</v>
      </c>
      <c r="J123" s="94">
        <f>SUMIFS('Resultat-Produktion &amp; forbrug'!J$4:J$291,'Resultat-Produktion &amp; forbrug'!$A$4:$A$291,'Produktion &amp; forbrug'!$A123,'Resultat-Produktion &amp; forbrug'!$E$4:$E$291,'Produktion &amp; forbrug'!$F123)</f>
        <v>0</v>
      </c>
      <c r="K123" s="94">
        <f>SUMIFS('Resultat-Produktion &amp; forbrug'!K$4:K$291,'Resultat-Produktion &amp; forbrug'!$A$4:$A$291,'Produktion &amp; forbrug'!$A123,'Resultat-Produktion &amp; forbrug'!$E$4:$E$291,'Produktion &amp; forbrug'!$F123)</f>
        <v>0</v>
      </c>
      <c r="L123" s="94">
        <f ca="1">SUMIFS('Resultat-Produktion &amp; forbrug'!L$4:L$291,'Resultat-Produktion &amp; forbrug'!$A$4:$A$291,'Produktion &amp; forbrug'!$A123,'Resultat-Produktion &amp; forbrug'!$E$4:$E$291,'Produktion &amp; forbrug'!$F123)</f>
        <v>764553.83032718813</v>
      </c>
      <c r="M123" s="94">
        <f>SUMIFS('Resultat-Produktion &amp; forbrug'!M$4:M$291,'Resultat-Produktion &amp; forbrug'!$A$4:$A$291,'Produktion &amp; forbrug'!$A123,'Resultat-Produktion &amp; forbrug'!$E$4:$E$291,'Produktion &amp; forbrug'!$F123)</f>
        <v>0</v>
      </c>
      <c r="N123" s="94">
        <f>SUMIFS('Resultat-Produktion &amp; forbrug'!N$4:N$291,'Resultat-Produktion &amp; forbrug'!$A$4:$A$291,'Produktion &amp; forbrug'!$A123,'Resultat-Produktion &amp; forbrug'!$E$4:$E$291,'Produktion &amp; forbrug'!$F123)</f>
        <v>0</v>
      </c>
      <c r="O123" s="179">
        <f t="shared" ca="1" si="17"/>
        <v>-764553.83032718813</v>
      </c>
      <c r="P123" s="94">
        <f t="shared" si="18"/>
        <v>0</v>
      </c>
      <c r="Q123" s="180">
        <f t="shared" si="19"/>
        <v>0</v>
      </c>
      <c r="R123">
        <f>IFERROR(VLOOKUP(A123,[1]Energiindhold!$A$2:$C$11,3,FALSE),IFERROR(VLOOKUP(A123,[1]Biogasudbytte!$A$2:$B$18,2,FALSE)*[1]Energiindhold!$C$10,0))*P123</f>
        <v>0</v>
      </c>
      <c r="S123">
        <f>IF(A123&lt;&gt;"Biogas",IFERROR(VLOOKUP(A123,[1]Biogasudbytte!$A$2:$B$18,2,FALSE)*[1]Energiindhold!$C$10,0)*K123*IFERROR(VLOOKUP(A123,Biogasanlæg!$F$3:$G$8,2,FALSE),1)+IFERROR(VLOOKUP(A123,[1]Energiindhold!$A$2:$C$11,3,FALSE),0)*M123+IF(F123&lt;&gt;År1,R123,0),0)</f>
        <v>0</v>
      </c>
      <c r="T123">
        <f>IFERROR(VLOOKUP(A123,[1]Biogasudbytte!$A$2:$B$18,2,FALSE)*[1]Energiindhold!$C$10,0)*K123*IFERROR(VLOOKUP(A123,Biogasanlæg!$F$3:$G$8,2,FALSE),1)</f>
        <v>0</v>
      </c>
      <c r="U123" s="170">
        <f t="shared" si="20"/>
        <v>0</v>
      </c>
      <c r="V123" s="169">
        <f>P123*IFERROR(VLOOKUP(A123,[1]Tørstofindhold!A$2:B$24,2,FALSE),0)</f>
        <v>0</v>
      </c>
      <c r="W123">
        <f>IF(F123=År1,Q123,SUM(P123,Q123))*IFERROR(VLOOKUP(A123,[1]Tørstofindhold!A$2:B$24,2,FALSE),0)</f>
        <v>0</v>
      </c>
      <c r="X123">
        <f>K123*IFERROR(VLOOKUP(A123,[1]Tørstofindhold!A$2:B$24,2,FALSE),0)</f>
        <v>0</v>
      </c>
      <c r="Y123" s="170">
        <f t="shared" si="21"/>
        <v>0</v>
      </c>
      <c r="Z123">
        <f t="shared" ca="1" si="24"/>
        <v>1</v>
      </c>
      <c r="AA123">
        <f t="shared" ca="1" si="25"/>
        <v>0</v>
      </c>
      <c r="AC123" s="94">
        <f t="shared" ca="1" si="22"/>
        <v>-764553.83032718813</v>
      </c>
      <c r="AD123">
        <f ca="1">AC123*E123*10000*VLOOKUP(A123,[1]kcal!$A$2:$C$49,3,FALSE)/1000000000000</f>
        <v>0</v>
      </c>
    </row>
    <row r="124" spans="1:30" x14ac:dyDescent="0.25">
      <c r="A124" s="171" t="str">
        <f t="shared" si="26"/>
        <v>Kvæggylle</v>
      </c>
      <c r="B124" s="171" t="str">
        <f t="shared" si="27"/>
        <v>Husdyrgødning</v>
      </c>
      <c r="C124" s="171" t="str">
        <f>IFERROR(VLOOKUP(A124,'Kategorisering af kcal'!$J$2:$K$18,2,FALSE),"")</f>
        <v/>
      </c>
      <c r="D124" s="171">
        <f>IF(COUNTIFS('Resultater - Danmark'!$D$3:$D$504,'Produktion &amp; forbrug'!A124,'Resultater - Danmark'!$A$3:$A$504,"Til energi")+COUNTIFS('Resultater - Danmark'!$D$3:$D$504,'Produktion &amp; forbrug'!A124,'Resultater - Danmark'!$A$3:$A$504,"Biogasanlæg")&gt;0,1,0)</f>
        <v>1</v>
      </c>
      <c r="E124" s="171">
        <f t="shared" si="28"/>
        <v>0</v>
      </c>
      <c r="F124" s="171">
        <f t="shared" si="23"/>
        <v>2050</v>
      </c>
      <c r="G124" s="94">
        <f ca="1">SUMIFS('Resultat-Produktion &amp; forbrug'!G$4:G$291,'Resultat-Produktion &amp; forbrug'!$A$4:$A$291,'Produktion &amp; forbrug'!$A124,'Resultat-Produktion &amp; forbrug'!$E$4:$E$291,'Produktion &amp; forbrug'!$F124)</f>
        <v>13640562.909282314</v>
      </c>
      <c r="H124" s="94">
        <f>SUMIFS('Resultat-Produktion &amp; forbrug'!H$4:H$291,'Resultat-Produktion &amp; forbrug'!$A$4:$A$291,'Produktion &amp; forbrug'!$A124,'Resultat-Produktion &amp; forbrug'!$E$4:$E$291,'Produktion &amp; forbrug'!$F124)</f>
        <v>0</v>
      </c>
      <c r="I124" s="94">
        <f>SUMIFS('Resultat-Produktion &amp; forbrug'!I$4:I$291,'Resultat-Produktion &amp; forbrug'!$A$4:$A$291,'Produktion &amp; forbrug'!$A124,'Resultat-Produktion &amp; forbrug'!$E$4:$E$291,'Produktion &amp; forbrug'!$F124)</f>
        <v>0</v>
      </c>
      <c r="J124" s="94">
        <f>SUMIFS('Resultat-Produktion &amp; forbrug'!J$4:J$291,'Resultat-Produktion &amp; forbrug'!$A$4:$A$291,'Produktion &amp; forbrug'!$A124,'Resultat-Produktion &amp; forbrug'!$E$4:$E$291,'Produktion &amp; forbrug'!$F124)</f>
        <v>0</v>
      </c>
      <c r="K124" s="94">
        <f ca="1">SUMIFS('Resultat-Produktion &amp; forbrug'!K$4:K$291,'Resultat-Produktion &amp; forbrug'!$A$4:$A$291,'Produktion &amp; forbrug'!$A124,'Resultat-Produktion &amp; forbrug'!$E$4:$E$291,'Produktion &amp; forbrug'!$F124)</f>
        <v>12276506.618354084</v>
      </c>
      <c r="L124" s="94">
        <f ca="1">SUMIFS('Resultat-Produktion &amp; forbrug'!L$4:L$291,'Resultat-Produktion &amp; forbrug'!$A$4:$A$291,'Produktion &amp; forbrug'!$A124,'Resultat-Produktion &amp; forbrug'!$E$4:$E$291,'Produktion &amp; forbrug'!$F124)</f>
        <v>1364056.2909282311</v>
      </c>
      <c r="M124" s="94">
        <f>SUMIFS('Resultat-Produktion &amp; forbrug'!M$4:M$291,'Resultat-Produktion &amp; forbrug'!$A$4:$A$291,'Produktion &amp; forbrug'!$A124,'Resultat-Produktion &amp; forbrug'!$E$4:$E$291,'Produktion &amp; forbrug'!$F124)</f>
        <v>0</v>
      </c>
      <c r="N124" s="94">
        <f>SUMIFS('Resultat-Produktion &amp; forbrug'!N$4:N$291,'Resultat-Produktion &amp; forbrug'!$A$4:$A$291,'Produktion &amp; forbrug'!$A124,'Resultat-Produktion &amp; forbrug'!$E$4:$E$291,'Produktion &amp; forbrug'!$F124)</f>
        <v>0</v>
      </c>
      <c r="O124" s="179">
        <f t="shared" ca="1" si="17"/>
        <v>0</v>
      </c>
      <c r="P124" s="94">
        <f t="shared" ca="1" si="18"/>
        <v>0</v>
      </c>
      <c r="Q124" s="180">
        <f t="shared" ca="1" si="19"/>
        <v>12276506.618354084</v>
      </c>
      <c r="R124">
        <f ca="1">IFERROR(VLOOKUP(A124,[1]Energiindhold!$A$2:$C$11,3,FALSE),IFERROR(VLOOKUP(A124,[1]Biogasudbytte!$A$2:$B$18,2,FALSE)*[1]Energiindhold!$C$10,0))*P124</f>
        <v>0</v>
      </c>
      <c r="S124">
        <f ca="1">IF(A124&lt;&gt;"Biogas",IFERROR(VLOOKUP(A124,[1]Biogasudbytte!$A$2:$B$18,2,FALSE)*[1]Energiindhold!$C$10,0)*K124*IFERROR(VLOOKUP(A124,Biogasanlæg!$F$3:$G$8,2,FALSE),1)+IFERROR(VLOOKUP(A124,[1]Energiindhold!$A$2:$C$11,3,FALSE),0)*M124+IF(F124&lt;&gt;År1,R124,0),0)</f>
        <v>6.2142448851446543</v>
      </c>
      <c r="T124">
        <f ca="1">IFERROR(VLOOKUP(A124,[1]Biogasudbytte!$A$2:$B$18,2,FALSE)*[1]Energiindhold!$C$10,0)*K124*IFERROR(VLOOKUP(A124,Biogasanlæg!$F$3:$G$8,2,FALSE),1)</f>
        <v>6.2142448851446543</v>
      </c>
      <c r="U124" s="170">
        <f t="shared" ca="1" si="20"/>
        <v>0</v>
      </c>
      <c r="V124" s="169">
        <f ca="1">P124*IFERROR(VLOOKUP(A124,[1]Tørstofindhold!A$2:B$24,2,FALSE),0)</f>
        <v>0</v>
      </c>
      <c r="W124">
        <f ca="1">IF(F124=År1,Q124,SUM(P124,Q124))*IFERROR(VLOOKUP(A124,[1]Tørstofindhold!A$2:B$24,2,FALSE),0)</f>
        <v>933014.50299491035</v>
      </c>
      <c r="X124">
        <f ca="1">K124*IFERROR(VLOOKUP(A124,[1]Tørstofindhold!A$2:B$24,2,FALSE),0)</f>
        <v>933014.50299491035</v>
      </c>
      <c r="Y124" s="170">
        <f t="shared" ca="1" si="21"/>
        <v>0</v>
      </c>
      <c r="Z124">
        <f t="shared" ca="1" si="24"/>
        <v>0</v>
      </c>
      <c r="AA124">
        <f t="shared" ca="1" si="25"/>
        <v>0</v>
      </c>
      <c r="AC124" s="94">
        <f t="shared" ca="1" si="22"/>
        <v>0</v>
      </c>
      <c r="AD124">
        <f ca="1">AC124*E124*10000*VLOOKUP(A124,[1]kcal!$A$2:$C$49,3,FALSE)/1000000000000</f>
        <v>0</v>
      </c>
    </row>
    <row r="125" spans="1:30" x14ac:dyDescent="0.25">
      <c r="A125" s="171" t="str">
        <f t="shared" si="26"/>
        <v>Mælk til foder</v>
      </c>
      <c r="B125" s="171" t="str">
        <f t="shared" si="27"/>
        <v/>
      </c>
      <c r="C125" s="171" t="str">
        <f>IFERROR(VLOOKUP(A125,'Kategorisering af kcal'!$J$2:$K$18,2,FALSE),"")</f>
        <v/>
      </c>
      <c r="D125" s="171">
        <f>IF(COUNTIFS('Resultater - Danmark'!$D$3:$D$504,'Produktion &amp; forbrug'!A125,'Resultater - Danmark'!$A$3:$A$504,"Til energi")+COUNTIFS('Resultater - Danmark'!$D$3:$D$504,'Produktion &amp; forbrug'!A125,'Resultater - Danmark'!$A$3:$A$504,"Biogasanlæg")&gt;0,1,0)</f>
        <v>0</v>
      </c>
      <c r="E125" s="171">
        <f t="shared" si="28"/>
        <v>0</v>
      </c>
      <c r="F125" s="171">
        <f t="shared" si="23"/>
        <v>2050</v>
      </c>
      <c r="G125" s="94">
        <f ca="1">SUMIFS('Resultat-Produktion &amp; forbrug'!G$4:G$291,'Resultat-Produktion &amp; forbrug'!$A$4:$A$291,'Produktion &amp; forbrug'!$A125,'Resultat-Produktion &amp; forbrug'!$E$4:$E$291,'Produktion &amp; forbrug'!$F125)</f>
        <v>1703953.9374414468</v>
      </c>
      <c r="H125" s="94">
        <f ca="1">SUMIFS('Resultat-Produktion &amp; forbrug'!H$4:H$291,'Resultat-Produktion &amp; forbrug'!$A$4:$A$291,'Produktion &amp; forbrug'!$A125,'Resultat-Produktion &amp; forbrug'!$E$4:$E$291,'Produktion &amp; forbrug'!$F125)</f>
        <v>1581200.4558466333</v>
      </c>
      <c r="I125" s="94">
        <f>SUMIFS('Resultat-Produktion &amp; forbrug'!I$4:I$291,'Resultat-Produktion &amp; forbrug'!$A$4:$A$291,'Produktion &amp; forbrug'!$A125,'Resultat-Produktion &amp; forbrug'!$E$4:$E$291,'Produktion &amp; forbrug'!$F125)</f>
        <v>0</v>
      </c>
      <c r="J125" s="94">
        <f>SUMIFS('Resultat-Produktion &amp; forbrug'!J$4:J$291,'Resultat-Produktion &amp; forbrug'!$A$4:$A$291,'Produktion &amp; forbrug'!$A125,'Resultat-Produktion &amp; forbrug'!$E$4:$E$291,'Produktion &amp; forbrug'!$F125)</f>
        <v>0</v>
      </c>
      <c r="K125" s="94">
        <f>SUMIFS('Resultat-Produktion &amp; forbrug'!K$4:K$291,'Resultat-Produktion &amp; forbrug'!$A$4:$A$291,'Produktion &amp; forbrug'!$A125,'Resultat-Produktion &amp; forbrug'!$E$4:$E$291,'Produktion &amp; forbrug'!$F125)</f>
        <v>0</v>
      </c>
      <c r="L125" s="94">
        <f>SUMIFS('Resultat-Produktion &amp; forbrug'!L$4:L$291,'Resultat-Produktion &amp; forbrug'!$A$4:$A$291,'Produktion &amp; forbrug'!$A125,'Resultat-Produktion &amp; forbrug'!$E$4:$E$291,'Produktion &amp; forbrug'!$F125)</f>
        <v>0</v>
      </c>
      <c r="M125" s="94">
        <f>SUMIFS('Resultat-Produktion &amp; forbrug'!M$4:M$291,'Resultat-Produktion &amp; forbrug'!$A$4:$A$291,'Produktion &amp; forbrug'!$A125,'Resultat-Produktion &amp; forbrug'!$E$4:$E$291,'Produktion &amp; forbrug'!$F125)</f>
        <v>0</v>
      </c>
      <c r="N125" s="94">
        <f>SUMIFS('Resultat-Produktion &amp; forbrug'!N$4:N$291,'Resultat-Produktion &amp; forbrug'!$A$4:$A$291,'Produktion &amp; forbrug'!$A125,'Resultat-Produktion &amp; forbrug'!$E$4:$E$291,'Produktion &amp; forbrug'!$F125)</f>
        <v>0</v>
      </c>
      <c r="O125" s="179">
        <f t="shared" ca="1" si="17"/>
        <v>122753.48159481352</v>
      </c>
      <c r="P125" s="94">
        <f t="shared" si="18"/>
        <v>0</v>
      </c>
      <c r="Q125" s="180">
        <f t="shared" si="19"/>
        <v>0</v>
      </c>
      <c r="R125">
        <f>IFERROR(VLOOKUP(A125,[1]Energiindhold!$A$2:$C$11,3,FALSE),IFERROR(VLOOKUP(A125,[1]Biogasudbytte!$A$2:$B$18,2,FALSE)*[1]Energiindhold!$C$10,0))*P125</f>
        <v>0</v>
      </c>
      <c r="S125">
        <f>IF(A125&lt;&gt;"Biogas",IFERROR(VLOOKUP(A125,[1]Biogasudbytte!$A$2:$B$18,2,FALSE)*[1]Energiindhold!$C$10,0)*K125*IFERROR(VLOOKUP(A125,Biogasanlæg!$F$3:$G$8,2,FALSE),1)+IFERROR(VLOOKUP(A125,[1]Energiindhold!$A$2:$C$11,3,FALSE),0)*M125+IF(F125&lt;&gt;År1,R125,0),0)</f>
        <v>0</v>
      </c>
      <c r="T125">
        <f>IFERROR(VLOOKUP(A125,[1]Biogasudbytte!$A$2:$B$18,2,FALSE)*[1]Energiindhold!$C$10,0)*K125*IFERROR(VLOOKUP(A125,Biogasanlæg!$F$3:$G$8,2,FALSE),1)</f>
        <v>0</v>
      </c>
      <c r="U125" s="170">
        <f t="shared" si="20"/>
        <v>0</v>
      </c>
      <c r="V125" s="169">
        <f>P125*IFERROR(VLOOKUP(A125,[1]Tørstofindhold!A$2:B$24,2,FALSE),0)</f>
        <v>0</v>
      </c>
      <c r="W125">
        <f>IF(F125=År1,Q125,SUM(P125,Q125))*IFERROR(VLOOKUP(A125,[1]Tørstofindhold!A$2:B$24,2,FALSE),0)</f>
        <v>0</v>
      </c>
      <c r="X125">
        <f>K125*IFERROR(VLOOKUP(A125,[1]Tørstofindhold!A$2:B$24,2,FALSE),0)</f>
        <v>0</v>
      </c>
      <c r="Y125" s="170">
        <f t="shared" si="21"/>
        <v>0</v>
      </c>
      <c r="Z125">
        <f t="shared" ca="1" si="24"/>
        <v>0</v>
      </c>
      <c r="AA125">
        <f t="shared" ca="1" si="25"/>
        <v>1</v>
      </c>
      <c r="AC125" s="94">
        <f t="shared" ca="1" si="22"/>
        <v>122753.48159481352</v>
      </c>
      <c r="AD125">
        <f ca="1">AC125*E125*10000*VLOOKUP(A125,[1]kcal!$A$2:$C$49,3,FALSE)/1000000000000</f>
        <v>0</v>
      </c>
    </row>
    <row r="126" spans="1:30" x14ac:dyDescent="0.25">
      <c r="A126" s="171" t="str">
        <f t="shared" si="26"/>
        <v>Majs</v>
      </c>
      <c r="B126" s="171" t="str">
        <f t="shared" si="27"/>
        <v>Græs og urter</v>
      </c>
      <c r="C126" s="171" t="str">
        <f>IFERROR(VLOOKUP(A126,'Kategorisering af kcal'!$J$2:$K$18,2,FALSE),"")</f>
        <v>Korn</v>
      </c>
      <c r="D126" s="171">
        <f>IF(COUNTIFS('Resultater - Danmark'!$D$3:$D$504,'Produktion &amp; forbrug'!A126,'Resultater - Danmark'!$A$3:$A$504,"Til energi")+COUNTIFS('Resultater - Danmark'!$D$3:$D$504,'Produktion &amp; forbrug'!A126,'Resultater - Danmark'!$A$3:$A$504,"Biogasanlæg")&gt;0,1,0)</f>
        <v>1</v>
      </c>
      <c r="E126" s="171">
        <f t="shared" si="28"/>
        <v>1</v>
      </c>
      <c r="F126" s="171">
        <f t="shared" si="23"/>
        <v>2050</v>
      </c>
      <c r="G126" s="94">
        <f>SUMIFS('Resultat-Produktion &amp; forbrug'!G$4:G$291,'Resultat-Produktion &amp; forbrug'!$A$4:$A$291,'Produktion &amp; forbrug'!$A126,'Resultat-Produktion &amp; forbrug'!$E$4:$E$291,'Produktion &amp; forbrug'!$F126)</f>
        <v>7865538.192860188</v>
      </c>
      <c r="H126" s="94">
        <f ca="1">SUMIFS('Resultat-Produktion &amp; forbrug'!H$4:H$291,'Resultat-Produktion &amp; forbrug'!$A$4:$A$291,'Produktion &amp; forbrug'!$A126,'Resultat-Produktion &amp; forbrug'!$E$4:$E$291,'Produktion &amp; forbrug'!$F126)</f>
        <v>5901466.2403495796</v>
      </c>
      <c r="I126" s="94">
        <f>SUMIFS('Resultat-Produktion &amp; forbrug'!I$4:I$291,'Resultat-Produktion &amp; forbrug'!$A$4:$A$291,'Produktion &amp; forbrug'!$A126,'Resultat-Produktion &amp; forbrug'!$E$4:$E$291,'Produktion &amp; forbrug'!$F126)</f>
        <v>0</v>
      </c>
      <c r="J126" s="94">
        <f>SUMIFS('Resultat-Produktion &amp; forbrug'!J$4:J$291,'Resultat-Produktion &amp; forbrug'!$A$4:$A$291,'Produktion &amp; forbrug'!$A126,'Resultat-Produktion &amp; forbrug'!$E$4:$E$291,'Produktion &amp; forbrug'!$F126)</f>
        <v>0</v>
      </c>
      <c r="K126" s="94">
        <f>SUMIFS('Resultat-Produktion &amp; forbrug'!K$4:K$291,'Resultat-Produktion &amp; forbrug'!$A$4:$A$291,'Produktion &amp; forbrug'!$A126,'Resultat-Produktion &amp; forbrug'!$E$4:$E$291,'Produktion &amp; forbrug'!$F126)</f>
        <v>0</v>
      </c>
      <c r="L126" s="94">
        <f>SUMIFS('Resultat-Produktion &amp; forbrug'!L$4:L$291,'Resultat-Produktion &amp; forbrug'!$A$4:$A$291,'Produktion &amp; forbrug'!$A126,'Resultat-Produktion &amp; forbrug'!$E$4:$E$291,'Produktion &amp; forbrug'!$F126)</f>
        <v>0</v>
      </c>
      <c r="M126" s="94">
        <f>SUMIFS('Resultat-Produktion &amp; forbrug'!M$4:M$291,'Resultat-Produktion &amp; forbrug'!$A$4:$A$291,'Produktion &amp; forbrug'!$A126,'Resultat-Produktion &amp; forbrug'!$E$4:$E$291,'Produktion &amp; forbrug'!$F126)</f>
        <v>0</v>
      </c>
      <c r="N126" s="94">
        <f>SUMIFS('Resultat-Produktion &amp; forbrug'!N$4:N$291,'Resultat-Produktion &amp; forbrug'!$A$4:$A$291,'Produktion &amp; forbrug'!$A126,'Resultat-Produktion &amp; forbrug'!$E$4:$E$291,'Produktion &amp; forbrug'!$F126)</f>
        <v>0</v>
      </c>
      <c r="O126" s="179">
        <f t="shared" ca="1" si="17"/>
        <v>1964071.9525106084</v>
      </c>
      <c r="P126" s="94">
        <f t="shared" ca="1" si="18"/>
        <v>1964071.9525106084</v>
      </c>
      <c r="Q126" s="180">
        <f t="shared" si="19"/>
        <v>0</v>
      </c>
      <c r="R126">
        <f ca="1">IFERROR(VLOOKUP(A126,[1]Energiindhold!$A$2:$C$11,3,FALSE),IFERROR(VLOOKUP(A126,[1]Biogasudbytte!$A$2:$B$18,2,FALSE)*[1]Energiindhold!$C$10,0))*P126</f>
        <v>7.0510183095130845</v>
      </c>
      <c r="S126">
        <f ca="1">IF(A126&lt;&gt;"Biogas",IFERROR(VLOOKUP(A126,[1]Biogasudbytte!$A$2:$B$18,2,FALSE)*[1]Energiindhold!$C$10,0)*K126*IFERROR(VLOOKUP(A126,Biogasanlæg!$F$3:$G$8,2,FALSE),1)+IFERROR(VLOOKUP(A126,[1]Energiindhold!$A$2:$C$11,3,FALSE),0)*M126+IF(F126&lt;&gt;År1,R126,0),0)</f>
        <v>7.0510183095130845</v>
      </c>
      <c r="T126">
        <f>IFERROR(VLOOKUP(A126,[1]Biogasudbytte!$A$2:$B$18,2,FALSE)*[1]Energiindhold!$C$10,0)*K126*IFERROR(VLOOKUP(A126,Biogasanlæg!$F$3:$G$8,2,FALSE),1)</f>
        <v>0</v>
      </c>
      <c r="U126" s="170">
        <f t="shared" ca="1" si="20"/>
        <v>7.0510183095130845</v>
      </c>
      <c r="V126" s="169">
        <f ca="1">P126*IFERROR(VLOOKUP(A126,[1]Tørstofindhold!A$2:B$24,2,FALSE),0)</f>
        <v>589221.58575318253</v>
      </c>
      <c r="W126">
        <f ca="1">IF(F126=År1,Q126,SUM(P126,Q126))*IFERROR(VLOOKUP(A126,[1]Tørstofindhold!A$2:B$24,2,FALSE),0)</f>
        <v>589221.58575318253</v>
      </c>
      <c r="X126">
        <f>K126*IFERROR(VLOOKUP(A126,[1]Tørstofindhold!A$2:B$24,2,FALSE),0)</f>
        <v>0</v>
      </c>
      <c r="Y126" s="170">
        <f t="shared" ca="1" si="21"/>
        <v>589221.58575318253</v>
      </c>
      <c r="Z126">
        <f t="shared" ca="1" si="24"/>
        <v>0</v>
      </c>
      <c r="AA126">
        <f t="shared" ca="1" si="25"/>
        <v>1</v>
      </c>
      <c r="AC126" s="94">
        <f t="shared" ca="1" si="22"/>
        <v>1964071.9525106084</v>
      </c>
      <c r="AD126">
        <f ca="1">AC126*E126*10000*VLOOKUP(A126,[1]kcal!$A$2:$C$49,3,FALSE)/1000000000000</f>
        <v>1.7873054767846535</v>
      </c>
    </row>
    <row r="127" spans="1:30" x14ac:dyDescent="0.25">
      <c r="A127" s="171" t="str">
        <f t="shared" si="26"/>
        <v>Mejeriprodukter</v>
      </c>
      <c r="B127" s="171" t="str">
        <f t="shared" si="27"/>
        <v/>
      </c>
      <c r="C127" s="171" t="str">
        <f>IFERROR(VLOOKUP(A127,'Kategorisering af kcal'!$J$2:$K$18,2,FALSE),"")</f>
        <v>Mejeriprodukter</v>
      </c>
      <c r="D127" s="171">
        <f>IF(COUNTIFS('Resultater - Danmark'!$D$3:$D$504,'Produktion &amp; forbrug'!A127,'Resultater - Danmark'!$A$3:$A$504,"Til energi")+COUNTIFS('Resultater - Danmark'!$D$3:$D$504,'Produktion &amp; forbrug'!A127,'Resultater - Danmark'!$A$3:$A$504,"Biogasanlæg")&gt;0,1,0)</f>
        <v>0</v>
      </c>
      <c r="E127" s="171">
        <f t="shared" si="28"/>
        <v>1</v>
      </c>
      <c r="F127" s="171">
        <f t="shared" si="23"/>
        <v>2050</v>
      </c>
      <c r="G127" s="94">
        <f ca="1">SUMIFS('Resultat-Produktion &amp; forbrug'!G$4:G$291,'Resultat-Produktion &amp; forbrug'!$A$4:$A$291,'Produktion &amp; forbrug'!$A127,'Resultat-Produktion &amp; forbrug'!$E$4:$E$291,'Produktion &amp; forbrug'!$F127)</f>
        <v>3287746.765328066</v>
      </c>
      <c r="H127" s="94">
        <f>SUMIFS('Resultat-Produktion &amp; forbrug'!H$4:H$291,'Resultat-Produktion &amp; forbrug'!$A$4:$A$291,'Produktion &amp; forbrug'!$A127,'Resultat-Produktion &amp; forbrug'!$E$4:$E$291,'Produktion &amp; forbrug'!$F127)</f>
        <v>0</v>
      </c>
      <c r="I127" s="94">
        <f>SUMIFS('Resultat-Produktion &amp; forbrug'!I$4:I$291,'Resultat-Produktion &amp; forbrug'!$A$4:$A$291,'Produktion &amp; forbrug'!$A127,'Resultat-Produktion &amp; forbrug'!$E$4:$E$291,'Produktion &amp; forbrug'!$F127)</f>
        <v>0</v>
      </c>
      <c r="J127" s="94">
        <f>SUMIFS('Resultat-Produktion &amp; forbrug'!J$4:J$291,'Resultat-Produktion &amp; forbrug'!$A$4:$A$291,'Produktion &amp; forbrug'!$A127,'Resultat-Produktion &amp; forbrug'!$E$4:$E$291,'Produktion &amp; forbrug'!$F127)</f>
        <v>919038.57814492821</v>
      </c>
      <c r="K127" s="94">
        <f>SUMIFS('Resultat-Produktion &amp; forbrug'!K$4:K$291,'Resultat-Produktion &amp; forbrug'!$A$4:$A$291,'Produktion &amp; forbrug'!$A127,'Resultat-Produktion &amp; forbrug'!$E$4:$E$291,'Produktion &amp; forbrug'!$F127)</f>
        <v>0</v>
      </c>
      <c r="L127" s="94">
        <f>SUMIFS('Resultat-Produktion &amp; forbrug'!L$4:L$291,'Resultat-Produktion &amp; forbrug'!$A$4:$A$291,'Produktion &amp; forbrug'!$A127,'Resultat-Produktion &amp; forbrug'!$E$4:$E$291,'Produktion &amp; forbrug'!$F127)</f>
        <v>0</v>
      </c>
      <c r="M127" s="94">
        <f>SUMIFS('Resultat-Produktion &amp; forbrug'!M$4:M$291,'Resultat-Produktion &amp; forbrug'!$A$4:$A$291,'Produktion &amp; forbrug'!$A127,'Resultat-Produktion &amp; forbrug'!$E$4:$E$291,'Produktion &amp; forbrug'!$F127)</f>
        <v>0</v>
      </c>
      <c r="N127" s="94">
        <f>SUMIFS('Resultat-Produktion &amp; forbrug'!N$4:N$291,'Resultat-Produktion &amp; forbrug'!$A$4:$A$291,'Produktion &amp; forbrug'!$A127,'Resultat-Produktion &amp; forbrug'!$E$4:$E$291,'Produktion &amp; forbrug'!$F127)</f>
        <v>0</v>
      </c>
      <c r="O127" s="179">
        <f t="shared" ca="1" si="17"/>
        <v>2368708.187183138</v>
      </c>
      <c r="P127" s="94">
        <f t="shared" si="18"/>
        <v>0</v>
      </c>
      <c r="Q127" s="180">
        <f t="shared" si="19"/>
        <v>0</v>
      </c>
      <c r="R127">
        <f>IFERROR(VLOOKUP(A127,[1]Energiindhold!$A$2:$C$11,3,FALSE),IFERROR(VLOOKUP(A127,[1]Biogasudbytte!$A$2:$B$18,2,FALSE)*[1]Energiindhold!$C$10,0))*P127</f>
        <v>0</v>
      </c>
      <c r="S127">
        <f>IF(A127&lt;&gt;"Biogas",IFERROR(VLOOKUP(A127,[1]Biogasudbytte!$A$2:$B$18,2,FALSE)*[1]Energiindhold!$C$10,0)*K127*IFERROR(VLOOKUP(A127,Biogasanlæg!$F$3:$G$8,2,FALSE),1)+IFERROR(VLOOKUP(A127,[1]Energiindhold!$A$2:$C$11,3,FALSE),0)*M127+IF(F127&lt;&gt;År1,R127,0),0)</f>
        <v>0</v>
      </c>
      <c r="T127">
        <f>IFERROR(VLOOKUP(A127,[1]Biogasudbytte!$A$2:$B$18,2,FALSE)*[1]Energiindhold!$C$10,0)*K127*IFERROR(VLOOKUP(A127,Biogasanlæg!$F$3:$G$8,2,FALSE),1)</f>
        <v>0</v>
      </c>
      <c r="U127" s="170">
        <f t="shared" si="20"/>
        <v>0</v>
      </c>
      <c r="V127" s="169">
        <f>P127*IFERROR(VLOOKUP(A127,[1]Tørstofindhold!A$2:B$24,2,FALSE),0)</f>
        <v>0</v>
      </c>
      <c r="W127">
        <f>IF(F127=År1,Q127,SUM(P127,Q127))*IFERROR(VLOOKUP(A127,[1]Tørstofindhold!A$2:B$24,2,FALSE),0)</f>
        <v>0</v>
      </c>
      <c r="X127">
        <f>K127*IFERROR(VLOOKUP(A127,[1]Tørstofindhold!A$2:B$24,2,FALSE),0)</f>
        <v>0</v>
      </c>
      <c r="Y127" s="170">
        <f t="shared" si="21"/>
        <v>0</v>
      </c>
      <c r="Z127">
        <f t="shared" ca="1" si="24"/>
        <v>0</v>
      </c>
      <c r="AA127">
        <f t="shared" ca="1" si="25"/>
        <v>1</v>
      </c>
      <c r="AC127" s="94">
        <f t="shared" ca="1" si="22"/>
        <v>3287746.765328066</v>
      </c>
      <c r="AD127">
        <f ca="1">AC127*E127*10000*VLOOKUP(A127,[1]kcal!$A$2:$C$49,3,FALSE)/1000000000000</f>
        <v>2.0712804621566816</v>
      </c>
    </row>
    <row r="128" spans="1:30" x14ac:dyDescent="0.25">
      <c r="A128" s="171" t="str">
        <f t="shared" si="26"/>
        <v>Muslinger</v>
      </c>
      <c r="B128" s="171" t="str">
        <f t="shared" si="27"/>
        <v>Havbiomasse</v>
      </c>
      <c r="C128" s="171" t="str">
        <f>IFERROR(VLOOKUP(A128,'Kategorisering af kcal'!$J$2:$K$18,2,FALSE),"")</f>
        <v>Fisk mm</v>
      </c>
      <c r="D128" s="171">
        <f>IF(COUNTIFS('Resultater - Danmark'!$D$3:$D$504,'Produktion &amp; forbrug'!A128,'Resultater - Danmark'!$A$3:$A$504,"Til energi")+COUNTIFS('Resultater - Danmark'!$D$3:$D$504,'Produktion &amp; forbrug'!A128,'Resultater - Danmark'!$A$3:$A$504,"Biogasanlæg")&gt;0,1,0)</f>
        <v>1</v>
      </c>
      <c r="E128" s="171">
        <f t="shared" si="28"/>
        <v>1</v>
      </c>
      <c r="F128" s="171">
        <f t="shared" si="23"/>
        <v>2050</v>
      </c>
      <c r="G128" s="94">
        <f>SUMIFS('Resultat-Produktion &amp; forbrug'!G$4:G$291,'Resultat-Produktion &amp; forbrug'!$A$4:$A$291,'Produktion &amp; forbrug'!$A128,'Resultat-Produktion &amp; forbrug'!$E$4:$E$291,'Produktion &amp; forbrug'!$F128)</f>
        <v>880.09999999999991</v>
      </c>
      <c r="H128" s="94">
        <f ca="1">SUMIFS('Resultat-Produktion &amp; forbrug'!H$4:H$291,'Resultat-Produktion &amp; forbrug'!$A$4:$A$291,'Produktion &amp; forbrug'!$A128,'Resultat-Produktion &amp; forbrug'!$E$4:$E$291,'Produktion &amp; forbrug'!$F128)</f>
        <v>0</v>
      </c>
      <c r="I128" s="94">
        <f>SUMIFS('Resultat-Produktion &amp; forbrug'!I$4:I$291,'Resultat-Produktion &amp; forbrug'!$A$4:$A$291,'Produktion &amp; forbrug'!$A128,'Resultat-Produktion &amp; forbrug'!$E$4:$E$291,'Produktion &amp; forbrug'!$F128)</f>
        <v>0</v>
      </c>
      <c r="J128" s="94">
        <f>SUMIFS('Resultat-Produktion &amp; forbrug'!J$4:J$291,'Resultat-Produktion &amp; forbrug'!$A$4:$A$291,'Produktion &amp; forbrug'!$A128,'Resultat-Produktion &amp; forbrug'!$E$4:$E$291,'Produktion &amp; forbrug'!$F128)</f>
        <v>0</v>
      </c>
      <c r="K128" s="94">
        <f>SUMIFS('Resultat-Produktion &amp; forbrug'!K$4:K$291,'Resultat-Produktion &amp; forbrug'!$A$4:$A$291,'Produktion &amp; forbrug'!$A128,'Resultat-Produktion &amp; forbrug'!$E$4:$E$291,'Produktion &amp; forbrug'!$F128)</f>
        <v>0</v>
      </c>
      <c r="L128" s="94">
        <f>SUMIFS('Resultat-Produktion &amp; forbrug'!L$4:L$291,'Resultat-Produktion &amp; forbrug'!$A$4:$A$291,'Produktion &amp; forbrug'!$A128,'Resultat-Produktion &amp; forbrug'!$E$4:$E$291,'Produktion &amp; forbrug'!$F128)</f>
        <v>0</v>
      </c>
      <c r="M128" s="94">
        <f>SUMIFS('Resultat-Produktion &amp; forbrug'!M$4:M$291,'Resultat-Produktion &amp; forbrug'!$A$4:$A$291,'Produktion &amp; forbrug'!$A128,'Resultat-Produktion &amp; forbrug'!$E$4:$E$291,'Produktion &amp; forbrug'!$F128)</f>
        <v>0</v>
      </c>
      <c r="N128" s="94">
        <f>SUMIFS('Resultat-Produktion &amp; forbrug'!N$4:N$291,'Resultat-Produktion &amp; forbrug'!$A$4:$A$291,'Produktion &amp; forbrug'!$A128,'Resultat-Produktion &amp; forbrug'!$E$4:$E$291,'Produktion &amp; forbrug'!$F128)</f>
        <v>0</v>
      </c>
      <c r="O128" s="179">
        <f t="shared" ca="1" si="17"/>
        <v>880.09999999999991</v>
      </c>
      <c r="P128" s="94">
        <f t="shared" ca="1" si="18"/>
        <v>880.09999999999991</v>
      </c>
      <c r="Q128" s="180">
        <f t="shared" si="19"/>
        <v>0</v>
      </c>
      <c r="R128">
        <f ca="1">IFERROR(VLOOKUP(A128,[1]Energiindhold!$A$2:$C$11,3,FALSE),IFERROR(VLOOKUP(A128,[1]Biogasudbytte!$A$2:$B$18,2,FALSE)*[1]Energiindhold!$C$10,0))*P128</f>
        <v>7.8988975000000004E-4</v>
      </c>
      <c r="S128">
        <f ca="1">IF(A128&lt;&gt;"Biogas",IFERROR(VLOOKUP(A128,[1]Biogasudbytte!$A$2:$B$18,2,FALSE)*[1]Energiindhold!$C$10,0)*K128*IFERROR(VLOOKUP(A128,Biogasanlæg!$F$3:$G$8,2,FALSE),1)+IFERROR(VLOOKUP(A128,[1]Energiindhold!$A$2:$C$11,3,FALSE),0)*M128+IF(F128&lt;&gt;År1,R128,0),0)</f>
        <v>7.8988975000000004E-4</v>
      </c>
      <c r="T128">
        <f>IFERROR(VLOOKUP(A128,[1]Biogasudbytte!$A$2:$B$18,2,FALSE)*[1]Energiindhold!$C$10,0)*K128*IFERROR(VLOOKUP(A128,Biogasanlæg!$F$3:$G$8,2,FALSE),1)</f>
        <v>0</v>
      </c>
      <c r="U128" s="170">
        <f t="shared" ca="1" si="20"/>
        <v>7.8988975000000004E-4</v>
      </c>
      <c r="V128" s="169">
        <f ca="1">P128*IFERROR(VLOOKUP(A128,[1]Tørstofindhold!A$2:B$24,2,FALSE),0)</f>
        <v>132.01499999999999</v>
      </c>
      <c r="W128">
        <f ca="1">IF(F128=År1,Q128,SUM(P128,Q128))*IFERROR(VLOOKUP(A128,[1]Tørstofindhold!A$2:B$24,2,FALSE),0)</f>
        <v>132.01499999999999</v>
      </c>
      <c r="X128">
        <f>K128*IFERROR(VLOOKUP(A128,[1]Tørstofindhold!A$2:B$24,2,FALSE),0)</f>
        <v>0</v>
      </c>
      <c r="Y128" s="170">
        <f t="shared" ca="1" si="21"/>
        <v>132.01499999999999</v>
      </c>
      <c r="Z128">
        <f t="shared" ca="1" si="24"/>
        <v>0</v>
      </c>
      <c r="AA128">
        <f t="shared" ca="1" si="25"/>
        <v>1</v>
      </c>
      <c r="AC128" s="94">
        <f t="shared" ca="1" si="22"/>
        <v>880.09999999999991</v>
      </c>
      <c r="AD128">
        <f ca="1">AC128*E128*10000*VLOOKUP(A128,[1]kcal!$A$2:$C$49,3,FALSE)/1000000000000</f>
        <v>7.3048299999999998E-4</v>
      </c>
    </row>
    <row r="129" spans="1:30" x14ac:dyDescent="0.25">
      <c r="A129" s="171" t="str">
        <f t="shared" si="26"/>
        <v>Oksekød</v>
      </c>
      <c r="B129" s="171" t="str">
        <f t="shared" si="27"/>
        <v/>
      </c>
      <c r="C129" s="171" t="str">
        <f>IFERROR(VLOOKUP(A129,'Kategorisering af kcal'!$J$2:$K$18,2,FALSE),"")</f>
        <v>Kød</v>
      </c>
      <c r="D129" s="171">
        <f>IF(COUNTIFS('Resultater - Danmark'!$D$3:$D$504,'Produktion &amp; forbrug'!A129,'Resultater - Danmark'!$A$3:$A$504,"Til energi")+COUNTIFS('Resultater - Danmark'!$D$3:$D$504,'Produktion &amp; forbrug'!A129,'Resultater - Danmark'!$A$3:$A$504,"Biogasanlæg")&gt;0,1,0)</f>
        <v>0</v>
      </c>
      <c r="E129" s="171">
        <f t="shared" si="28"/>
        <v>1</v>
      </c>
      <c r="F129" s="171">
        <f t="shared" si="23"/>
        <v>2050</v>
      </c>
      <c r="G129" s="94">
        <f ca="1">SUMIFS('Resultat-Produktion &amp; forbrug'!G$4:G$291,'Resultat-Produktion &amp; forbrug'!$A$4:$A$291,'Produktion &amp; forbrug'!$A129,'Resultat-Produktion &amp; forbrug'!$E$4:$E$291,'Produktion &amp; forbrug'!$F129)</f>
        <v>110093.6792842632</v>
      </c>
      <c r="H129" s="94">
        <f>SUMIFS('Resultat-Produktion &amp; forbrug'!H$4:H$291,'Resultat-Produktion &amp; forbrug'!$A$4:$A$291,'Produktion &amp; forbrug'!$A129,'Resultat-Produktion &amp; forbrug'!$E$4:$E$291,'Produktion &amp; forbrug'!$F129)</f>
        <v>0</v>
      </c>
      <c r="I129" s="94">
        <f>SUMIFS('Resultat-Produktion &amp; forbrug'!I$4:I$291,'Resultat-Produktion &amp; forbrug'!$A$4:$A$291,'Produktion &amp; forbrug'!$A129,'Resultat-Produktion &amp; forbrug'!$E$4:$E$291,'Produktion &amp; forbrug'!$F129)</f>
        <v>0</v>
      </c>
      <c r="J129" s="94">
        <f>SUMIFS('Resultat-Produktion &amp; forbrug'!J$4:J$291,'Resultat-Produktion &amp; forbrug'!$A$4:$A$291,'Produktion &amp; forbrug'!$A129,'Resultat-Produktion &amp; forbrug'!$E$4:$E$291,'Produktion &amp; forbrug'!$F129)</f>
        <v>116781.28139531243</v>
      </c>
      <c r="K129" s="94">
        <f>SUMIFS('Resultat-Produktion &amp; forbrug'!K$4:K$291,'Resultat-Produktion &amp; forbrug'!$A$4:$A$291,'Produktion &amp; forbrug'!$A129,'Resultat-Produktion &amp; forbrug'!$E$4:$E$291,'Produktion &amp; forbrug'!$F129)</f>
        <v>0</v>
      </c>
      <c r="L129" s="94">
        <f>SUMIFS('Resultat-Produktion &amp; forbrug'!L$4:L$291,'Resultat-Produktion &amp; forbrug'!$A$4:$A$291,'Produktion &amp; forbrug'!$A129,'Resultat-Produktion &amp; forbrug'!$E$4:$E$291,'Produktion &amp; forbrug'!$F129)</f>
        <v>0</v>
      </c>
      <c r="M129" s="94">
        <f>SUMIFS('Resultat-Produktion &amp; forbrug'!M$4:M$291,'Resultat-Produktion &amp; forbrug'!$A$4:$A$291,'Produktion &amp; forbrug'!$A129,'Resultat-Produktion &amp; forbrug'!$E$4:$E$291,'Produktion &amp; forbrug'!$F129)</f>
        <v>0</v>
      </c>
      <c r="N129" s="94">
        <f>SUMIFS('Resultat-Produktion &amp; forbrug'!N$4:N$291,'Resultat-Produktion &amp; forbrug'!$A$4:$A$291,'Produktion &amp; forbrug'!$A129,'Resultat-Produktion &amp; forbrug'!$E$4:$E$291,'Produktion &amp; forbrug'!$F129)</f>
        <v>0</v>
      </c>
      <c r="O129" s="179">
        <f t="shared" ca="1" si="17"/>
        <v>-6687.6021110492293</v>
      </c>
      <c r="P129" s="94">
        <f t="shared" si="18"/>
        <v>0</v>
      </c>
      <c r="Q129" s="180">
        <f t="shared" si="19"/>
        <v>0</v>
      </c>
      <c r="R129">
        <f>IFERROR(VLOOKUP(A129,[1]Energiindhold!$A$2:$C$11,3,FALSE),IFERROR(VLOOKUP(A129,[1]Biogasudbytte!$A$2:$B$18,2,FALSE)*[1]Energiindhold!$C$10,0))*P129</f>
        <v>0</v>
      </c>
      <c r="S129">
        <f>IF(A129&lt;&gt;"Biogas",IFERROR(VLOOKUP(A129,[1]Biogasudbytte!$A$2:$B$18,2,FALSE)*[1]Energiindhold!$C$10,0)*K129*IFERROR(VLOOKUP(A129,Biogasanlæg!$F$3:$G$8,2,FALSE),1)+IFERROR(VLOOKUP(A129,[1]Energiindhold!$A$2:$C$11,3,FALSE),0)*M129+IF(F129&lt;&gt;År1,R129,0),0)</f>
        <v>0</v>
      </c>
      <c r="T129">
        <f>IFERROR(VLOOKUP(A129,[1]Biogasudbytte!$A$2:$B$18,2,FALSE)*[1]Energiindhold!$C$10,0)*K129*IFERROR(VLOOKUP(A129,Biogasanlæg!$F$3:$G$8,2,FALSE),1)</f>
        <v>0</v>
      </c>
      <c r="U129" s="170">
        <f t="shared" si="20"/>
        <v>0</v>
      </c>
      <c r="V129" s="169">
        <f>P129*IFERROR(VLOOKUP(A129,[1]Tørstofindhold!A$2:B$24,2,FALSE),0)</f>
        <v>0</v>
      </c>
      <c r="W129">
        <f>IF(F129=År1,Q129,SUM(P129,Q129))*IFERROR(VLOOKUP(A129,[1]Tørstofindhold!A$2:B$24,2,FALSE),0)</f>
        <v>0</v>
      </c>
      <c r="X129">
        <f>K129*IFERROR(VLOOKUP(A129,[1]Tørstofindhold!A$2:B$24,2,FALSE),0)</f>
        <v>0</v>
      </c>
      <c r="Y129" s="170">
        <f t="shared" si="21"/>
        <v>0</v>
      </c>
      <c r="Z129">
        <f t="shared" ca="1" si="24"/>
        <v>1</v>
      </c>
      <c r="AA129">
        <f t="shared" ca="1" si="25"/>
        <v>0</v>
      </c>
      <c r="AC129" s="94">
        <f t="shared" ca="1" si="22"/>
        <v>110093.6792842632</v>
      </c>
      <c r="AD129">
        <f ca="1">AC129*E129*10000*VLOOKUP(A129,[1]kcal!$A$2:$C$49,3,FALSE)/1000000000000</f>
        <v>0.21468267460431326</v>
      </c>
    </row>
    <row r="130" spans="1:30" x14ac:dyDescent="0.25">
      <c r="A130" s="171" t="str">
        <f t="shared" si="26"/>
        <v>Øvrige</v>
      </c>
      <c r="B130" s="171" t="str">
        <f t="shared" si="27"/>
        <v/>
      </c>
      <c r="C130" s="171" t="str">
        <f>IFERROR(VLOOKUP(A130,'Kategorisering af kcal'!$J$2:$K$18,2,FALSE),"")</f>
        <v>Øvrige</v>
      </c>
      <c r="D130" s="171">
        <f>IF(COUNTIFS('Resultater - Danmark'!$D$3:$D$504,'Produktion &amp; forbrug'!A130,'Resultater - Danmark'!$A$3:$A$504,"Til energi")+COUNTIFS('Resultater - Danmark'!$D$3:$D$504,'Produktion &amp; forbrug'!A130,'Resultater - Danmark'!$A$3:$A$504,"Biogasanlæg")&gt;0,1,0)</f>
        <v>0</v>
      </c>
      <c r="E130" s="171">
        <f t="shared" si="28"/>
        <v>1</v>
      </c>
      <c r="F130" s="171">
        <f t="shared" si="23"/>
        <v>2050</v>
      </c>
      <c r="G130" s="94">
        <f>SUMIFS('Resultat-Produktion &amp; forbrug'!G$4:G$291,'Resultat-Produktion &amp; forbrug'!$A$4:$A$291,'Produktion &amp; forbrug'!$A130,'Resultat-Produktion &amp; forbrug'!$E$4:$E$291,'Produktion &amp; forbrug'!$F130)</f>
        <v>1955120.5101390816</v>
      </c>
      <c r="H130" s="94">
        <f>SUMIFS('Resultat-Produktion &amp; forbrug'!H$4:H$291,'Resultat-Produktion &amp; forbrug'!$A$4:$A$291,'Produktion &amp; forbrug'!$A130,'Resultat-Produktion &amp; forbrug'!$E$4:$E$291,'Produktion &amp; forbrug'!$F130)</f>
        <v>0</v>
      </c>
      <c r="I130" s="94">
        <f>SUMIFS('Resultat-Produktion &amp; forbrug'!I$4:I$291,'Resultat-Produktion &amp; forbrug'!$A$4:$A$291,'Produktion &amp; forbrug'!$A130,'Resultat-Produktion &amp; forbrug'!$E$4:$E$291,'Produktion &amp; forbrug'!$F130)</f>
        <v>0</v>
      </c>
      <c r="J130" s="94">
        <f>SUMIFS('Resultat-Produktion &amp; forbrug'!J$4:J$291,'Resultat-Produktion &amp; forbrug'!$A$4:$A$291,'Produktion &amp; forbrug'!$A130,'Resultat-Produktion &amp; forbrug'!$E$4:$E$291,'Produktion &amp; forbrug'!$F130)</f>
        <v>0</v>
      </c>
      <c r="K130" s="94">
        <f>SUMIFS('Resultat-Produktion &amp; forbrug'!K$4:K$291,'Resultat-Produktion &amp; forbrug'!$A$4:$A$291,'Produktion &amp; forbrug'!$A130,'Resultat-Produktion &amp; forbrug'!$E$4:$E$291,'Produktion &amp; forbrug'!$F130)</f>
        <v>0</v>
      </c>
      <c r="L130" s="94">
        <f>SUMIFS('Resultat-Produktion &amp; forbrug'!L$4:L$291,'Resultat-Produktion &amp; forbrug'!$A$4:$A$291,'Produktion &amp; forbrug'!$A130,'Resultat-Produktion &amp; forbrug'!$E$4:$E$291,'Produktion &amp; forbrug'!$F130)</f>
        <v>0</v>
      </c>
      <c r="M130" s="94">
        <f>SUMIFS('Resultat-Produktion &amp; forbrug'!M$4:M$291,'Resultat-Produktion &amp; forbrug'!$A$4:$A$291,'Produktion &amp; forbrug'!$A130,'Resultat-Produktion &amp; forbrug'!$E$4:$E$291,'Produktion &amp; forbrug'!$F130)</f>
        <v>0</v>
      </c>
      <c r="N130" s="94">
        <f>SUMIFS('Resultat-Produktion &amp; forbrug'!N$4:N$291,'Resultat-Produktion &amp; forbrug'!$A$4:$A$291,'Produktion &amp; forbrug'!$A130,'Resultat-Produktion &amp; forbrug'!$E$4:$E$291,'Produktion &amp; forbrug'!$F130)</f>
        <v>0</v>
      </c>
      <c r="O130" s="179">
        <f t="shared" si="17"/>
        <v>1955120.5101390816</v>
      </c>
      <c r="P130" s="94">
        <f t="shared" si="18"/>
        <v>0</v>
      </c>
      <c r="Q130" s="180">
        <f t="shared" si="19"/>
        <v>0</v>
      </c>
      <c r="R130">
        <f>IFERROR(VLOOKUP(A130,[1]Energiindhold!$A$2:$C$11,3,FALSE),IFERROR(VLOOKUP(A130,[1]Biogasudbytte!$A$2:$B$18,2,FALSE)*[1]Energiindhold!$C$10,0))*P130</f>
        <v>0</v>
      </c>
      <c r="S130">
        <f>IF(A130&lt;&gt;"Biogas",IFERROR(VLOOKUP(A130,[1]Biogasudbytte!$A$2:$B$18,2,FALSE)*[1]Energiindhold!$C$10,0)*K130*IFERROR(VLOOKUP(A130,Biogasanlæg!$F$3:$G$8,2,FALSE),1)+IFERROR(VLOOKUP(A130,[1]Energiindhold!$A$2:$C$11,3,FALSE),0)*M130+IF(F130&lt;&gt;År1,R130,0),0)</f>
        <v>0</v>
      </c>
      <c r="T130">
        <f>IFERROR(VLOOKUP(A130,[1]Biogasudbytte!$A$2:$B$18,2,FALSE)*[1]Energiindhold!$C$10,0)*K130*IFERROR(VLOOKUP(A130,Biogasanlæg!$F$3:$G$8,2,FALSE),1)</f>
        <v>0</v>
      </c>
      <c r="U130" s="170">
        <f t="shared" si="20"/>
        <v>0</v>
      </c>
      <c r="V130" s="169">
        <f>P130*IFERROR(VLOOKUP(A130,[1]Tørstofindhold!A$2:B$24,2,FALSE),0)</f>
        <v>0</v>
      </c>
      <c r="W130">
        <f>IF(F130=År1,Q130,SUM(P130,Q130))*IFERROR(VLOOKUP(A130,[1]Tørstofindhold!A$2:B$24,2,FALSE),0)</f>
        <v>0</v>
      </c>
      <c r="X130">
        <f>K130*IFERROR(VLOOKUP(A130,[1]Tørstofindhold!A$2:B$24,2,FALSE),0)</f>
        <v>0</v>
      </c>
      <c r="Y130" s="170">
        <f t="shared" si="21"/>
        <v>0</v>
      </c>
      <c r="Z130">
        <f t="shared" si="24"/>
        <v>0</v>
      </c>
      <c r="AA130">
        <f t="shared" si="25"/>
        <v>1</v>
      </c>
      <c r="AC130" s="94">
        <f t="shared" si="22"/>
        <v>1955120.5101390816</v>
      </c>
      <c r="AD130">
        <f>AC130*E130*10000*VLOOKUP(A130,[1]kcal!$A$2:$C$49,3,FALSE)/1000000000000</f>
        <v>0.76249699895424183</v>
      </c>
    </row>
    <row r="131" spans="1:30" x14ac:dyDescent="0.25">
      <c r="A131" s="171" t="str">
        <f t="shared" si="26"/>
        <v>Pil &amp; poppel</v>
      </c>
      <c r="B131" s="171" t="str">
        <f t="shared" si="27"/>
        <v>Vedmasse</v>
      </c>
      <c r="C131" s="171" t="str">
        <f>IFERROR(VLOOKUP(A131,'Kategorisering af kcal'!$J$2:$K$18,2,FALSE),"")</f>
        <v/>
      </c>
      <c r="D131" s="171">
        <f>IF(COUNTIFS('Resultater - Danmark'!$D$3:$D$504,'Produktion &amp; forbrug'!A131,'Resultater - Danmark'!$A$3:$A$504,"Til energi")+COUNTIFS('Resultater - Danmark'!$D$3:$D$504,'Produktion &amp; forbrug'!A131,'Resultater - Danmark'!$A$3:$A$504,"Biogasanlæg")&gt;0,1,0)</f>
        <v>1</v>
      </c>
      <c r="E131" s="171">
        <f t="shared" si="28"/>
        <v>0</v>
      </c>
      <c r="F131" s="171">
        <f t="shared" si="23"/>
        <v>2050</v>
      </c>
      <c r="G131" s="94">
        <f>SUMIFS('Resultat-Produktion &amp; forbrug'!G$4:G$291,'Resultat-Produktion &amp; forbrug'!$A$4:$A$291,'Produktion &amp; forbrug'!$A131,'Resultat-Produktion &amp; forbrug'!$E$4:$E$291,'Produktion &amp; forbrug'!$F131)</f>
        <v>183432.40969824954</v>
      </c>
      <c r="H131" s="94">
        <f>SUMIFS('Resultat-Produktion &amp; forbrug'!H$4:H$291,'Resultat-Produktion &amp; forbrug'!$A$4:$A$291,'Produktion &amp; forbrug'!$A131,'Resultat-Produktion &amp; forbrug'!$E$4:$E$291,'Produktion &amp; forbrug'!$F131)</f>
        <v>0</v>
      </c>
      <c r="I131" s="94">
        <f>SUMIFS('Resultat-Produktion &amp; forbrug'!I$4:I$291,'Resultat-Produktion &amp; forbrug'!$A$4:$A$291,'Produktion &amp; forbrug'!$A131,'Resultat-Produktion &amp; forbrug'!$E$4:$E$291,'Produktion &amp; forbrug'!$F131)</f>
        <v>0</v>
      </c>
      <c r="J131" s="94">
        <f>SUMIFS('Resultat-Produktion &amp; forbrug'!J$4:J$291,'Resultat-Produktion &amp; forbrug'!$A$4:$A$291,'Produktion &amp; forbrug'!$A131,'Resultat-Produktion &amp; forbrug'!$E$4:$E$291,'Produktion &amp; forbrug'!$F131)</f>
        <v>0</v>
      </c>
      <c r="K131" s="94">
        <f>SUMIFS('Resultat-Produktion &amp; forbrug'!K$4:K$291,'Resultat-Produktion &amp; forbrug'!$A$4:$A$291,'Produktion &amp; forbrug'!$A131,'Resultat-Produktion &amp; forbrug'!$E$4:$E$291,'Produktion &amp; forbrug'!$F131)</f>
        <v>0</v>
      </c>
      <c r="L131" s="94">
        <f>SUMIFS('Resultat-Produktion &amp; forbrug'!L$4:L$291,'Resultat-Produktion &amp; forbrug'!$A$4:$A$291,'Produktion &amp; forbrug'!$A131,'Resultat-Produktion &amp; forbrug'!$E$4:$E$291,'Produktion &amp; forbrug'!$F131)</f>
        <v>0</v>
      </c>
      <c r="M131" s="94">
        <f>SUMIFS('Resultat-Produktion &amp; forbrug'!M$4:M$291,'Resultat-Produktion &amp; forbrug'!$A$4:$A$291,'Produktion &amp; forbrug'!$A131,'Resultat-Produktion &amp; forbrug'!$E$4:$E$291,'Produktion &amp; forbrug'!$F131)</f>
        <v>183432.40969824954</v>
      </c>
      <c r="N131" s="94">
        <f>SUMIFS('Resultat-Produktion &amp; forbrug'!N$4:N$291,'Resultat-Produktion &amp; forbrug'!$A$4:$A$291,'Produktion &amp; forbrug'!$A131,'Resultat-Produktion &amp; forbrug'!$E$4:$E$291,'Produktion &amp; forbrug'!$F131)</f>
        <v>0</v>
      </c>
      <c r="O131" s="179">
        <f t="shared" si="17"/>
        <v>0</v>
      </c>
      <c r="P131" s="94">
        <f t="shared" si="18"/>
        <v>0</v>
      </c>
      <c r="Q131" s="180">
        <f t="shared" si="19"/>
        <v>183432.40969824954</v>
      </c>
      <c r="R131">
        <f>IFERROR(VLOOKUP(A131,[1]Energiindhold!$A$2:$C$11,3,FALSE),IFERROR(VLOOKUP(A131,[1]Biogasudbytte!$A$2:$B$18,2,FALSE)*[1]Energiindhold!$C$10,0))*P131</f>
        <v>0</v>
      </c>
      <c r="S131">
        <f>IF(A131&lt;&gt;"Biogas",IFERROR(VLOOKUP(A131,[1]Biogasudbytte!$A$2:$B$18,2,FALSE)*[1]Energiindhold!$C$10,0)*K131*IFERROR(VLOOKUP(A131,Biogasanlæg!$F$3:$G$8,2,FALSE),1)+IFERROR(VLOOKUP(A131,[1]Energiindhold!$A$2:$C$11,3,FALSE),0)*M131+IF(F131&lt;&gt;År1,R131,0),0)</f>
        <v>3.3751563384477907</v>
      </c>
      <c r="T131">
        <f>IFERROR(VLOOKUP(A131,[1]Biogasudbytte!$A$2:$B$18,2,FALSE)*[1]Energiindhold!$C$10,0)*K131*IFERROR(VLOOKUP(A131,Biogasanlæg!$F$3:$G$8,2,FALSE),1)</f>
        <v>0</v>
      </c>
      <c r="U131" s="170">
        <f t="shared" si="20"/>
        <v>3.3751563384477907</v>
      </c>
      <c r="V131" s="169">
        <f>P131*IFERROR(VLOOKUP(A131,[1]Tørstofindhold!A$2:B$24,2,FALSE),0)</f>
        <v>0</v>
      </c>
      <c r="W131">
        <f>IF(F131=År1,Q131,SUM(P131,Q131))*IFERROR(VLOOKUP(A131,[1]Tørstofindhold!A$2:B$24,2,FALSE),0)</f>
        <v>76124.45002477357</v>
      </c>
      <c r="X131">
        <f>K131*IFERROR(VLOOKUP(A131,[1]Tørstofindhold!A$2:B$24,2,FALSE),0)</f>
        <v>0</v>
      </c>
      <c r="Y131" s="170">
        <f t="shared" si="21"/>
        <v>76124.45002477357</v>
      </c>
      <c r="Z131">
        <f t="shared" si="24"/>
        <v>0</v>
      </c>
      <c r="AA131">
        <f t="shared" si="25"/>
        <v>0</v>
      </c>
      <c r="AC131" s="94">
        <f t="shared" si="22"/>
        <v>183432.40969824954</v>
      </c>
      <c r="AD131">
        <f>AC131*E131*10000*VLOOKUP(A131,[1]kcal!$A$2:$C$49,3,FALSE)/1000000000000</f>
        <v>0</v>
      </c>
    </row>
    <row r="132" spans="1:30" x14ac:dyDescent="0.25">
      <c r="A132" s="171" t="str">
        <f t="shared" si="26"/>
        <v>Pyrolysegas</v>
      </c>
      <c r="B132" s="171" t="str">
        <f t="shared" si="27"/>
        <v>Pyrolyseprodukter</v>
      </c>
      <c r="C132" s="171" t="str">
        <f>IFERROR(VLOOKUP(A132,'Kategorisering af kcal'!$J$2:$K$18,2,FALSE),"")</f>
        <v/>
      </c>
      <c r="D132" s="171">
        <f>IF(COUNTIFS('Resultater - Danmark'!$D$3:$D$504,'Produktion &amp; forbrug'!A132,'Resultater - Danmark'!$A$3:$A$504,"Til energi")+COUNTIFS('Resultater - Danmark'!$D$3:$D$504,'Produktion &amp; forbrug'!A132,'Resultater - Danmark'!$A$3:$A$504,"Biogasanlæg")&gt;0,1,0)</f>
        <v>1</v>
      </c>
      <c r="E132" s="171">
        <f t="shared" si="28"/>
        <v>0</v>
      </c>
      <c r="F132" s="171">
        <f t="shared" si="23"/>
        <v>2050</v>
      </c>
      <c r="G132" s="94">
        <f ca="1">SUMIFS('Resultat-Produktion &amp; forbrug'!G$4:G$291,'Resultat-Produktion &amp; forbrug'!$A$4:$A$291,'Produktion &amp; forbrug'!$A132,'Resultat-Produktion &amp; forbrug'!$E$4:$E$291,'Produktion &amp; forbrug'!$F132)</f>
        <v>0</v>
      </c>
      <c r="H132" s="94">
        <f>SUMIFS('Resultat-Produktion &amp; forbrug'!H$4:H$291,'Resultat-Produktion &amp; forbrug'!$A$4:$A$291,'Produktion &amp; forbrug'!$A132,'Resultat-Produktion &amp; forbrug'!$E$4:$E$291,'Produktion &amp; forbrug'!$F132)</f>
        <v>0</v>
      </c>
      <c r="I132" s="94">
        <f>SUMIFS('Resultat-Produktion &amp; forbrug'!I$4:I$291,'Resultat-Produktion &amp; forbrug'!$A$4:$A$291,'Produktion &amp; forbrug'!$A132,'Resultat-Produktion &amp; forbrug'!$E$4:$E$291,'Produktion &amp; forbrug'!$F132)</f>
        <v>0</v>
      </c>
      <c r="J132" s="94">
        <f>SUMIFS('Resultat-Produktion &amp; forbrug'!J$4:J$291,'Resultat-Produktion &amp; forbrug'!$A$4:$A$291,'Produktion &amp; forbrug'!$A132,'Resultat-Produktion &amp; forbrug'!$E$4:$E$291,'Produktion &amp; forbrug'!$F132)</f>
        <v>0</v>
      </c>
      <c r="K132" s="94">
        <f>SUMIFS('Resultat-Produktion &amp; forbrug'!K$4:K$291,'Resultat-Produktion &amp; forbrug'!$A$4:$A$291,'Produktion &amp; forbrug'!$A132,'Resultat-Produktion &amp; forbrug'!$E$4:$E$291,'Produktion &amp; forbrug'!$F132)</f>
        <v>0</v>
      </c>
      <c r="L132" s="94">
        <f>SUMIFS('Resultat-Produktion &amp; forbrug'!L$4:L$291,'Resultat-Produktion &amp; forbrug'!$A$4:$A$291,'Produktion &amp; forbrug'!$A132,'Resultat-Produktion &amp; forbrug'!$E$4:$E$291,'Produktion &amp; forbrug'!$F132)</f>
        <v>0</v>
      </c>
      <c r="M132" s="94">
        <f ca="1">SUMIFS('Resultat-Produktion &amp; forbrug'!M$4:M$291,'Resultat-Produktion &amp; forbrug'!$A$4:$A$291,'Produktion &amp; forbrug'!$A132,'Resultat-Produktion &amp; forbrug'!$E$4:$E$291,'Produktion &amp; forbrug'!$F132)</f>
        <v>0</v>
      </c>
      <c r="N132" s="94">
        <f>SUMIFS('Resultat-Produktion &amp; forbrug'!N$4:N$291,'Resultat-Produktion &amp; forbrug'!$A$4:$A$291,'Produktion &amp; forbrug'!$A132,'Resultat-Produktion &amp; forbrug'!$E$4:$E$291,'Produktion &amp; forbrug'!$F132)</f>
        <v>0</v>
      </c>
      <c r="O132" s="179">
        <f t="shared" ca="1" si="17"/>
        <v>0</v>
      </c>
      <c r="P132" s="94">
        <f t="shared" ca="1" si="18"/>
        <v>0</v>
      </c>
      <c r="Q132" s="180">
        <f t="shared" ca="1" si="19"/>
        <v>0</v>
      </c>
      <c r="R132">
        <f ca="1">IFERROR(VLOOKUP(A132,[1]Energiindhold!$A$2:$C$11,3,FALSE),IFERROR(VLOOKUP(A132,[1]Biogasudbytte!$A$2:$B$18,2,FALSE)*[1]Energiindhold!$C$10,0))*P132</f>
        <v>0</v>
      </c>
      <c r="S132">
        <f ca="1">IF(A132&lt;&gt;"Biogas",IFERROR(VLOOKUP(A132,[1]Biogasudbytte!$A$2:$B$18,2,FALSE)*[1]Energiindhold!$C$10,0)*K132*IFERROR(VLOOKUP(A132,Biogasanlæg!$F$3:$G$8,2,FALSE),1)+IFERROR(VLOOKUP(A132,[1]Energiindhold!$A$2:$C$11,3,FALSE),0)*M132+IF(F132&lt;&gt;År1,R132,0),0)</f>
        <v>0</v>
      </c>
      <c r="T132">
        <f>IFERROR(VLOOKUP(A132,[1]Biogasudbytte!$A$2:$B$18,2,FALSE)*[1]Energiindhold!$C$10,0)*K132*IFERROR(VLOOKUP(A132,Biogasanlæg!$F$3:$G$8,2,FALSE),1)</f>
        <v>0</v>
      </c>
      <c r="U132" s="170">
        <f t="shared" ca="1" si="20"/>
        <v>0</v>
      </c>
      <c r="V132" s="169">
        <f ca="1">P132*IFERROR(VLOOKUP(A132,[1]Tørstofindhold!A$2:B$24,2,FALSE),0)</f>
        <v>0</v>
      </c>
      <c r="W132">
        <f ca="1">IF(F132=År1,Q132,SUM(P132,Q132))*IFERROR(VLOOKUP(A132,[1]Tørstofindhold!A$2:B$24,2,FALSE),0)</f>
        <v>0</v>
      </c>
      <c r="X132">
        <f>K132*IFERROR(VLOOKUP(A132,[1]Tørstofindhold!A$2:B$24,2,FALSE),0)</f>
        <v>0</v>
      </c>
      <c r="Y132" s="170">
        <f t="shared" ca="1" si="21"/>
        <v>0</v>
      </c>
      <c r="Z132">
        <f t="shared" ref="Z132:Z147" ca="1" si="29">IF(SUMIFS($O$4:$O$147,$A$4:$A$147,A132,$F$4:$F$147,F132)&lt;0,1,0)</f>
        <v>0</v>
      </c>
      <c r="AA132">
        <f t="shared" ref="AA132:AA147" ca="1" si="30">IF(SUMIFS($O$4:$O$147,$A$4:$A$147,A132,$F$4:$F$147,F132)&gt;0,1,0)</f>
        <v>0</v>
      </c>
      <c r="AC132" s="94">
        <f t="shared" ca="1" si="22"/>
        <v>0</v>
      </c>
      <c r="AD132">
        <f ca="1">AC132*E132*10000*VLOOKUP(A132,[1]kcal!$A$2:$C$49,3,FALSE)/1000000000000</f>
        <v>0</v>
      </c>
    </row>
    <row r="133" spans="1:30" x14ac:dyDescent="0.25">
      <c r="A133" s="171" t="str">
        <f t="shared" si="26"/>
        <v>Pyrolyseolie</v>
      </c>
      <c r="B133" s="171" t="str">
        <f t="shared" si="27"/>
        <v>Pyrolyseprodukter</v>
      </c>
      <c r="C133" s="171" t="str">
        <f>IFERROR(VLOOKUP(A133,'Kategorisering af kcal'!$J$2:$K$18,2,FALSE),"")</f>
        <v/>
      </c>
      <c r="D133" s="171">
        <f>IF(COUNTIFS('Resultater - Danmark'!$D$3:$D$504,'Produktion &amp; forbrug'!A133,'Resultater - Danmark'!$A$3:$A$504,"Til energi")+COUNTIFS('Resultater - Danmark'!$D$3:$D$504,'Produktion &amp; forbrug'!A133,'Resultater - Danmark'!$A$3:$A$504,"Biogasanlæg")&gt;0,1,0)</f>
        <v>1</v>
      </c>
      <c r="E133" s="171">
        <f t="shared" si="28"/>
        <v>0</v>
      </c>
      <c r="F133" s="171">
        <f t="shared" si="23"/>
        <v>2050</v>
      </c>
      <c r="G133" s="94">
        <f ca="1">SUMIFS('Resultat-Produktion &amp; forbrug'!G$4:G$291,'Resultat-Produktion &amp; forbrug'!$A$4:$A$291,'Produktion &amp; forbrug'!$A133,'Resultat-Produktion &amp; forbrug'!$E$4:$E$291,'Produktion &amp; forbrug'!$F133)</f>
        <v>0</v>
      </c>
      <c r="H133" s="94">
        <f>SUMIFS('Resultat-Produktion &amp; forbrug'!H$4:H$291,'Resultat-Produktion &amp; forbrug'!$A$4:$A$291,'Produktion &amp; forbrug'!$A133,'Resultat-Produktion &amp; forbrug'!$E$4:$E$291,'Produktion &amp; forbrug'!$F133)</f>
        <v>0</v>
      </c>
      <c r="I133" s="94">
        <f>SUMIFS('Resultat-Produktion &amp; forbrug'!I$4:I$291,'Resultat-Produktion &amp; forbrug'!$A$4:$A$291,'Produktion &amp; forbrug'!$A133,'Resultat-Produktion &amp; forbrug'!$E$4:$E$291,'Produktion &amp; forbrug'!$F133)</f>
        <v>0</v>
      </c>
      <c r="J133" s="94">
        <f>SUMIFS('Resultat-Produktion &amp; forbrug'!J$4:J$291,'Resultat-Produktion &amp; forbrug'!$A$4:$A$291,'Produktion &amp; forbrug'!$A133,'Resultat-Produktion &amp; forbrug'!$E$4:$E$291,'Produktion &amp; forbrug'!$F133)</f>
        <v>0</v>
      </c>
      <c r="K133" s="94">
        <f>SUMIFS('Resultat-Produktion &amp; forbrug'!K$4:K$291,'Resultat-Produktion &amp; forbrug'!$A$4:$A$291,'Produktion &amp; forbrug'!$A133,'Resultat-Produktion &amp; forbrug'!$E$4:$E$291,'Produktion &amp; forbrug'!$F133)</f>
        <v>0</v>
      </c>
      <c r="L133" s="94">
        <f>SUMIFS('Resultat-Produktion &amp; forbrug'!L$4:L$291,'Resultat-Produktion &amp; forbrug'!$A$4:$A$291,'Produktion &amp; forbrug'!$A133,'Resultat-Produktion &amp; forbrug'!$E$4:$E$291,'Produktion &amp; forbrug'!$F133)</f>
        <v>0</v>
      </c>
      <c r="M133" s="94">
        <f ca="1">SUMIFS('Resultat-Produktion &amp; forbrug'!M$4:M$291,'Resultat-Produktion &amp; forbrug'!$A$4:$A$291,'Produktion &amp; forbrug'!$A133,'Resultat-Produktion &amp; forbrug'!$E$4:$E$291,'Produktion &amp; forbrug'!$F133)</f>
        <v>0</v>
      </c>
      <c r="N133" s="94">
        <f>SUMIFS('Resultat-Produktion &amp; forbrug'!N$4:N$291,'Resultat-Produktion &amp; forbrug'!$A$4:$A$291,'Produktion &amp; forbrug'!$A133,'Resultat-Produktion &amp; forbrug'!$E$4:$E$291,'Produktion &amp; forbrug'!$F133)</f>
        <v>0</v>
      </c>
      <c r="O133" s="179">
        <f t="shared" ca="1" si="17"/>
        <v>0</v>
      </c>
      <c r="P133" s="94">
        <f t="shared" ref="P133:P147" ca="1" si="31">IF(D133=1,MAX(O133,0),0)</f>
        <v>0</v>
      </c>
      <c r="Q133" s="180">
        <f t="shared" ca="1" si="19"/>
        <v>0</v>
      </c>
      <c r="R133">
        <f ca="1">IFERROR(VLOOKUP(A133,[1]Energiindhold!$A$2:$C$11,3,FALSE),IFERROR(VLOOKUP(A133,[1]Biogasudbytte!$A$2:$B$18,2,FALSE)*[1]Energiindhold!$C$10,0))*P133</f>
        <v>0</v>
      </c>
      <c r="S133">
        <f ca="1">IF(A133&lt;&gt;"Biogas",IFERROR(VLOOKUP(A133,[1]Biogasudbytte!$A$2:$B$18,2,FALSE)*[1]Energiindhold!$C$10,0)*K133*IFERROR(VLOOKUP(A133,Biogasanlæg!$F$3:$G$8,2,FALSE),1)+IFERROR(VLOOKUP(A133,[1]Energiindhold!$A$2:$C$11,3,FALSE),0)*M133+IF(F133&lt;&gt;År1,R133,0),0)</f>
        <v>0</v>
      </c>
      <c r="T133">
        <f>IFERROR(VLOOKUP(A133,[1]Biogasudbytte!$A$2:$B$18,2,FALSE)*[1]Energiindhold!$C$10,0)*K133*IFERROR(VLOOKUP(A133,Biogasanlæg!$F$3:$G$8,2,FALSE),1)</f>
        <v>0</v>
      </c>
      <c r="U133" s="170">
        <f t="shared" ca="1" si="20"/>
        <v>0</v>
      </c>
      <c r="V133" s="169">
        <f ca="1">P133*IFERROR(VLOOKUP(A133,[1]Tørstofindhold!A$2:B$24,2,FALSE),0)</f>
        <v>0</v>
      </c>
      <c r="W133">
        <f ca="1">IF(F133=År1,Q133,SUM(P133,Q133))*IFERROR(VLOOKUP(A133,[1]Tørstofindhold!A$2:B$24,2,FALSE),0)</f>
        <v>0</v>
      </c>
      <c r="X133">
        <f>K133*IFERROR(VLOOKUP(A133,[1]Tørstofindhold!A$2:B$24,2,FALSE),0)</f>
        <v>0</v>
      </c>
      <c r="Y133" s="170">
        <f t="shared" ca="1" si="21"/>
        <v>0</v>
      </c>
      <c r="Z133">
        <f t="shared" ca="1" si="29"/>
        <v>0</v>
      </c>
      <c r="AA133">
        <f t="shared" ca="1" si="30"/>
        <v>0</v>
      </c>
      <c r="AC133" s="94">
        <f t="shared" ref="AC133:AC147" ca="1" si="32">G133-SUMPRODUCT($H$2:$N$2,H133:N133)</f>
        <v>0</v>
      </c>
      <c r="AD133">
        <f ca="1">AC133*E133*10000*VLOOKUP(A133,[1]kcal!$A$2:$C$49,3,FALSE)/1000000000000</f>
        <v>0</v>
      </c>
    </row>
    <row r="134" spans="1:30" x14ac:dyDescent="0.25">
      <c r="A134" s="171" t="str">
        <f t="shared" si="26"/>
        <v>Råmælk</v>
      </c>
      <c r="B134" s="171" t="str">
        <f t="shared" si="27"/>
        <v/>
      </c>
      <c r="C134" s="171" t="str">
        <f>IFERROR(VLOOKUP(A134,'Kategorisering af kcal'!$J$2:$K$18,2,FALSE),"")</f>
        <v/>
      </c>
      <c r="D134" s="171">
        <f>IF(COUNTIFS('Resultater - Danmark'!$D$3:$D$504,'Produktion &amp; forbrug'!A134,'Resultater - Danmark'!$A$3:$A$504,"Til energi")+COUNTIFS('Resultater - Danmark'!$D$3:$D$504,'Produktion &amp; forbrug'!A134,'Resultater - Danmark'!$A$3:$A$504,"Biogasanlæg")&gt;0,1,0)</f>
        <v>0</v>
      </c>
      <c r="E134" s="171">
        <f t="shared" si="28"/>
        <v>0</v>
      </c>
      <c r="F134" s="171">
        <f t="shared" si="23"/>
        <v>2050</v>
      </c>
      <c r="G134" s="94">
        <f ca="1">SUMIFS('Resultat-Produktion &amp; forbrug'!G$4:G$291,'Resultat-Produktion &amp; forbrug'!$A$4:$A$291,'Produktion &amp; forbrug'!$A134,'Resultat-Produktion &amp; forbrug'!$E$4:$E$291,'Produktion &amp; forbrug'!$F134)</f>
        <v>5119693.0284815514</v>
      </c>
      <c r="H134" s="94">
        <f>SUMIFS('Resultat-Produktion &amp; forbrug'!H$4:H$291,'Resultat-Produktion &amp; forbrug'!$A$4:$A$291,'Produktion &amp; forbrug'!$A134,'Resultat-Produktion &amp; forbrug'!$E$4:$E$291,'Produktion &amp; forbrug'!$F134)</f>
        <v>0</v>
      </c>
      <c r="I134" s="94">
        <f>SUMIFS('Resultat-Produktion &amp; forbrug'!I$4:I$291,'Resultat-Produktion &amp; forbrug'!$A$4:$A$291,'Produktion &amp; forbrug'!$A134,'Resultat-Produktion &amp; forbrug'!$E$4:$E$291,'Produktion &amp; forbrug'!$F134)</f>
        <v>0</v>
      </c>
      <c r="J134" s="94">
        <f>SUMIFS('Resultat-Produktion &amp; forbrug'!J$4:J$291,'Resultat-Produktion &amp; forbrug'!$A$4:$A$291,'Produktion &amp; forbrug'!$A134,'Resultat-Produktion &amp; forbrug'!$E$4:$E$291,'Produktion &amp; forbrug'!$F134)</f>
        <v>0</v>
      </c>
      <c r="K134" s="94">
        <f>SUMIFS('Resultat-Produktion &amp; forbrug'!K$4:K$291,'Resultat-Produktion &amp; forbrug'!$A$4:$A$291,'Produktion &amp; forbrug'!$A134,'Resultat-Produktion &amp; forbrug'!$E$4:$E$291,'Produktion &amp; forbrug'!$F134)</f>
        <v>0</v>
      </c>
      <c r="L134" s="94">
        <f>SUMIFS('Resultat-Produktion &amp; forbrug'!L$4:L$291,'Resultat-Produktion &amp; forbrug'!$A$4:$A$291,'Produktion &amp; forbrug'!$A134,'Resultat-Produktion &amp; forbrug'!$E$4:$E$291,'Produktion &amp; forbrug'!$F134)</f>
        <v>0</v>
      </c>
      <c r="M134" s="94">
        <f>SUMIFS('Resultat-Produktion &amp; forbrug'!M$4:M$291,'Resultat-Produktion &amp; forbrug'!$A$4:$A$291,'Produktion &amp; forbrug'!$A134,'Resultat-Produktion &amp; forbrug'!$E$4:$E$291,'Produktion &amp; forbrug'!$F134)</f>
        <v>0</v>
      </c>
      <c r="N134" s="94">
        <f>SUMIFS('Resultat-Produktion &amp; forbrug'!N$4:N$291,'Resultat-Produktion &amp; forbrug'!$A$4:$A$291,'Produktion &amp; forbrug'!$A134,'Resultat-Produktion &amp; forbrug'!$E$4:$E$291,'Produktion &amp; forbrug'!$F134)</f>
        <v>0</v>
      </c>
      <c r="O134" s="179">
        <f t="shared" ca="1" si="17"/>
        <v>5119693.0284815514</v>
      </c>
      <c r="P134" s="94">
        <f t="shared" si="31"/>
        <v>0</v>
      </c>
      <c r="Q134" s="180">
        <f t="shared" si="19"/>
        <v>0</v>
      </c>
      <c r="R134">
        <f>IFERROR(VLOOKUP(A134,[1]Energiindhold!$A$2:$C$11,3,FALSE),IFERROR(VLOOKUP(A134,[1]Biogasudbytte!$A$2:$B$18,2,FALSE)*[1]Energiindhold!$C$10,0))*P134</f>
        <v>0</v>
      </c>
      <c r="S134">
        <f>IF(A134&lt;&gt;"Biogas",IFERROR(VLOOKUP(A134,[1]Biogasudbytte!$A$2:$B$18,2,FALSE)*[1]Energiindhold!$C$10,0)*K134*IFERROR(VLOOKUP(A134,Biogasanlæg!$F$3:$G$8,2,FALSE),1)+IFERROR(VLOOKUP(A134,[1]Energiindhold!$A$2:$C$11,3,FALSE),0)*M134+IF(F134&lt;&gt;År1,R134,0),0)</f>
        <v>0</v>
      </c>
      <c r="T134">
        <f>IFERROR(VLOOKUP(A134,[1]Biogasudbytte!$A$2:$B$18,2,FALSE)*[1]Energiindhold!$C$10,0)*K134*IFERROR(VLOOKUP(A134,Biogasanlæg!$F$3:$G$8,2,FALSE),1)</f>
        <v>0</v>
      </c>
      <c r="U134" s="170">
        <f t="shared" si="20"/>
        <v>0</v>
      </c>
      <c r="V134" s="169">
        <f>P134*IFERROR(VLOOKUP(A134,[1]Tørstofindhold!A$2:B$24,2,FALSE),0)</f>
        <v>0</v>
      </c>
      <c r="W134">
        <f>IF(F134=År1,Q134,SUM(P134,Q134))*IFERROR(VLOOKUP(A134,[1]Tørstofindhold!A$2:B$24,2,FALSE),0)</f>
        <v>0</v>
      </c>
      <c r="X134">
        <f>K134*IFERROR(VLOOKUP(A134,[1]Tørstofindhold!A$2:B$24,2,FALSE),0)</f>
        <v>0</v>
      </c>
      <c r="Y134" s="170">
        <f t="shared" si="21"/>
        <v>0</v>
      </c>
      <c r="Z134">
        <f t="shared" ca="1" si="29"/>
        <v>0</v>
      </c>
      <c r="AA134">
        <f t="shared" ca="1" si="30"/>
        <v>1</v>
      </c>
      <c r="AC134" s="94">
        <f t="shared" ca="1" si="32"/>
        <v>5119693.0284815514</v>
      </c>
      <c r="AD134">
        <f ca="1">AC134*E134*10000*VLOOKUP(A134,[1]kcal!$A$2:$C$49,3,FALSE)/1000000000000</f>
        <v>0</v>
      </c>
    </row>
    <row r="135" spans="1:30" x14ac:dyDescent="0.25">
      <c r="A135" s="171" t="str">
        <f t="shared" si="26"/>
        <v>Raps</v>
      </c>
      <c r="B135" s="171" t="str">
        <f t="shared" si="27"/>
        <v/>
      </c>
      <c r="C135" s="171" t="str">
        <f>IFERROR(VLOOKUP(A135,'Kategorisering af kcal'!$J$2:$K$18,2,FALSE),"")</f>
        <v/>
      </c>
      <c r="D135" s="171">
        <f>IF(COUNTIFS('Resultater - Danmark'!$D$3:$D$504,'Produktion &amp; forbrug'!A135,'Resultater - Danmark'!$A$3:$A$504,"Til energi")+COUNTIFS('Resultater - Danmark'!$D$3:$D$504,'Produktion &amp; forbrug'!A135,'Resultater - Danmark'!$A$3:$A$504,"Biogasanlæg")&gt;0,1,0)</f>
        <v>0</v>
      </c>
      <c r="E135" s="171">
        <f t="shared" si="28"/>
        <v>0</v>
      </c>
      <c r="F135" s="171">
        <f t="shared" si="23"/>
        <v>2050</v>
      </c>
      <c r="G135" s="94">
        <f>SUMIFS('Resultat-Produktion &amp; forbrug'!G$4:G$291,'Resultat-Produktion &amp; forbrug'!$A$4:$A$291,'Produktion &amp; forbrug'!$A135,'Resultat-Produktion &amp; forbrug'!$E$4:$E$291,'Produktion &amp; forbrug'!$F135)</f>
        <v>672005.07849363028</v>
      </c>
      <c r="H135" s="94">
        <f>SUMIFS('Resultat-Produktion &amp; forbrug'!H$4:H$291,'Resultat-Produktion &amp; forbrug'!$A$4:$A$291,'Produktion &amp; forbrug'!$A135,'Resultat-Produktion &amp; forbrug'!$E$4:$E$291,'Produktion &amp; forbrug'!$F135)</f>
        <v>0</v>
      </c>
      <c r="I135" s="94">
        <f>SUMIFS('Resultat-Produktion &amp; forbrug'!I$4:I$291,'Resultat-Produktion &amp; forbrug'!$A$4:$A$291,'Produktion &amp; forbrug'!$A135,'Resultat-Produktion &amp; forbrug'!$E$4:$E$291,'Produktion &amp; forbrug'!$F135)</f>
        <v>0</v>
      </c>
      <c r="J135" s="94">
        <f>SUMIFS('Resultat-Produktion &amp; forbrug'!J$4:J$291,'Resultat-Produktion &amp; forbrug'!$A$4:$A$291,'Produktion &amp; forbrug'!$A135,'Resultat-Produktion &amp; forbrug'!$E$4:$E$291,'Produktion &amp; forbrug'!$F135)</f>
        <v>0</v>
      </c>
      <c r="K135" s="94">
        <f>SUMIFS('Resultat-Produktion &amp; forbrug'!K$4:K$291,'Resultat-Produktion &amp; forbrug'!$A$4:$A$291,'Produktion &amp; forbrug'!$A135,'Resultat-Produktion &amp; forbrug'!$E$4:$E$291,'Produktion &amp; forbrug'!$F135)</f>
        <v>0</v>
      </c>
      <c r="L135" s="94">
        <f>SUMIFS('Resultat-Produktion &amp; forbrug'!L$4:L$291,'Resultat-Produktion &amp; forbrug'!$A$4:$A$291,'Produktion &amp; forbrug'!$A135,'Resultat-Produktion &amp; forbrug'!$E$4:$E$291,'Produktion &amp; forbrug'!$F135)</f>
        <v>0</v>
      </c>
      <c r="M135" s="94">
        <f>SUMIFS('Resultat-Produktion &amp; forbrug'!M$4:M$291,'Resultat-Produktion &amp; forbrug'!$A$4:$A$291,'Produktion &amp; forbrug'!$A135,'Resultat-Produktion &amp; forbrug'!$E$4:$E$291,'Produktion &amp; forbrug'!$F135)</f>
        <v>0</v>
      </c>
      <c r="N135" s="94">
        <f>SUMIFS('Resultat-Produktion &amp; forbrug'!N$4:N$291,'Resultat-Produktion &amp; forbrug'!$A$4:$A$291,'Produktion &amp; forbrug'!$A135,'Resultat-Produktion &amp; forbrug'!$E$4:$E$291,'Produktion &amp; forbrug'!$F135)</f>
        <v>672005.07849363028</v>
      </c>
      <c r="O135" s="179">
        <f t="shared" ref="O135:O147" si="33">G135-SUM(H135:N135)</f>
        <v>0</v>
      </c>
      <c r="P135" s="94">
        <f t="shared" si="31"/>
        <v>0</v>
      </c>
      <c r="Q135" s="180">
        <f t="shared" ref="Q135:Q147" si="34">SUM(K135,M135)</f>
        <v>0</v>
      </c>
      <c r="R135">
        <f>IFERROR(VLOOKUP(A135,[1]Energiindhold!$A$2:$C$11,3,FALSE),IFERROR(VLOOKUP(A135,[1]Biogasudbytte!$A$2:$B$18,2,FALSE)*[1]Energiindhold!$C$10,0))*P135</f>
        <v>0</v>
      </c>
      <c r="S135">
        <f>IF(A135&lt;&gt;"Biogas",IFERROR(VLOOKUP(A135,[1]Biogasudbytte!$A$2:$B$18,2,FALSE)*[1]Energiindhold!$C$10,0)*K135*IFERROR(VLOOKUP(A135,Biogasanlæg!$F$3:$G$8,2,FALSE),1)+IFERROR(VLOOKUP(A135,[1]Energiindhold!$A$2:$C$11,3,FALSE),0)*M135+IF(F135&lt;&gt;År1,R135,0),0)</f>
        <v>0</v>
      </c>
      <c r="T135">
        <f>IFERROR(VLOOKUP(A135,[1]Biogasudbytte!$A$2:$B$18,2,FALSE)*[1]Energiindhold!$C$10,0)*K135*IFERROR(VLOOKUP(A135,Biogasanlæg!$F$3:$G$8,2,FALSE),1)</f>
        <v>0</v>
      </c>
      <c r="U135" s="170">
        <f t="shared" ref="U135:U147" si="35">S135-T135</f>
        <v>0</v>
      </c>
      <c r="V135" s="169">
        <f>P135*IFERROR(VLOOKUP(A135,[1]Tørstofindhold!A$2:B$24,2,FALSE),0)</f>
        <v>0</v>
      </c>
      <c r="W135">
        <f>IF(F135=År1,Q135,SUM(P135,Q135))*IFERROR(VLOOKUP(A135,[1]Tørstofindhold!A$2:B$24,2,FALSE),0)</f>
        <v>0</v>
      </c>
      <c r="X135">
        <f>K135*IFERROR(VLOOKUP(A135,[1]Tørstofindhold!A$2:B$24,2,FALSE),0)</f>
        <v>0</v>
      </c>
      <c r="Y135" s="170">
        <f t="shared" ref="Y135:Y147" si="36">W135-X135</f>
        <v>0</v>
      </c>
      <c r="Z135">
        <f t="shared" si="29"/>
        <v>0</v>
      </c>
      <c r="AA135">
        <f t="shared" si="30"/>
        <v>0</v>
      </c>
      <c r="AC135" s="94">
        <f t="shared" si="32"/>
        <v>672005.07849363028</v>
      </c>
      <c r="AD135">
        <f>AC135*E135*10000*VLOOKUP(A135,[1]kcal!$A$2:$C$49,3,FALSE)/1000000000000</f>
        <v>0</v>
      </c>
    </row>
    <row r="136" spans="1:30" x14ac:dyDescent="0.25">
      <c r="A136" s="171" t="str">
        <f t="shared" si="26"/>
        <v>Rapskage</v>
      </c>
      <c r="B136" s="171" t="str">
        <f t="shared" si="27"/>
        <v/>
      </c>
      <c r="C136" s="171" t="str">
        <f>IFERROR(VLOOKUP(A136,'Kategorisering af kcal'!$J$2:$K$18,2,FALSE),"")</f>
        <v/>
      </c>
      <c r="D136" s="171">
        <f>IF(COUNTIFS('Resultater - Danmark'!$D$3:$D$504,'Produktion &amp; forbrug'!A136,'Resultater - Danmark'!$A$3:$A$504,"Til energi")+COUNTIFS('Resultater - Danmark'!$D$3:$D$504,'Produktion &amp; forbrug'!A136,'Resultater - Danmark'!$A$3:$A$504,"Biogasanlæg")&gt;0,1,0)</f>
        <v>0</v>
      </c>
      <c r="E136" s="171">
        <f t="shared" si="28"/>
        <v>0</v>
      </c>
      <c r="F136" s="171">
        <f t="shared" si="23"/>
        <v>2050</v>
      </c>
      <c r="G136" s="94">
        <f>SUMIFS('Resultat-Produktion &amp; forbrug'!G$4:G$291,'Resultat-Produktion &amp; forbrug'!$A$4:$A$291,'Produktion &amp; forbrug'!$A136,'Resultat-Produktion &amp; forbrug'!$E$4:$E$291,'Produktion &amp; forbrug'!$F136)</f>
        <v>336002.53924681514</v>
      </c>
      <c r="H136" s="94">
        <f ca="1">SUMIFS('Resultat-Produktion &amp; forbrug'!H$4:H$291,'Resultat-Produktion &amp; forbrug'!$A$4:$A$291,'Produktion &amp; forbrug'!$A136,'Resultat-Produktion &amp; forbrug'!$E$4:$E$291,'Produktion &amp; forbrug'!$F136)</f>
        <v>223349.23696651615</v>
      </c>
      <c r="I136" s="94">
        <f>SUMIFS('Resultat-Produktion &amp; forbrug'!I$4:I$291,'Resultat-Produktion &amp; forbrug'!$A$4:$A$291,'Produktion &amp; forbrug'!$A136,'Resultat-Produktion &amp; forbrug'!$E$4:$E$291,'Produktion &amp; forbrug'!$F136)</f>
        <v>0</v>
      </c>
      <c r="J136" s="94">
        <f>SUMIFS('Resultat-Produktion &amp; forbrug'!J$4:J$291,'Resultat-Produktion &amp; forbrug'!$A$4:$A$291,'Produktion &amp; forbrug'!$A136,'Resultat-Produktion &amp; forbrug'!$E$4:$E$291,'Produktion &amp; forbrug'!$F136)</f>
        <v>0</v>
      </c>
      <c r="K136" s="94">
        <f>SUMIFS('Resultat-Produktion &amp; forbrug'!K$4:K$291,'Resultat-Produktion &amp; forbrug'!$A$4:$A$291,'Produktion &amp; forbrug'!$A136,'Resultat-Produktion &amp; forbrug'!$E$4:$E$291,'Produktion &amp; forbrug'!$F136)</f>
        <v>0</v>
      </c>
      <c r="L136" s="94">
        <f>SUMIFS('Resultat-Produktion &amp; forbrug'!L$4:L$291,'Resultat-Produktion &amp; forbrug'!$A$4:$A$291,'Produktion &amp; forbrug'!$A136,'Resultat-Produktion &amp; forbrug'!$E$4:$E$291,'Produktion &amp; forbrug'!$F136)</f>
        <v>0</v>
      </c>
      <c r="M136" s="94">
        <f>SUMIFS('Resultat-Produktion &amp; forbrug'!M$4:M$291,'Resultat-Produktion &amp; forbrug'!$A$4:$A$291,'Produktion &amp; forbrug'!$A136,'Resultat-Produktion &amp; forbrug'!$E$4:$E$291,'Produktion &amp; forbrug'!$F136)</f>
        <v>0</v>
      </c>
      <c r="N136" s="94">
        <f>SUMIFS('Resultat-Produktion &amp; forbrug'!N$4:N$291,'Resultat-Produktion &amp; forbrug'!$A$4:$A$291,'Produktion &amp; forbrug'!$A136,'Resultat-Produktion &amp; forbrug'!$E$4:$E$291,'Produktion &amp; forbrug'!$F136)</f>
        <v>0</v>
      </c>
      <c r="O136" s="179">
        <f t="shared" ca="1" si="33"/>
        <v>112653.30228029899</v>
      </c>
      <c r="P136" s="94">
        <f t="shared" si="31"/>
        <v>0</v>
      </c>
      <c r="Q136" s="180">
        <f t="shared" si="34"/>
        <v>0</v>
      </c>
      <c r="R136">
        <f>IFERROR(VLOOKUP(A136,[1]Energiindhold!$A$2:$C$11,3,FALSE),IFERROR(VLOOKUP(A136,[1]Biogasudbytte!$A$2:$B$18,2,FALSE)*[1]Energiindhold!$C$10,0))*P136</f>
        <v>0</v>
      </c>
      <c r="S136">
        <f>IF(A136&lt;&gt;"Biogas",IFERROR(VLOOKUP(A136,[1]Biogasudbytte!$A$2:$B$18,2,FALSE)*[1]Energiindhold!$C$10,0)*K136*IFERROR(VLOOKUP(A136,Biogasanlæg!$F$3:$G$8,2,FALSE),1)+IFERROR(VLOOKUP(A136,[1]Energiindhold!$A$2:$C$11,3,FALSE),0)*M136+IF(F136&lt;&gt;År1,R136,0),0)</f>
        <v>0</v>
      </c>
      <c r="T136">
        <f>IFERROR(VLOOKUP(A136,[1]Biogasudbytte!$A$2:$B$18,2,FALSE)*[1]Energiindhold!$C$10,0)*K136*IFERROR(VLOOKUP(A136,Biogasanlæg!$F$3:$G$8,2,FALSE),1)</f>
        <v>0</v>
      </c>
      <c r="U136" s="170">
        <f t="shared" si="35"/>
        <v>0</v>
      </c>
      <c r="V136" s="169">
        <f>P136*IFERROR(VLOOKUP(A136,[1]Tørstofindhold!A$2:B$24,2,FALSE),0)</f>
        <v>0</v>
      </c>
      <c r="W136">
        <f>IF(F136=År1,Q136,SUM(P136,Q136))*IFERROR(VLOOKUP(A136,[1]Tørstofindhold!A$2:B$24,2,FALSE),0)</f>
        <v>0</v>
      </c>
      <c r="X136">
        <f>K136*IFERROR(VLOOKUP(A136,[1]Tørstofindhold!A$2:B$24,2,FALSE),0)</f>
        <v>0</v>
      </c>
      <c r="Y136" s="170">
        <f t="shared" si="36"/>
        <v>0</v>
      </c>
      <c r="Z136">
        <f t="shared" ca="1" si="29"/>
        <v>0</v>
      </c>
      <c r="AA136">
        <f t="shared" ca="1" si="30"/>
        <v>1</v>
      </c>
      <c r="AC136" s="94">
        <f t="shared" ca="1" si="32"/>
        <v>112653.30228029899</v>
      </c>
      <c r="AD136">
        <f ca="1">AC136*E136*10000*VLOOKUP(A136,[1]kcal!$A$2:$C$49,3,FALSE)/1000000000000</f>
        <v>0</v>
      </c>
    </row>
    <row r="137" spans="1:30" x14ac:dyDescent="0.25">
      <c r="A137" s="171" t="str">
        <f t="shared" si="26"/>
        <v>Rapsolie</v>
      </c>
      <c r="B137" s="171" t="str">
        <f t="shared" si="27"/>
        <v>Rapsolie</v>
      </c>
      <c r="C137" s="171" t="str">
        <f>IFERROR(VLOOKUP(A137,'Kategorisering af kcal'!$J$2:$K$18,2,FALSE),"")</f>
        <v>Olieafgrøder</v>
      </c>
      <c r="D137" s="171">
        <f>IF(COUNTIFS('Resultater - Danmark'!$D$3:$D$504,'Produktion &amp; forbrug'!A137,'Resultater - Danmark'!$A$3:$A$504,"Til energi")+COUNTIFS('Resultater - Danmark'!$D$3:$D$504,'Produktion &amp; forbrug'!A137,'Resultater - Danmark'!$A$3:$A$504,"Biogasanlæg")&gt;0,1,0)</f>
        <v>1</v>
      </c>
      <c r="E137" s="171">
        <f t="shared" si="28"/>
        <v>1</v>
      </c>
      <c r="F137" s="171">
        <f t="shared" si="23"/>
        <v>2050</v>
      </c>
      <c r="G137" s="94">
        <f>SUMIFS('Resultat-Produktion &amp; forbrug'!G$4:G$291,'Resultat-Produktion &amp; forbrug'!$A$4:$A$291,'Produktion &amp; forbrug'!$A137,'Resultat-Produktion &amp; forbrug'!$E$4:$E$291,'Produktion &amp; forbrug'!$F137)</f>
        <v>215041.6251179617</v>
      </c>
      <c r="H137" s="94">
        <f>SUMIFS('Resultat-Produktion &amp; forbrug'!H$4:H$291,'Resultat-Produktion &amp; forbrug'!$A$4:$A$291,'Produktion &amp; forbrug'!$A137,'Resultat-Produktion &amp; forbrug'!$E$4:$E$291,'Produktion &amp; forbrug'!$F137)</f>
        <v>0</v>
      </c>
      <c r="I137" s="94">
        <f>SUMIFS('Resultat-Produktion &amp; forbrug'!I$4:I$291,'Resultat-Produktion &amp; forbrug'!$A$4:$A$291,'Produktion &amp; forbrug'!$A137,'Resultat-Produktion &amp; forbrug'!$E$4:$E$291,'Produktion &amp; forbrug'!$F137)</f>
        <v>0</v>
      </c>
      <c r="J137" s="94">
        <f>SUMIFS('Resultat-Produktion &amp; forbrug'!J$4:J$291,'Resultat-Produktion &amp; forbrug'!$A$4:$A$291,'Produktion &amp; forbrug'!$A137,'Resultat-Produktion &amp; forbrug'!$E$4:$E$291,'Produktion &amp; forbrug'!$F137)</f>
        <v>0</v>
      </c>
      <c r="K137" s="94">
        <f>SUMIFS('Resultat-Produktion &amp; forbrug'!K$4:K$291,'Resultat-Produktion &amp; forbrug'!$A$4:$A$291,'Produktion &amp; forbrug'!$A137,'Resultat-Produktion &amp; forbrug'!$E$4:$E$291,'Produktion &amp; forbrug'!$F137)</f>
        <v>0</v>
      </c>
      <c r="L137" s="94">
        <f>SUMIFS('Resultat-Produktion &amp; forbrug'!L$4:L$291,'Resultat-Produktion &amp; forbrug'!$A$4:$A$291,'Produktion &amp; forbrug'!$A137,'Resultat-Produktion &amp; forbrug'!$E$4:$E$291,'Produktion &amp; forbrug'!$F137)</f>
        <v>0</v>
      </c>
      <c r="M137" s="94">
        <f>SUMIFS('Resultat-Produktion &amp; forbrug'!M$4:M$291,'Resultat-Produktion &amp; forbrug'!$A$4:$A$291,'Produktion &amp; forbrug'!$A137,'Resultat-Produktion &amp; forbrug'!$E$4:$E$291,'Produktion &amp; forbrug'!$F137)</f>
        <v>215041.6251179617</v>
      </c>
      <c r="N137" s="94">
        <f>SUMIFS('Resultat-Produktion &amp; forbrug'!N$4:N$291,'Resultat-Produktion &amp; forbrug'!$A$4:$A$291,'Produktion &amp; forbrug'!$A137,'Resultat-Produktion &amp; forbrug'!$E$4:$E$291,'Produktion &amp; forbrug'!$F137)</f>
        <v>0</v>
      </c>
      <c r="O137" s="179">
        <f t="shared" si="33"/>
        <v>0</v>
      </c>
      <c r="P137" s="94">
        <f t="shared" si="31"/>
        <v>0</v>
      </c>
      <c r="Q137" s="180">
        <f t="shared" si="34"/>
        <v>215041.6251179617</v>
      </c>
      <c r="R137">
        <f>IFERROR(VLOOKUP(A137,[1]Energiindhold!$A$2:$C$11,3,FALSE),IFERROR(VLOOKUP(A137,[1]Biogasudbytte!$A$2:$B$18,2,FALSE)*[1]Energiindhold!$C$10,0))*P137</f>
        <v>0</v>
      </c>
      <c r="S137">
        <f>IF(A137&lt;&gt;"Biogas",IFERROR(VLOOKUP(A137,[1]Biogasudbytte!$A$2:$B$18,2,FALSE)*[1]Energiindhold!$C$10,0)*K137*IFERROR(VLOOKUP(A137,Biogasanlæg!$F$3:$G$8,2,FALSE),1)+IFERROR(VLOOKUP(A137,[1]Energiindhold!$A$2:$C$11,3,FALSE),0)*M137+IF(F137&lt;&gt;År1,R137,0),0)</f>
        <v>7.5264568791286584</v>
      </c>
      <c r="T137">
        <f>IFERROR(VLOOKUP(A137,[1]Biogasudbytte!$A$2:$B$18,2,FALSE)*[1]Energiindhold!$C$10,0)*K137*IFERROR(VLOOKUP(A137,Biogasanlæg!$F$3:$G$8,2,FALSE),1)</f>
        <v>0</v>
      </c>
      <c r="U137" s="170">
        <f t="shared" si="35"/>
        <v>7.5264568791286584</v>
      </c>
      <c r="V137" s="169">
        <f>P137*IFERROR(VLOOKUP(A137,[1]Tørstofindhold!A$2:B$24,2,FALSE),0)</f>
        <v>0</v>
      </c>
      <c r="W137">
        <f>IF(F137=År1,Q137,SUM(P137,Q137))*IFERROR(VLOOKUP(A137,[1]Tørstofindhold!A$2:B$24,2,FALSE),0)</f>
        <v>0</v>
      </c>
      <c r="X137">
        <f>K137*IFERROR(VLOOKUP(A137,[1]Tørstofindhold!A$2:B$24,2,FALSE),0)</f>
        <v>0</v>
      </c>
      <c r="Y137" s="170">
        <f t="shared" si="36"/>
        <v>0</v>
      </c>
      <c r="Z137">
        <f t="shared" si="29"/>
        <v>0</v>
      </c>
      <c r="AA137">
        <f t="shared" si="30"/>
        <v>0</v>
      </c>
      <c r="AC137" s="94">
        <f t="shared" si="32"/>
        <v>215041.6251179617</v>
      </c>
      <c r="AD137">
        <f>AC137*E137*10000*VLOOKUP(A137,[1]kcal!$A$2:$C$49,3,FALSE)/1000000000000</f>
        <v>1.9353746260616553</v>
      </c>
    </row>
    <row r="138" spans="1:30" x14ac:dyDescent="0.25">
      <c r="A138" s="171" t="str">
        <f t="shared" si="26"/>
        <v>Roer</v>
      </c>
      <c r="B138" s="171" t="str">
        <f t="shared" si="27"/>
        <v>Græs og urter</v>
      </c>
      <c r="C138" s="171" t="str">
        <f>IFERROR(VLOOKUP(A138,'Kategorisering af kcal'!$J$2:$K$18,2,FALSE),"")</f>
        <v>Roer</v>
      </c>
      <c r="D138" s="171">
        <f>IF(COUNTIFS('Resultater - Danmark'!$D$3:$D$504,'Produktion &amp; forbrug'!A138,'Resultater - Danmark'!$A$3:$A$504,"Til energi")+COUNTIFS('Resultater - Danmark'!$D$3:$D$504,'Produktion &amp; forbrug'!A138,'Resultater - Danmark'!$A$3:$A$504,"Biogasanlæg")&gt;0,1,0)</f>
        <v>1</v>
      </c>
      <c r="E138" s="171">
        <f t="shared" si="28"/>
        <v>1</v>
      </c>
      <c r="F138" s="171">
        <f t="shared" si="23"/>
        <v>2050</v>
      </c>
      <c r="G138" s="94">
        <f>SUMIFS('Resultat-Produktion &amp; forbrug'!G$4:G$291,'Resultat-Produktion &amp; forbrug'!$A$4:$A$291,'Produktion &amp; forbrug'!$A138,'Resultat-Produktion &amp; forbrug'!$E$4:$E$291,'Produktion &amp; forbrug'!$F138)</f>
        <v>2708107.1992873591</v>
      </c>
      <c r="H138" s="94">
        <f ca="1">SUMIFS('Resultat-Produktion &amp; forbrug'!H$4:H$291,'Resultat-Produktion &amp; forbrug'!$A$4:$A$291,'Produktion &amp; forbrug'!$A138,'Resultat-Produktion &amp; forbrug'!$E$4:$E$291,'Produktion &amp; forbrug'!$F138)</f>
        <v>877510.18205673085</v>
      </c>
      <c r="I138" s="94">
        <f>SUMIFS('Resultat-Produktion &amp; forbrug'!I$4:I$291,'Resultat-Produktion &amp; forbrug'!$A$4:$A$291,'Produktion &amp; forbrug'!$A138,'Resultat-Produktion &amp; forbrug'!$E$4:$E$291,'Produktion &amp; forbrug'!$F138)</f>
        <v>0</v>
      </c>
      <c r="J138" s="94">
        <f>SUMIFS('Resultat-Produktion &amp; forbrug'!J$4:J$291,'Resultat-Produktion &amp; forbrug'!$A$4:$A$291,'Produktion &amp; forbrug'!$A138,'Resultat-Produktion &amp; forbrug'!$E$4:$E$291,'Produktion &amp; forbrug'!$F138)</f>
        <v>0</v>
      </c>
      <c r="K138" s="94">
        <f>SUMIFS('Resultat-Produktion &amp; forbrug'!K$4:K$291,'Resultat-Produktion &amp; forbrug'!$A$4:$A$291,'Produktion &amp; forbrug'!$A138,'Resultat-Produktion &amp; forbrug'!$E$4:$E$291,'Produktion &amp; forbrug'!$F138)</f>
        <v>0</v>
      </c>
      <c r="L138" s="94">
        <f>SUMIFS('Resultat-Produktion &amp; forbrug'!L$4:L$291,'Resultat-Produktion &amp; forbrug'!$A$4:$A$291,'Produktion &amp; forbrug'!$A138,'Resultat-Produktion &amp; forbrug'!$E$4:$E$291,'Produktion &amp; forbrug'!$F138)</f>
        <v>0</v>
      </c>
      <c r="M138" s="94">
        <f>SUMIFS('Resultat-Produktion &amp; forbrug'!M$4:M$291,'Resultat-Produktion &amp; forbrug'!$A$4:$A$291,'Produktion &amp; forbrug'!$A138,'Resultat-Produktion &amp; forbrug'!$E$4:$E$291,'Produktion &amp; forbrug'!$F138)</f>
        <v>0</v>
      </c>
      <c r="N138" s="94">
        <f>SUMIFS('Resultat-Produktion &amp; forbrug'!N$4:N$291,'Resultat-Produktion &amp; forbrug'!$A$4:$A$291,'Produktion &amp; forbrug'!$A138,'Resultat-Produktion &amp; forbrug'!$E$4:$E$291,'Produktion &amp; forbrug'!$F138)</f>
        <v>0</v>
      </c>
      <c r="O138" s="179">
        <f t="shared" ca="1" si="33"/>
        <v>1830597.0172306283</v>
      </c>
      <c r="P138" s="94">
        <f t="shared" ca="1" si="31"/>
        <v>1830597.0172306283</v>
      </c>
      <c r="Q138" s="180">
        <f t="shared" si="34"/>
        <v>0</v>
      </c>
      <c r="R138">
        <f ca="1">IFERROR(VLOOKUP(A138,[1]Energiindhold!$A$2:$C$11,3,FALSE),IFERROR(VLOOKUP(A138,[1]Biogasudbytte!$A$2:$B$18,2,FALSE)*[1]Energiindhold!$C$10,0))*P138</f>
        <v>4.9683135286446145</v>
      </c>
      <c r="S138">
        <f ca="1">IF(A138&lt;&gt;"Biogas",IFERROR(VLOOKUP(A138,[1]Biogasudbytte!$A$2:$B$18,2,FALSE)*[1]Energiindhold!$C$10,0)*K138*IFERROR(VLOOKUP(A138,Biogasanlæg!$F$3:$G$8,2,FALSE),1)+IFERROR(VLOOKUP(A138,[1]Energiindhold!$A$2:$C$11,3,FALSE),0)*M138+IF(F138&lt;&gt;År1,R138,0),0)</f>
        <v>4.9683135286446145</v>
      </c>
      <c r="T138">
        <f>IFERROR(VLOOKUP(A138,[1]Biogasudbytte!$A$2:$B$18,2,FALSE)*[1]Energiindhold!$C$10,0)*K138*IFERROR(VLOOKUP(A138,Biogasanlæg!$F$3:$G$8,2,FALSE),1)</f>
        <v>0</v>
      </c>
      <c r="U138" s="170">
        <f t="shared" ca="1" si="35"/>
        <v>4.9683135286446145</v>
      </c>
      <c r="V138" s="169">
        <f ca="1">P138*IFERROR(VLOOKUP(A138,[1]Tørstofindhold!A$2:B$24,2,FALSE),0)</f>
        <v>366119.40344612568</v>
      </c>
      <c r="W138">
        <f ca="1">IF(F138=År1,Q138,SUM(P138,Q138))*IFERROR(VLOOKUP(A138,[1]Tørstofindhold!A$2:B$24,2,FALSE),0)</f>
        <v>366119.40344612568</v>
      </c>
      <c r="X138">
        <f>K138*IFERROR(VLOOKUP(A138,[1]Tørstofindhold!A$2:B$24,2,FALSE),0)</f>
        <v>0</v>
      </c>
      <c r="Y138" s="170">
        <f t="shared" ca="1" si="36"/>
        <v>366119.40344612568</v>
      </c>
      <c r="Z138">
        <f t="shared" ca="1" si="29"/>
        <v>0</v>
      </c>
      <c r="AA138">
        <f t="shared" ca="1" si="30"/>
        <v>1</v>
      </c>
      <c r="AC138" s="94">
        <f t="shared" ca="1" si="32"/>
        <v>1830597.0172306283</v>
      </c>
      <c r="AD138">
        <f ca="1">AC138*E138*10000*VLOOKUP(A138,[1]kcal!$A$2:$C$49,3,FALSE)/1000000000000</f>
        <v>0.54917910516918844</v>
      </c>
    </row>
    <row r="139" spans="1:30" x14ac:dyDescent="0.25">
      <c r="A139" s="171" t="str">
        <f t="shared" si="26"/>
        <v>Slagteriaffald til andet</v>
      </c>
      <c r="B139" s="171" t="str">
        <f t="shared" si="27"/>
        <v/>
      </c>
      <c r="C139" s="171" t="str">
        <f>IFERROR(VLOOKUP(A139,'Kategorisering af kcal'!$J$2:$K$18,2,FALSE),"")</f>
        <v/>
      </c>
      <c r="D139" s="171">
        <f>IF(COUNTIFS('Resultater - Danmark'!$D$3:$D$504,'Produktion &amp; forbrug'!A139,'Resultater - Danmark'!$A$3:$A$504,"Til energi")+COUNTIFS('Resultater - Danmark'!$D$3:$D$504,'Produktion &amp; forbrug'!A139,'Resultater - Danmark'!$A$3:$A$504,"Biogasanlæg")&gt;0,1,0)</f>
        <v>0</v>
      </c>
      <c r="E139" s="171">
        <f t="shared" si="28"/>
        <v>0</v>
      </c>
      <c r="F139" s="171">
        <f t="shared" si="23"/>
        <v>2050</v>
      </c>
      <c r="G139" s="94">
        <f ca="1">SUMIFS('Resultat-Produktion &amp; forbrug'!G$4:G$291,'Resultat-Produktion &amp; forbrug'!$A$4:$A$291,'Produktion &amp; forbrug'!$A139,'Resultat-Produktion &amp; forbrug'!$E$4:$E$291,'Produktion &amp; forbrug'!$F139)</f>
        <v>193960.34098460112</v>
      </c>
      <c r="H139" s="94">
        <f>SUMIFS('Resultat-Produktion &amp; forbrug'!H$4:H$291,'Resultat-Produktion &amp; forbrug'!$A$4:$A$291,'Produktion &amp; forbrug'!$A139,'Resultat-Produktion &amp; forbrug'!$E$4:$E$291,'Produktion &amp; forbrug'!$F139)</f>
        <v>0</v>
      </c>
      <c r="I139" s="94">
        <f>SUMIFS('Resultat-Produktion &amp; forbrug'!I$4:I$291,'Resultat-Produktion &amp; forbrug'!$A$4:$A$291,'Produktion &amp; forbrug'!$A139,'Resultat-Produktion &amp; forbrug'!$E$4:$E$291,'Produktion &amp; forbrug'!$F139)</f>
        <v>0</v>
      </c>
      <c r="J139" s="94">
        <f>SUMIFS('Resultat-Produktion &amp; forbrug'!J$4:J$291,'Resultat-Produktion &amp; forbrug'!$A$4:$A$291,'Produktion &amp; forbrug'!$A139,'Resultat-Produktion &amp; forbrug'!$E$4:$E$291,'Produktion &amp; forbrug'!$F139)</f>
        <v>0</v>
      </c>
      <c r="K139" s="94">
        <f>SUMIFS('Resultat-Produktion &amp; forbrug'!K$4:K$291,'Resultat-Produktion &amp; forbrug'!$A$4:$A$291,'Produktion &amp; forbrug'!$A139,'Resultat-Produktion &amp; forbrug'!$E$4:$E$291,'Produktion &amp; forbrug'!$F139)</f>
        <v>0</v>
      </c>
      <c r="L139" s="94">
        <f>SUMIFS('Resultat-Produktion &amp; forbrug'!L$4:L$291,'Resultat-Produktion &amp; forbrug'!$A$4:$A$291,'Produktion &amp; forbrug'!$A139,'Resultat-Produktion &amp; forbrug'!$E$4:$E$291,'Produktion &amp; forbrug'!$F139)</f>
        <v>0</v>
      </c>
      <c r="M139" s="94">
        <f>SUMIFS('Resultat-Produktion &amp; forbrug'!M$4:M$291,'Resultat-Produktion &amp; forbrug'!$A$4:$A$291,'Produktion &amp; forbrug'!$A139,'Resultat-Produktion &amp; forbrug'!$E$4:$E$291,'Produktion &amp; forbrug'!$F139)</f>
        <v>0</v>
      </c>
      <c r="N139" s="94">
        <f>SUMIFS('Resultat-Produktion &amp; forbrug'!N$4:N$291,'Resultat-Produktion &amp; forbrug'!$A$4:$A$291,'Produktion &amp; forbrug'!$A139,'Resultat-Produktion &amp; forbrug'!$E$4:$E$291,'Produktion &amp; forbrug'!$F139)</f>
        <v>0</v>
      </c>
      <c r="O139" s="179">
        <f t="shared" ca="1" si="33"/>
        <v>193960.34098460112</v>
      </c>
      <c r="P139" s="94">
        <f t="shared" si="31"/>
        <v>0</v>
      </c>
      <c r="Q139" s="180">
        <f t="shared" si="34"/>
        <v>0</v>
      </c>
      <c r="R139">
        <f>IFERROR(VLOOKUP(A139,[1]Energiindhold!$A$2:$C$11,3,FALSE),IFERROR(VLOOKUP(A139,[1]Biogasudbytte!$A$2:$B$18,2,FALSE)*[1]Energiindhold!$C$10,0))*P139</f>
        <v>0</v>
      </c>
      <c r="S139">
        <f>IF(A139&lt;&gt;"Biogas",IFERROR(VLOOKUP(A139,[1]Biogasudbytte!$A$2:$B$18,2,FALSE)*[1]Energiindhold!$C$10,0)*K139*IFERROR(VLOOKUP(A139,Biogasanlæg!$F$3:$G$8,2,FALSE),1)+IFERROR(VLOOKUP(A139,[1]Energiindhold!$A$2:$C$11,3,FALSE),0)*M139+IF(F139&lt;&gt;År1,R139,0),0)</f>
        <v>0</v>
      </c>
      <c r="T139">
        <f>IFERROR(VLOOKUP(A139,[1]Biogasudbytte!$A$2:$B$18,2,FALSE)*[1]Energiindhold!$C$10,0)*K139*IFERROR(VLOOKUP(A139,Biogasanlæg!$F$3:$G$8,2,FALSE),1)</f>
        <v>0</v>
      </c>
      <c r="U139" s="170">
        <f t="shared" si="35"/>
        <v>0</v>
      </c>
      <c r="V139" s="169">
        <f>P139*IFERROR(VLOOKUP(A139,[1]Tørstofindhold!A$2:B$24,2,FALSE),0)</f>
        <v>0</v>
      </c>
      <c r="W139">
        <f>IF(F139=År1,Q139,SUM(P139,Q139))*IFERROR(VLOOKUP(A139,[1]Tørstofindhold!A$2:B$24,2,FALSE),0)</f>
        <v>0</v>
      </c>
      <c r="X139">
        <f>K139*IFERROR(VLOOKUP(A139,[1]Tørstofindhold!A$2:B$24,2,FALSE),0)</f>
        <v>0</v>
      </c>
      <c r="Y139" s="170">
        <f t="shared" si="36"/>
        <v>0</v>
      </c>
      <c r="Z139">
        <f t="shared" ca="1" si="29"/>
        <v>0</v>
      </c>
      <c r="AA139">
        <f t="shared" ca="1" si="30"/>
        <v>1</v>
      </c>
      <c r="AC139" s="94">
        <f t="shared" ca="1" si="32"/>
        <v>193960.34098460112</v>
      </c>
      <c r="AD139">
        <f ca="1">AC139*E139*10000*VLOOKUP(A139,[1]kcal!$A$2:$C$49,3,FALSE)/1000000000000</f>
        <v>0</v>
      </c>
    </row>
    <row r="140" spans="1:30" x14ac:dyDescent="0.25">
      <c r="A140" s="171" t="str">
        <f t="shared" si="26"/>
        <v>Slagteriaffald til foder</v>
      </c>
      <c r="B140" s="171" t="str">
        <f t="shared" si="27"/>
        <v/>
      </c>
      <c r="C140" s="171" t="str">
        <f>IFERROR(VLOOKUP(A140,'Kategorisering af kcal'!$J$2:$K$18,2,FALSE),"")</f>
        <v/>
      </c>
      <c r="D140" s="171">
        <f>IF(COUNTIFS('Resultater - Danmark'!$D$3:$D$504,'Produktion &amp; forbrug'!A140,'Resultater - Danmark'!$A$3:$A$504,"Til energi")+COUNTIFS('Resultater - Danmark'!$D$3:$D$504,'Produktion &amp; forbrug'!A140,'Resultater - Danmark'!$A$3:$A$504,"Biogasanlæg")&gt;0,1,0)</f>
        <v>0</v>
      </c>
      <c r="E140" s="171">
        <f t="shared" si="28"/>
        <v>0</v>
      </c>
      <c r="F140" s="171">
        <f t="shared" si="23"/>
        <v>2050</v>
      </c>
      <c r="G140" s="94">
        <f ca="1">SUMIFS('Resultat-Produktion &amp; forbrug'!G$4:G$291,'Resultat-Produktion &amp; forbrug'!$A$4:$A$291,'Produktion &amp; forbrug'!$A140,'Resultat-Produktion &amp; forbrug'!$E$4:$E$291,'Produktion &amp; forbrug'!$F140)</f>
        <v>130202.23351345368</v>
      </c>
      <c r="H140" s="94">
        <f ca="1">SUMIFS('Resultat-Produktion &amp; forbrug'!H$4:H$291,'Resultat-Produktion &amp; forbrug'!$A$4:$A$291,'Produktion &amp; forbrug'!$A140,'Resultat-Produktion &amp; forbrug'!$E$4:$E$291,'Produktion &amp; forbrug'!$F140)</f>
        <v>41118.687977099209</v>
      </c>
      <c r="I140" s="94">
        <f>SUMIFS('Resultat-Produktion &amp; forbrug'!I$4:I$291,'Resultat-Produktion &amp; forbrug'!$A$4:$A$291,'Produktion &amp; forbrug'!$A140,'Resultat-Produktion &amp; forbrug'!$E$4:$E$291,'Produktion &amp; forbrug'!$F140)</f>
        <v>0</v>
      </c>
      <c r="J140" s="94">
        <f>SUMIFS('Resultat-Produktion &amp; forbrug'!J$4:J$291,'Resultat-Produktion &amp; forbrug'!$A$4:$A$291,'Produktion &amp; forbrug'!$A140,'Resultat-Produktion &amp; forbrug'!$E$4:$E$291,'Produktion &amp; forbrug'!$F140)</f>
        <v>0</v>
      </c>
      <c r="K140" s="94">
        <f>SUMIFS('Resultat-Produktion &amp; forbrug'!K$4:K$291,'Resultat-Produktion &amp; forbrug'!$A$4:$A$291,'Produktion &amp; forbrug'!$A140,'Resultat-Produktion &amp; forbrug'!$E$4:$E$291,'Produktion &amp; forbrug'!$F140)</f>
        <v>0</v>
      </c>
      <c r="L140" s="94">
        <f>SUMIFS('Resultat-Produktion &amp; forbrug'!L$4:L$291,'Resultat-Produktion &amp; forbrug'!$A$4:$A$291,'Produktion &amp; forbrug'!$A140,'Resultat-Produktion &amp; forbrug'!$E$4:$E$291,'Produktion &amp; forbrug'!$F140)</f>
        <v>0</v>
      </c>
      <c r="M140" s="94">
        <f>SUMIFS('Resultat-Produktion &amp; forbrug'!M$4:M$291,'Resultat-Produktion &amp; forbrug'!$A$4:$A$291,'Produktion &amp; forbrug'!$A140,'Resultat-Produktion &amp; forbrug'!$E$4:$E$291,'Produktion &amp; forbrug'!$F140)</f>
        <v>0</v>
      </c>
      <c r="N140" s="94">
        <f>SUMIFS('Resultat-Produktion &amp; forbrug'!N$4:N$291,'Resultat-Produktion &amp; forbrug'!$A$4:$A$291,'Produktion &amp; forbrug'!$A140,'Resultat-Produktion &amp; forbrug'!$E$4:$E$291,'Produktion &amp; forbrug'!$F140)</f>
        <v>0</v>
      </c>
      <c r="O140" s="179">
        <f t="shared" ca="1" si="33"/>
        <v>89083.545536354475</v>
      </c>
      <c r="P140" s="94">
        <f t="shared" si="31"/>
        <v>0</v>
      </c>
      <c r="Q140" s="180">
        <f t="shared" si="34"/>
        <v>0</v>
      </c>
      <c r="R140">
        <f>IFERROR(VLOOKUP(A140,[1]Energiindhold!$A$2:$C$11,3,FALSE),IFERROR(VLOOKUP(A140,[1]Biogasudbytte!$A$2:$B$18,2,FALSE)*[1]Energiindhold!$C$10,0))*P140</f>
        <v>0</v>
      </c>
      <c r="S140">
        <f>IF(A140&lt;&gt;"Biogas",IFERROR(VLOOKUP(A140,[1]Biogasudbytte!$A$2:$B$18,2,FALSE)*[1]Energiindhold!$C$10,0)*K140*IFERROR(VLOOKUP(A140,Biogasanlæg!$F$3:$G$8,2,FALSE),1)+IFERROR(VLOOKUP(A140,[1]Energiindhold!$A$2:$C$11,3,FALSE),0)*M140+IF(F140&lt;&gt;År1,R140,0),0)</f>
        <v>0</v>
      </c>
      <c r="T140">
        <f>IFERROR(VLOOKUP(A140,[1]Biogasudbytte!$A$2:$B$18,2,FALSE)*[1]Energiindhold!$C$10,0)*K140*IFERROR(VLOOKUP(A140,Biogasanlæg!$F$3:$G$8,2,FALSE),1)</f>
        <v>0</v>
      </c>
      <c r="U140" s="170">
        <f t="shared" si="35"/>
        <v>0</v>
      </c>
      <c r="V140" s="169">
        <f>P140*IFERROR(VLOOKUP(A140,[1]Tørstofindhold!A$2:B$24,2,FALSE),0)</f>
        <v>0</v>
      </c>
      <c r="W140">
        <f>IF(F140=År1,Q140,SUM(P140,Q140))*IFERROR(VLOOKUP(A140,[1]Tørstofindhold!A$2:B$24,2,FALSE),0)</f>
        <v>0</v>
      </c>
      <c r="X140">
        <f>K140*IFERROR(VLOOKUP(A140,[1]Tørstofindhold!A$2:B$24,2,FALSE),0)</f>
        <v>0</v>
      </c>
      <c r="Y140" s="170">
        <f t="shared" si="36"/>
        <v>0</v>
      </c>
      <c r="Z140">
        <f t="shared" ca="1" si="29"/>
        <v>0</v>
      </c>
      <c r="AA140">
        <f t="shared" ca="1" si="30"/>
        <v>1</v>
      </c>
      <c r="AC140" s="94">
        <f t="shared" ca="1" si="32"/>
        <v>89083.545536354475</v>
      </c>
      <c r="AD140">
        <f ca="1">AC140*E140*10000*VLOOKUP(A140,[1]kcal!$A$2:$C$49,3,FALSE)/1000000000000</f>
        <v>0</v>
      </c>
    </row>
    <row r="141" spans="1:30" x14ac:dyDescent="0.25">
      <c r="A141" s="171" t="str">
        <f t="shared" si="26"/>
        <v>Spildevandsslam</v>
      </c>
      <c r="B141" s="171" t="str">
        <f t="shared" si="27"/>
        <v>Bionedbrydeligt affald</v>
      </c>
      <c r="C141" s="171" t="str">
        <f>IFERROR(VLOOKUP(A141,'Kategorisering af kcal'!$J$2:$K$18,2,FALSE),"")</f>
        <v/>
      </c>
      <c r="D141" s="171">
        <f>IF(COUNTIFS('Resultater - Danmark'!$D$3:$D$504,'Produktion &amp; forbrug'!A141,'Resultater - Danmark'!$A$3:$A$504,"Til energi")+COUNTIFS('Resultater - Danmark'!$D$3:$D$504,'Produktion &amp; forbrug'!A141,'Resultater - Danmark'!$A$3:$A$504,"Biogasanlæg")&gt;0,1,0)</f>
        <v>1</v>
      </c>
      <c r="E141" s="171">
        <f t="shared" si="28"/>
        <v>0</v>
      </c>
      <c r="F141" s="171">
        <f t="shared" si="23"/>
        <v>2050</v>
      </c>
      <c r="G141" s="94">
        <f ca="1">SUMIFS('Resultat-Produktion &amp; forbrug'!G$4:G$291,'Resultat-Produktion &amp; forbrug'!$A$4:$A$291,'Produktion &amp; forbrug'!$A141,'Resultat-Produktion &amp; forbrug'!$E$4:$E$291,'Produktion &amp; forbrug'!$F141)</f>
        <v>7622114.0896216901</v>
      </c>
      <c r="H141" s="94">
        <f>SUMIFS('Resultat-Produktion &amp; forbrug'!H$4:H$291,'Resultat-Produktion &amp; forbrug'!$A$4:$A$291,'Produktion &amp; forbrug'!$A141,'Resultat-Produktion &amp; forbrug'!$E$4:$E$291,'Produktion &amp; forbrug'!$F141)</f>
        <v>0</v>
      </c>
      <c r="I141" s="94">
        <f>SUMIFS('Resultat-Produktion &amp; forbrug'!I$4:I$291,'Resultat-Produktion &amp; forbrug'!$A$4:$A$291,'Produktion &amp; forbrug'!$A141,'Resultat-Produktion &amp; forbrug'!$E$4:$E$291,'Produktion &amp; forbrug'!$F141)</f>
        <v>0</v>
      </c>
      <c r="J141" s="94">
        <f>SUMIFS('Resultat-Produktion &amp; forbrug'!J$4:J$291,'Resultat-Produktion &amp; forbrug'!$A$4:$A$291,'Produktion &amp; forbrug'!$A141,'Resultat-Produktion &amp; forbrug'!$E$4:$E$291,'Produktion &amp; forbrug'!$F141)</f>
        <v>0</v>
      </c>
      <c r="K141" s="94">
        <f ca="1">SUMIFS('Resultat-Produktion &amp; forbrug'!K$4:K$291,'Resultat-Produktion &amp; forbrug'!$A$4:$A$291,'Produktion &amp; forbrug'!$A141,'Resultat-Produktion &amp; forbrug'!$E$4:$E$291,'Produktion &amp; forbrug'!$F141)</f>
        <v>6859902.6806595214</v>
      </c>
      <c r="L141" s="94">
        <f>SUMIFS('Resultat-Produktion &amp; forbrug'!L$4:L$291,'Resultat-Produktion &amp; forbrug'!$A$4:$A$291,'Produktion &amp; forbrug'!$A141,'Resultat-Produktion &amp; forbrug'!$E$4:$E$291,'Produktion &amp; forbrug'!$F141)</f>
        <v>0</v>
      </c>
      <c r="M141" s="94">
        <f>SUMIFS('Resultat-Produktion &amp; forbrug'!M$4:M$291,'Resultat-Produktion &amp; forbrug'!$A$4:$A$291,'Produktion &amp; forbrug'!$A141,'Resultat-Produktion &amp; forbrug'!$E$4:$E$291,'Produktion &amp; forbrug'!$F141)</f>
        <v>0</v>
      </c>
      <c r="N141" s="94">
        <f>SUMIFS('Resultat-Produktion &amp; forbrug'!N$4:N$291,'Resultat-Produktion &amp; forbrug'!$A$4:$A$291,'Produktion &amp; forbrug'!$A141,'Resultat-Produktion &amp; forbrug'!$E$4:$E$291,'Produktion &amp; forbrug'!$F141)</f>
        <v>0</v>
      </c>
      <c r="O141" s="179">
        <f t="shared" ca="1" si="33"/>
        <v>762211.40896216873</v>
      </c>
      <c r="P141" s="94">
        <f t="shared" ca="1" si="31"/>
        <v>762211.40896216873</v>
      </c>
      <c r="Q141" s="180">
        <f t="shared" ca="1" si="34"/>
        <v>6859902.6806595214</v>
      </c>
      <c r="R141">
        <f ca="1">IFERROR(VLOOKUP(A141,[1]Energiindhold!$A$2:$C$11,3,FALSE),IFERROR(VLOOKUP(A141,[1]Biogasudbytte!$A$2:$B$18,2,FALSE)*[1]Energiindhold!$C$10,0))*P141</f>
        <v>0.3803511151862119</v>
      </c>
      <c r="S141">
        <f ca="1">IF(A141&lt;&gt;"Biogas",IFERROR(VLOOKUP(A141,[1]Biogasudbytte!$A$2:$B$18,2,FALSE)*[1]Energiindhold!$C$10,0)*K141*IFERROR(VLOOKUP(A141,Biogasanlæg!$F$3:$G$8,2,FALSE),1)+IFERROR(VLOOKUP(A141,[1]Energiindhold!$A$2:$C$11,3,FALSE),0)*M141+IF(F141&lt;&gt;År1,R141,0),0)</f>
        <v>3.8035111518621201</v>
      </c>
      <c r="T141">
        <f ca="1">IFERROR(VLOOKUP(A141,[1]Biogasudbytte!$A$2:$B$18,2,FALSE)*[1]Energiindhold!$C$10,0)*K141*IFERROR(VLOOKUP(A141,Biogasanlæg!$F$3:$G$8,2,FALSE),1)</f>
        <v>3.4231600366759083</v>
      </c>
      <c r="U141" s="170">
        <f t="shared" ca="1" si="35"/>
        <v>0.38035111518621179</v>
      </c>
      <c r="V141" s="169">
        <f ca="1">P141*IFERROR(VLOOKUP(A141,[1]Tørstofindhold!A$2:B$24,2,FALSE),0)</f>
        <v>45732.684537730122</v>
      </c>
      <c r="W141">
        <f ca="1">IF(F141=År1,Q141,SUM(P141,Q141))*IFERROR(VLOOKUP(A141,[1]Tørstofindhold!A$2:B$24,2,FALSE),0)</f>
        <v>457326.84537730139</v>
      </c>
      <c r="X141">
        <f ca="1">K141*IFERROR(VLOOKUP(A141,[1]Tørstofindhold!A$2:B$24,2,FALSE),0)</f>
        <v>411594.16083957127</v>
      </c>
      <c r="Y141" s="170">
        <f t="shared" ca="1" si="36"/>
        <v>45732.684537730122</v>
      </c>
      <c r="Z141">
        <f t="shared" ca="1" si="29"/>
        <v>0</v>
      </c>
      <c r="AA141">
        <f t="shared" ca="1" si="30"/>
        <v>1</v>
      </c>
      <c r="AC141" s="94">
        <f t="shared" ca="1" si="32"/>
        <v>762211.40896216873</v>
      </c>
      <c r="AD141">
        <f ca="1">AC141*E141*10000*VLOOKUP(A141,[1]kcal!$A$2:$C$49,3,FALSE)/1000000000000</f>
        <v>0</v>
      </c>
    </row>
    <row r="142" spans="1:30" x14ac:dyDescent="0.25">
      <c r="A142" s="171" t="str">
        <f t="shared" si="26"/>
        <v>Svinegylle</v>
      </c>
      <c r="B142" s="171" t="str">
        <f t="shared" si="27"/>
        <v>Husdyrgødning</v>
      </c>
      <c r="C142" s="171" t="str">
        <f>IFERROR(VLOOKUP(A142,'Kategorisering af kcal'!$J$2:$K$18,2,FALSE),"")</f>
        <v/>
      </c>
      <c r="D142" s="171">
        <f>IF(COUNTIFS('Resultater - Danmark'!$D$3:$D$504,'Produktion &amp; forbrug'!A142,'Resultater - Danmark'!$A$3:$A$504,"Til energi")+COUNTIFS('Resultater - Danmark'!$D$3:$D$504,'Produktion &amp; forbrug'!A142,'Resultater - Danmark'!$A$3:$A$504,"Biogasanlæg")&gt;0,1,0)</f>
        <v>1</v>
      </c>
      <c r="E142" s="171">
        <f t="shared" si="28"/>
        <v>0</v>
      </c>
      <c r="F142" s="171">
        <f t="shared" si="23"/>
        <v>2050</v>
      </c>
      <c r="G142" s="94">
        <f>SUMIFS('Resultat-Produktion &amp; forbrug'!G$4:G$291,'Resultat-Produktion &amp; forbrug'!$A$4:$A$291,'Produktion &amp; forbrug'!$A142,'Resultat-Produktion &amp; forbrug'!$E$4:$E$291,'Produktion &amp; forbrug'!$F142)</f>
        <v>14871140.28829515</v>
      </c>
      <c r="H142" s="94">
        <f>SUMIFS('Resultat-Produktion &amp; forbrug'!H$4:H$291,'Resultat-Produktion &amp; forbrug'!$A$4:$A$291,'Produktion &amp; forbrug'!$A142,'Resultat-Produktion &amp; forbrug'!$E$4:$E$291,'Produktion &amp; forbrug'!$F142)</f>
        <v>0</v>
      </c>
      <c r="I142" s="94">
        <f>SUMIFS('Resultat-Produktion &amp; forbrug'!I$4:I$291,'Resultat-Produktion &amp; forbrug'!$A$4:$A$291,'Produktion &amp; forbrug'!$A142,'Resultat-Produktion &amp; forbrug'!$E$4:$E$291,'Produktion &amp; forbrug'!$F142)</f>
        <v>0</v>
      </c>
      <c r="J142" s="94">
        <f>SUMIFS('Resultat-Produktion &amp; forbrug'!J$4:J$291,'Resultat-Produktion &amp; forbrug'!$A$4:$A$291,'Produktion &amp; forbrug'!$A142,'Resultat-Produktion &amp; forbrug'!$E$4:$E$291,'Produktion &amp; forbrug'!$F142)</f>
        <v>0</v>
      </c>
      <c r="K142" s="94">
        <f>SUMIFS('Resultat-Produktion &amp; forbrug'!K$4:K$291,'Resultat-Produktion &amp; forbrug'!$A$4:$A$291,'Produktion &amp; forbrug'!$A142,'Resultat-Produktion &amp; forbrug'!$E$4:$E$291,'Produktion &amp; forbrug'!$F142)</f>
        <v>13384026.259465635</v>
      </c>
      <c r="L142" s="94">
        <f>SUMIFS('Resultat-Produktion &amp; forbrug'!L$4:L$291,'Resultat-Produktion &amp; forbrug'!$A$4:$A$291,'Produktion &amp; forbrug'!$A142,'Resultat-Produktion &amp; forbrug'!$E$4:$E$291,'Produktion &amp; forbrug'!$F142)</f>
        <v>1487114.0288295147</v>
      </c>
      <c r="M142" s="94">
        <f>SUMIFS('Resultat-Produktion &amp; forbrug'!M$4:M$291,'Resultat-Produktion &amp; forbrug'!$A$4:$A$291,'Produktion &amp; forbrug'!$A142,'Resultat-Produktion &amp; forbrug'!$E$4:$E$291,'Produktion &amp; forbrug'!$F142)</f>
        <v>0</v>
      </c>
      <c r="N142" s="94">
        <f>SUMIFS('Resultat-Produktion &amp; forbrug'!N$4:N$291,'Resultat-Produktion &amp; forbrug'!$A$4:$A$291,'Produktion &amp; forbrug'!$A142,'Resultat-Produktion &amp; forbrug'!$E$4:$E$291,'Produktion &amp; forbrug'!$F142)</f>
        <v>0</v>
      </c>
      <c r="O142" s="179">
        <f t="shared" si="33"/>
        <v>0</v>
      </c>
      <c r="P142" s="94">
        <f t="shared" si="31"/>
        <v>0</v>
      </c>
      <c r="Q142" s="180">
        <f t="shared" si="34"/>
        <v>13384026.259465635</v>
      </c>
      <c r="R142">
        <f>IFERROR(VLOOKUP(A142,[1]Energiindhold!$A$2:$C$11,3,FALSE),IFERROR(VLOOKUP(A142,[1]Biogasudbytte!$A$2:$B$18,2,FALSE)*[1]Energiindhold!$C$10,0))*P142</f>
        <v>0</v>
      </c>
      <c r="S142">
        <f>IF(A142&lt;&gt;"Biogas",IFERROR(VLOOKUP(A142,[1]Biogasudbytte!$A$2:$B$18,2,FALSE)*[1]Energiindhold!$C$10,0)*K142*IFERROR(VLOOKUP(A142,Biogasanlæg!$F$3:$G$8,2,FALSE),1)+IFERROR(VLOOKUP(A142,[1]Energiindhold!$A$2:$C$11,3,FALSE),0)*M142+IF(F142&lt;&gt;År1,R142,0),0)</f>
        <v>5.7658385125777967</v>
      </c>
      <c r="T142">
        <f>IFERROR(VLOOKUP(A142,[1]Biogasudbytte!$A$2:$B$18,2,FALSE)*[1]Energiindhold!$C$10,0)*K142*IFERROR(VLOOKUP(A142,Biogasanlæg!$F$3:$G$8,2,FALSE),1)</f>
        <v>5.7658385125777967</v>
      </c>
      <c r="U142" s="170">
        <f t="shared" si="35"/>
        <v>0</v>
      </c>
      <c r="V142" s="169">
        <f>P142*IFERROR(VLOOKUP(A142,[1]Tørstofindhold!A$2:B$24,2,FALSE),0)</f>
        <v>0</v>
      </c>
      <c r="W142">
        <f>IF(F142=År1,Q142,SUM(P142,Q142))*IFERROR(VLOOKUP(A142,[1]Tørstofindhold!A$2:B$24,2,FALSE),0)</f>
        <v>669201.31297328183</v>
      </c>
      <c r="X142">
        <f>K142*IFERROR(VLOOKUP(A142,[1]Tørstofindhold!A$2:B$24,2,FALSE),0)</f>
        <v>669201.31297328183</v>
      </c>
      <c r="Y142" s="170">
        <f t="shared" si="36"/>
        <v>0</v>
      </c>
      <c r="Z142">
        <f t="shared" si="29"/>
        <v>0</v>
      </c>
      <c r="AA142">
        <f t="shared" si="30"/>
        <v>0</v>
      </c>
      <c r="AC142" s="94">
        <f t="shared" si="32"/>
        <v>0</v>
      </c>
      <c r="AD142">
        <f>AC142*E142*10000*VLOOKUP(A142,[1]kcal!$A$2:$C$49,3,FALSE)/1000000000000</f>
        <v>0</v>
      </c>
    </row>
    <row r="143" spans="1:30" x14ac:dyDescent="0.25">
      <c r="A143" s="171" t="str">
        <f t="shared" si="26"/>
        <v>Svinekød</v>
      </c>
      <c r="B143" s="171" t="str">
        <f t="shared" si="27"/>
        <v/>
      </c>
      <c r="C143" s="171" t="str">
        <f>IFERROR(VLOOKUP(A143,'Kategorisering af kcal'!$J$2:$K$18,2,FALSE),"")</f>
        <v>Kød</v>
      </c>
      <c r="D143" s="171">
        <f>IF(COUNTIFS('Resultater - Danmark'!$D$3:$D$504,'Produktion &amp; forbrug'!A143,'Resultater - Danmark'!$A$3:$A$504,"Til energi")+COUNTIFS('Resultater - Danmark'!$D$3:$D$504,'Produktion &amp; forbrug'!A143,'Resultater - Danmark'!$A$3:$A$504,"Biogasanlæg")&gt;0,1,0)</f>
        <v>0</v>
      </c>
      <c r="E143" s="171">
        <f t="shared" si="28"/>
        <v>1</v>
      </c>
      <c r="F143" s="171">
        <f t="shared" si="23"/>
        <v>2050</v>
      </c>
      <c r="G143" s="94">
        <f>SUMIFS('Resultat-Produktion &amp; forbrug'!G$4:G$291,'Resultat-Produktion &amp; forbrug'!$A$4:$A$291,'Produktion &amp; forbrug'!$A143,'Resultat-Produktion &amp; forbrug'!$E$4:$E$291,'Produktion &amp; forbrug'!$F143)</f>
        <v>1380901.3834271473</v>
      </c>
      <c r="H143" s="94">
        <f>SUMIFS('Resultat-Produktion &amp; forbrug'!H$4:H$291,'Resultat-Produktion &amp; forbrug'!$A$4:$A$291,'Produktion &amp; forbrug'!$A143,'Resultat-Produktion &amp; forbrug'!$E$4:$E$291,'Produktion &amp; forbrug'!$F143)</f>
        <v>0</v>
      </c>
      <c r="I143" s="94">
        <f>SUMIFS('Resultat-Produktion &amp; forbrug'!I$4:I$291,'Resultat-Produktion &amp; forbrug'!$A$4:$A$291,'Produktion &amp; forbrug'!$A143,'Resultat-Produktion &amp; forbrug'!$E$4:$E$291,'Produktion &amp; forbrug'!$F143)</f>
        <v>0</v>
      </c>
      <c r="J143" s="94">
        <f>SUMIFS('Resultat-Produktion &amp; forbrug'!J$4:J$291,'Resultat-Produktion &amp; forbrug'!$A$4:$A$291,'Produktion &amp; forbrug'!$A143,'Resultat-Produktion &amp; forbrug'!$E$4:$E$291,'Produktion &amp; forbrug'!$F143)</f>
        <v>237101.38949957371</v>
      </c>
      <c r="K143" s="94">
        <f>SUMIFS('Resultat-Produktion &amp; forbrug'!K$4:K$291,'Resultat-Produktion &amp; forbrug'!$A$4:$A$291,'Produktion &amp; forbrug'!$A143,'Resultat-Produktion &amp; forbrug'!$E$4:$E$291,'Produktion &amp; forbrug'!$F143)</f>
        <v>0</v>
      </c>
      <c r="L143" s="94">
        <f>SUMIFS('Resultat-Produktion &amp; forbrug'!L$4:L$291,'Resultat-Produktion &amp; forbrug'!$A$4:$A$291,'Produktion &amp; forbrug'!$A143,'Resultat-Produktion &amp; forbrug'!$E$4:$E$291,'Produktion &amp; forbrug'!$F143)</f>
        <v>0</v>
      </c>
      <c r="M143" s="94">
        <f>SUMIFS('Resultat-Produktion &amp; forbrug'!M$4:M$291,'Resultat-Produktion &amp; forbrug'!$A$4:$A$291,'Produktion &amp; forbrug'!$A143,'Resultat-Produktion &amp; forbrug'!$E$4:$E$291,'Produktion &amp; forbrug'!$F143)</f>
        <v>0</v>
      </c>
      <c r="N143" s="94">
        <f>SUMIFS('Resultat-Produktion &amp; forbrug'!N$4:N$291,'Resultat-Produktion &amp; forbrug'!$A$4:$A$291,'Produktion &amp; forbrug'!$A143,'Resultat-Produktion &amp; forbrug'!$E$4:$E$291,'Produktion &amp; forbrug'!$F143)</f>
        <v>0</v>
      </c>
      <c r="O143" s="179">
        <f t="shared" si="33"/>
        <v>1143799.9939275736</v>
      </c>
      <c r="P143" s="94">
        <f t="shared" si="31"/>
        <v>0</v>
      </c>
      <c r="Q143" s="180">
        <f t="shared" si="34"/>
        <v>0</v>
      </c>
      <c r="R143">
        <f>IFERROR(VLOOKUP(A143,[1]Energiindhold!$A$2:$C$11,3,FALSE),IFERROR(VLOOKUP(A143,[1]Biogasudbytte!$A$2:$B$18,2,FALSE)*[1]Energiindhold!$C$10,0))*P143</f>
        <v>0</v>
      </c>
      <c r="S143">
        <f>IF(A143&lt;&gt;"Biogas",IFERROR(VLOOKUP(A143,[1]Biogasudbytte!$A$2:$B$18,2,FALSE)*[1]Energiindhold!$C$10,0)*K143*IFERROR(VLOOKUP(A143,Biogasanlæg!$F$3:$G$8,2,FALSE),1)+IFERROR(VLOOKUP(A143,[1]Energiindhold!$A$2:$C$11,3,FALSE),0)*M143+IF(F143&lt;&gt;År1,R143,0),0)</f>
        <v>0</v>
      </c>
      <c r="T143">
        <f>IFERROR(VLOOKUP(A143,[1]Biogasudbytte!$A$2:$B$18,2,FALSE)*[1]Energiindhold!$C$10,0)*K143*IFERROR(VLOOKUP(A143,Biogasanlæg!$F$3:$G$8,2,FALSE),1)</f>
        <v>0</v>
      </c>
      <c r="U143" s="170">
        <f t="shared" si="35"/>
        <v>0</v>
      </c>
      <c r="V143" s="169">
        <f>P143*IFERROR(VLOOKUP(A143,[1]Tørstofindhold!A$2:B$24,2,FALSE),0)</f>
        <v>0</v>
      </c>
      <c r="W143">
        <f>IF(F143=År1,Q143,SUM(P143,Q143))*IFERROR(VLOOKUP(A143,[1]Tørstofindhold!A$2:B$24,2,FALSE),0)</f>
        <v>0</v>
      </c>
      <c r="X143">
        <f>K143*IFERROR(VLOOKUP(A143,[1]Tørstofindhold!A$2:B$24,2,FALSE),0)</f>
        <v>0</v>
      </c>
      <c r="Y143" s="170">
        <f t="shared" si="36"/>
        <v>0</v>
      </c>
      <c r="Z143">
        <f t="shared" si="29"/>
        <v>0</v>
      </c>
      <c r="AA143">
        <f t="shared" si="30"/>
        <v>1</v>
      </c>
      <c r="AC143" s="94">
        <f t="shared" si="32"/>
        <v>1380901.3834271473</v>
      </c>
      <c r="AD143">
        <f>AC143*E143*10000*VLOOKUP(A143,[1]kcal!$A$2:$C$49,3,FALSE)/1000000000000</f>
        <v>2.692757697682937</v>
      </c>
    </row>
    <row r="144" spans="1:30" x14ac:dyDescent="0.25">
      <c r="A144" s="171" t="str">
        <f t="shared" si="26"/>
        <v>Tang</v>
      </c>
      <c r="B144" s="171" t="str">
        <f t="shared" si="27"/>
        <v>Havbiomasse</v>
      </c>
      <c r="C144" s="171" t="str">
        <f>IFERROR(VLOOKUP(A144,'Kategorisering af kcal'!$J$2:$K$18,2,FALSE),"")</f>
        <v>Fisk mm</v>
      </c>
      <c r="D144" s="171">
        <f>IF(COUNTIFS('Resultater - Danmark'!$D$3:$D$504,'Produktion &amp; forbrug'!A144,'Resultater - Danmark'!$A$3:$A$504,"Til energi")+COUNTIFS('Resultater - Danmark'!$D$3:$D$504,'Produktion &amp; forbrug'!A144,'Resultater - Danmark'!$A$3:$A$504,"Biogasanlæg")&gt;0,1,0)</f>
        <v>1</v>
      </c>
      <c r="E144" s="171">
        <f t="shared" si="28"/>
        <v>1</v>
      </c>
      <c r="F144" s="171">
        <f t="shared" si="23"/>
        <v>2050</v>
      </c>
      <c r="G144" s="94">
        <f>SUMIFS('Resultat-Produktion &amp; forbrug'!G$4:G$291,'Resultat-Produktion &amp; forbrug'!$A$4:$A$291,'Produktion &amp; forbrug'!$A144,'Resultat-Produktion &amp; forbrug'!$E$4:$E$291,'Produktion &amp; forbrug'!$F144)</f>
        <v>382.5</v>
      </c>
      <c r="H144" s="94">
        <f ca="1">SUMIFS('Resultat-Produktion &amp; forbrug'!H$4:H$291,'Resultat-Produktion &amp; forbrug'!$A$4:$A$291,'Produktion &amp; forbrug'!$A144,'Resultat-Produktion &amp; forbrug'!$E$4:$E$291,'Produktion &amp; forbrug'!$F144)</f>
        <v>0</v>
      </c>
      <c r="I144" s="94">
        <f>SUMIFS('Resultat-Produktion &amp; forbrug'!I$4:I$291,'Resultat-Produktion &amp; forbrug'!$A$4:$A$291,'Produktion &amp; forbrug'!$A144,'Resultat-Produktion &amp; forbrug'!$E$4:$E$291,'Produktion &amp; forbrug'!$F144)</f>
        <v>0</v>
      </c>
      <c r="J144" s="94">
        <f>SUMIFS('Resultat-Produktion &amp; forbrug'!J$4:J$291,'Resultat-Produktion &amp; forbrug'!$A$4:$A$291,'Produktion &amp; forbrug'!$A144,'Resultat-Produktion &amp; forbrug'!$E$4:$E$291,'Produktion &amp; forbrug'!$F144)</f>
        <v>0</v>
      </c>
      <c r="K144" s="94">
        <f>SUMIFS('Resultat-Produktion &amp; forbrug'!K$4:K$291,'Resultat-Produktion &amp; forbrug'!$A$4:$A$291,'Produktion &amp; forbrug'!$A144,'Resultat-Produktion &amp; forbrug'!$E$4:$E$291,'Produktion &amp; forbrug'!$F144)</f>
        <v>0</v>
      </c>
      <c r="L144" s="94">
        <f>SUMIFS('Resultat-Produktion &amp; forbrug'!L$4:L$291,'Resultat-Produktion &amp; forbrug'!$A$4:$A$291,'Produktion &amp; forbrug'!$A144,'Resultat-Produktion &amp; forbrug'!$E$4:$E$291,'Produktion &amp; forbrug'!$F144)</f>
        <v>0</v>
      </c>
      <c r="M144" s="94">
        <f>SUMIFS('Resultat-Produktion &amp; forbrug'!M$4:M$291,'Resultat-Produktion &amp; forbrug'!$A$4:$A$291,'Produktion &amp; forbrug'!$A144,'Resultat-Produktion &amp; forbrug'!$E$4:$E$291,'Produktion &amp; forbrug'!$F144)</f>
        <v>0</v>
      </c>
      <c r="N144" s="94">
        <f>SUMIFS('Resultat-Produktion &amp; forbrug'!N$4:N$291,'Resultat-Produktion &amp; forbrug'!$A$4:$A$291,'Produktion &amp; forbrug'!$A144,'Resultat-Produktion &amp; forbrug'!$E$4:$E$291,'Produktion &amp; forbrug'!$F144)</f>
        <v>0</v>
      </c>
      <c r="O144" s="179">
        <f t="shared" ca="1" si="33"/>
        <v>382.5</v>
      </c>
      <c r="P144" s="94">
        <f t="shared" ca="1" si="31"/>
        <v>382.5</v>
      </c>
      <c r="Q144" s="180">
        <f t="shared" si="34"/>
        <v>0</v>
      </c>
      <c r="R144">
        <f ca="1">IFERROR(VLOOKUP(A144,[1]Energiindhold!$A$2:$C$11,3,FALSE),IFERROR(VLOOKUP(A144,[1]Biogasudbytte!$A$2:$B$18,2,FALSE)*[1]Energiindhold!$C$10,0))*P144</f>
        <v>3.4329375000000003E-4</v>
      </c>
      <c r="S144">
        <f ca="1">IF(A144&lt;&gt;"Biogas",IFERROR(VLOOKUP(A144,[1]Biogasudbytte!$A$2:$B$18,2,FALSE)*[1]Energiindhold!$C$10,0)*K144*IFERROR(VLOOKUP(A144,Biogasanlæg!$F$3:$G$8,2,FALSE),1)+IFERROR(VLOOKUP(A144,[1]Energiindhold!$A$2:$C$11,3,FALSE),0)*M144+IF(F144&lt;&gt;År1,R144,0),0)</f>
        <v>3.4329375000000003E-4</v>
      </c>
      <c r="T144">
        <f>IFERROR(VLOOKUP(A144,[1]Biogasudbytte!$A$2:$B$18,2,FALSE)*[1]Energiindhold!$C$10,0)*K144*IFERROR(VLOOKUP(A144,Biogasanlæg!$F$3:$G$8,2,FALSE),1)</f>
        <v>0</v>
      </c>
      <c r="U144" s="170">
        <f t="shared" ca="1" si="35"/>
        <v>3.4329375000000003E-4</v>
      </c>
      <c r="V144" s="169">
        <f ca="1">P144*IFERROR(VLOOKUP(A144,[1]Tørstofindhold!A$2:B$24,2,FALSE),0)</f>
        <v>57.375</v>
      </c>
      <c r="W144">
        <f ca="1">IF(F144=År1,Q144,SUM(P144,Q144))*IFERROR(VLOOKUP(A144,[1]Tørstofindhold!A$2:B$24,2,FALSE),0)</f>
        <v>57.375</v>
      </c>
      <c r="X144">
        <f>K144*IFERROR(VLOOKUP(A144,[1]Tørstofindhold!A$2:B$24,2,FALSE),0)</f>
        <v>0</v>
      </c>
      <c r="Y144" s="170">
        <f t="shared" ca="1" si="36"/>
        <v>57.375</v>
      </c>
      <c r="Z144">
        <f t="shared" ca="1" si="29"/>
        <v>0</v>
      </c>
      <c r="AA144">
        <f t="shared" ca="1" si="30"/>
        <v>1</v>
      </c>
      <c r="AC144" s="94">
        <f t="shared" ca="1" si="32"/>
        <v>382.5</v>
      </c>
      <c r="AD144">
        <f ca="1">AC144*E144*10000*VLOOKUP(A144,[1]kcal!$A$2:$C$49,3,FALSE)/1000000000000</f>
        <v>1.5605999999999999E-4</v>
      </c>
    </row>
    <row r="145" spans="1:30" x14ac:dyDescent="0.25">
      <c r="A145" s="171" t="str">
        <f t="shared" si="26"/>
        <v>Total til biogas</v>
      </c>
      <c r="B145" s="171" t="str">
        <f t="shared" si="27"/>
        <v/>
      </c>
      <c r="C145" s="171" t="str">
        <f>IFERROR(VLOOKUP(A145,'Kategorisering af kcal'!$J$2:$K$18,2,FALSE),"")</f>
        <v/>
      </c>
      <c r="D145" s="171">
        <f>IF(COUNTIFS('Resultater - Danmark'!$D$3:$D$504,'Produktion &amp; forbrug'!A145,'Resultater - Danmark'!$A$3:$A$504,"Til energi")+COUNTIFS('Resultater - Danmark'!$D$3:$D$504,'Produktion &amp; forbrug'!A145,'Resultater - Danmark'!$A$3:$A$504,"Biogasanlæg")&gt;0,1,0)</f>
        <v>1</v>
      </c>
      <c r="E145" s="171">
        <f t="shared" si="28"/>
        <v>0</v>
      </c>
      <c r="F145" s="171">
        <f t="shared" si="23"/>
        <v>2050</v>
      </c>
      <c r="G145" s="94">
        <f>SUMIFS('Resultat-Produktion &amp; forbrug'!G$4:G$291,'Resultat-Produktion &amp; forbrug'!$A$4:$A$291,'Produktion &amp; forbrug'!$A145,'Resultat-Produktion &amp; forbrug'!$E$4:$E$291,'Produktion &amp; forbrug'!$F145)</f>
        <v>0</v>
      </c>
      <c r="H145" s="94">
        <f>SUMIFS('Resultat-Produktion &amp; forbrug'!H$4:H$291,'Resultat-Produktion &amp; forbrug'!$A$4:$A$291,'Produktion &amp; forbrug'!$A145,'Resultat-Produktion &amp; forbrug'!$E$4:$E$291,'Produktion &amp; forbrug'!$F145)</f>
        <v>0</v>
      </c>
      <c r="I145" s="94">
        <f>SUMIFS('Resultat-Produktion &amp; forbrug'!I$4:I$291,'Resultat-Produktion &amp; forbrug'!$A$4:$A$291,'Produktion &amp; forbrug'!$A145,'Resultat-Produktion &amp; forbrug'!$E$4:$E$291,'Produktion &amp; forbrug'!$F145)</f>
        <v>0</v>
      </c>
      <c r="J145" s="94">
        <f>SUMIFS('Resultat-Produktion &amp; forbrug'!J$4:J$291,'Resultat-Produktion &amp; forbrug'!$A$4:$A$291,'Produktion &amp; forbrug'!$A145,'Resultat-Produktion &amp; forbrug'!$E$4:$E$291,'Produktion &amp; forbrug'!$F145)</f>
        <v>0</v>
      </c>
      <c r="K145" s="94">
        <f>SUMIFS('Resultat-Produktion &amp; forbrug'!K$4:K$291,'Resultat-Produktion &amp; forbrug'!$A$4:$A$291,'Produktion &amp; forbrug'!$A145,'Resultat-Produktion &amp; forbrug'!$E$4:$E$291,'Produktion &amp; forbrug'!$F145)</f>
        <v>0</v>
      </c>
      <c r="L145" s="94">
        <f>SUMIFS('Resultat-Produktion &amp; forbrug'!L$4:L$291,'Resultat-Produktion &amp; forbrug'!$A$4:$A$291,'Produktion &amp; forbrug'!$A145,'Resultat-Produktion &amp; forbrug'!$E$4:$E$291,'Produktion &amp; forbrug'!$F145)</f>
        <v>0</v>
      </c>
      <c r="M145" s="94">
        <f>SUMIFS('Resultat-Produktion &amp; forbrug'!M$4:M$291,'Resultat-Produktion &amp; forbrug'!$A$4:$A$291,'Produktion &amp; forbrug'!$A145,'Resultat-Produktion &amp; forbrug'!$E$4:$E$291,'Produktion &amp; forbrug'!$F145)</f>
        <v>0</v>
      </c>
      <c r="N145" s="94">
        <f>SUMIFS('Resultat-Produktion &amp; forbrug'!N$4:N$291,'Resultat-Produktion &amp; forbrug'!$A$4:$A$291,'Produktion &amp; forbrug'!$A145,'Resultat-Produktion &amp; forbrug'!$E$4:$E$291,'Produktion &amp; forbrug'!$F145)</f>
        <v>0</v>
      </c>
      <c r="O145" s="179">
        <f t="shared" si="33"/>
        <v>0</v>
      </c>
      <c r="P145" s="94">
        <f t="shared" si="31"/>
        <v>0</v>
      </c>
      <c r="Q145" s="180">
        <f t="shared" si="34"/>
        <v>0</v>
      </c>
      <c r="R145">
        <f>IFERROR(VLOOKUP(A145,[1]Energiindhold!$A$2:$C$11,3,FALSE),IFERROR(VLOOKUP(A145,[1]Biogasudbytte!$A$2:$B$18,2,FALSE)*[1]Energiindhold!$C$10,0))*P145</f>
        <v>0</v>
      </c>
      <c r="S145">
        <f>IF(A145&lt;&gt;"Biogas",IFERROR(VLOOKUP(A145,[1]Biogasudbytte!$A$2:$B$18,2,FALSE)*[1]Energiindhold!$C$10,0)*K145*IFERROR(VLOOKUP(A145,Biogasanlæg!$F$3:$G$8,2,FALSE),1)+IFERROR(VLOOKUP(A145,[1]Energiindhold!$A$2:$C$11,3,FALSE),0)*M145+IF(F145&lt;&gt;År1,R145,0),0)</f>
        <v>0</v>
      </c>
      <c r="T145">
        <f>IFERROR(VLOOKUP(A145,[1]Biogasudbytte!$A$2:$B$18,2,FALSE)*[1]Energiindhold!$C$10,0)*K145*IFERROR(VLOOKUP(A145,Biogasanlæg!$F$3:$G$8,2,FALSE),1)</f>
        <v>0</v>
      </c>
      <c r="U145" s="170">
        <f t="shared" si="35"/>
        <v>0</v>
      </c>
      <c r="V145" s="169">
        <f>P145*IFERROR(VLOOKUP(A145,[1]Tørstofindhold!A$2:B$24,2,FALSE),0)</f>
        <v>0</v>
      </c>
      <c r="W145">
        <f>IF(F145=År1,Q145,SUM(P145,Q145))*IFERROR(VLOOKUP(A145,[1]Tørstofindhold!A$2:B$24,2,FALSE),0)</f>
        <v>0</v>
      </c>
      <c r="X145">
        <f>K145*IFERROR(VLOOKUP(A145,[1]Tørstofindhold!A$2:B$24,2,FALSE),0)</f>
        <v>0</v>
      </c>
      <c r="Y145" s="170">
        <f t="shared" si="36"/>
        <v>0</v>
      </c>
      <c r="Z145">
        <f t="shared" si="29"/>
        <v>0</v>
      </c>
      <c r="AA145">
        <f t="shared" si="30"/>
        <v>0</v>
      </c>
      <c r="AC145" s="94">
        <f t="shared" si="32"/>
        <v>0</v>
      </c>
      <c r="AD145">
        <f>AC145*E145*10000*VLOOKUP(A145,[1]kcal!$A$2:$C$49,3,FALSE)/1000000000000</f>
        <v>0</v>
      </c>
    </row>
    <row r="146" spans="1:30" x14ac:dyDescent="0.25">
      <c r="A146" s="171" t="str">
        <f t="shared" si="26"/>
        <v>Træ til energi</v>
      </c>
      <c r="B146" s="171" t="str">
        <f t="shared" si="27"/>
        <v>Vedmasse</v>
      </c>
      <c r="C146" s="171" t="str">
        <f>IFERROR(VLOOKUP(A146,'Kategorisering af kcal'!$J$2:$K$18,2,FALSE),"")</f>
        <v/>
      </c>
      <c r="D146" s="171">
        <f>IF(COUNTIFS('Resultater - Danmark'!$D$3:$D$504,'Produktion &amp; forbrug'!A146,'Resultater - Danmark'!$A$3:$A$504,"Til energi")+COUNTIFS('Resultater - Danmark'!$D$3:$D$504,'Produktion &amp; forbrug'!A146,'Resultater - Danmark'!$A$3:$A$504,"Biogasanlæg")&gt;0,1,0)</f>
        <v>1</v>
      </c>
      <c r="E146" s="171">
        <f t="shared" si="28"/>
        <v>0</v>
      </c>
      <c r="F146" s="171">
        <f t="shared" si="23"/>
        <v>2050</v>
      </c>
      <c r="G146" s="94">
        <f ca="1">SUMIFS('Resultat-Produktion &amp; forbrug'!G$4:G$291,'Resultat-Produktion &amp; forbrug'!$A$4:$A$291,'Produktion &amp; forbrug'!$A146,'Resultat-Produktion &amp; forbrug'!$E$4:$E$291,'Produktion &amp; forbrug'!$F146)</f>
        <v>2954639.3356608618</v>
      </c>
      <c r="H146" s="94">
        <f>SUMIFS('Resultat-Produktion &amp; forbrug'!H$4:H$291,'Resultat-Produktion &amp; forbrug'!$A$4:$A$291,'Produktion &amp; forbrug'!$A146,'Resultat-Produktion &amp; forbrug'!$E$4:$E$291,'Produktion &amp; forbrug'!$F146)</f>
        <v>0</v>
      </c>
      <c r="I146" s="94">
        <f>SUMIFS('Resultat-Produktion &amp; forbrug'!I$4:I$291,'Resultat-Produktion &amp; forbrug'!$A$4:$A$291,'Produktion &amp; forbrug'!$A146,'Resultat-Produktion &amp; forbrug'!$E$4:$E$291,'Produktion &amp; forbrug'!$F146)</f>
        <v>0</v>
      </c>
      <c r="J146" s="94">
        <f>SUMIFS('Resultat-Produktion &amp; forbrug'!J$4:J$291,'Resultat-Produktion &amp; forbrug'!$A$4:$A$291,'Produktion &amp; forbrug'!$A146,'Resultat-Produktion &amp; forbrug'!$E$4:$E$291,'Produktion &amp; forbrug'!$F146)</f>
        <v>0</v>
      </c>
      <c r="K146" s="94">
        <f>SUMIFS('Resultat-Produktion &amp; forbrug'!K$4:K$291,'Resultat-Produktion &amp; forbrug'!$A$4:$A$291,'Produktion &amp; forbrug'!$A146,'Resultat-Produktion &amp; forbrug'!$E$4:$E$291,'Produktion &amp; forbrug'!$F146)</f>
        <v>0</v>
      </c>
      <c r="L146" s="94">
        <f>SUMIFS('Resultat-Produktion &amp; forbrug'!L$4:L$291,'Resultat-Produktion &amp; forbrug'!$A$4:$A$291,'Produktion &amp; forbrug'!$A146,'Resultat-Produktion &amp; forbrug'!$E$4:$E$291,'Produktion &amp; forbrug'!$F146)</f>
        <v>0</v>
      </c>
      <c r="M146" s="94">
        <f ca="1">SUMIFS('Resultat-Produktion &amp; forbrug'!M$4:M$291,'Resultat-Produktion &amp; forbrug'!$A$4:$A$291,'Produktion &amp; forbrug'!$A146,'Resultat-Produktion &amp; forbrug'!$E$4:$E$291,'Produktion &amp; forbrug'!$F146)</f>
        <v>2954639.3356608618</v>
      </c>
      <c r="N146" s="94">
        <f>SUMIFS('Resultat-Produktion &amp; forbrug'!N$4:N$291,'Resultat-Produktion &amp; forbrug'!$A$4:$A$291,'Produktion &amp; forbrug'!$A146,'Resultat-Produktion &amp; forbrug'!$E$4:$E$291,'Produktion &amp; forbrug'!$F146)</f>
        <v>0</v>
      </c>
      <c r="O146" s="179">
        <f t="shared" ca="1" si="33"/>
        <v>0</v>
      </c>
      <c r="P146" s="94">
        <f t="shared" ca="1" si="31"/>
        <v>0</v>
      </c>
      <c r="Q146" s="180">
        <f t="shared" ca="1" si="34"/>
        <v>2954639.3356608618</v>
      </c>
      <c r="R146">
        <f ca="1">IFERROR(VLOOKUP(A146,[1]Energiindhold!$A$2:$C$11,3,FALSE),IFERROR(VLOOKUP(A146,[1]Biogasudbytte!$A$2:$B$18,2,FALSE)*[1]Energiindhold!$C$10,0))*P146</f>
        <v>0</v>
      </c>
      <c r="S146">
        <f ca="1">IF(A146&lt;&gt;"Biogas",IFERROR(VLOOKUP(A146,[1]Biogasudbytte!$A$2:$B$18,2,FALSE)*[1]Energiindhold!$C$10,0)*K146*IFERROR(VLOOKUP(A146,Biogasanlæg!$F$3:$G$8,2,FALSE),1)+IFERROR(VLOOKUP(A146,[1]Energiindhold!$A$2:$C$11,3,FALSE),0)*M146+IF(F146&lt;&gt;År1,R146,0),0)</f>
        <v>42.823268788341714</v>
      </c>
      <c r="T146">
        <f>IFERROR(VLOOKUP(A146,[1]Biogasudbytte!$A$2:$B$18,2,FALSE)*[1]Energiindhold!$C$10,0)*K146*IFERROR(VLOOKUP(A146,Biogasanlæg!$F$3:$G$8,2,FALSE),1)</f>
        <v>0</v>
      </c>
      <c r="U146" s="170">
        <f t="shared" ca="1" si="35"/>
        <v>42.823268788341714</v>
      </c>
      <c r="V146" s="169">
        <f ca="1">P146*IFERROR(VLOOKUP(A146,[1]Tørstofindhold!A$2:B$24,2,FALSE),0)</f>
        <v>0</v>
      </c>
      <c r="W146">
        <f ca="1">IF(F146=År1,Q146,SUM(P146,Q146))*IFERROR(VLOOKUP(A146,[1]Tørstofindhold!A$2:B$24,2,FALSE),0)</f>
        <v>1461315.3714289346</v>
      </c>
      <c r="X146">
        <f>K146*IFERROR(VLOOKUP(A146,[1]Tørstofindhold!A$2:B$24,2,FALSE),0)</f>
        <v>0</v>
      </c>
      <c r="Y146" s="170">
        <f t="shared" ca="1" si="36"/>
        <v>1461315.3714289346</v>
      </c>
      <c r="Z146">
        <f t="shared" ca="1" si="29"/>
        <v>0</v>
      </c>
      <c r="AA146">
        <f t="shared" ca="1" si="30"/>
        <v>0</v>
      </c>
      <c r="AC146" s="94">
        <f t="shared" ca="1" si="32"/>
        <v>2954639.3356608618</v>
      </c>
      <c r="AD146">
        <f ca="1">AC146*E146*10000*VLOOKUP(A146,[1]kcal!$A$2:$C$49,3,FALSE)/1000000000000</f>
        <v>0</v>
      </c>
    </row>
    <row r="147" spans="1:30" x14ac:dyDescent="0.25">
      <c r="A147" s="171" t="str">
        <f t="shared" si="26"/>
        <v>Træmaterialer</v>
      </c>
      <c r="B147" s="171" t="str">
        <f t="shared" si="27"/>
        <v/>
      </c>
      <c r="C147" s="171" t="str">
        <f>IFERROR(VLOOKUP(A147,'Kategorisering af kcal'!$J$2:$K$18,2,FALSE),"")</f>
        <v/>
      </c>
      <c r="D147" s="171">
        <f>IF(COUNTIFS('Resultater - Danmark'!$D$3:$D$504,'Produktion &amp; forbrug'!A147,'Resultater - Danmark'!$A$3:$A$504,"Til energi")+COUNTIFS('Resultater - Danmark'!$D$3:$D$504,'Produktion &amp; forbrug'!A147,'Resultater - Danmark'!$A$3:$A$504,"Biogasanlæg")&gt;0,1,0)</f>
        <v>0</v>
      </c>
      <c r="E147" s="171">
        <f t="shared" si="28"/>
        <v>0</v>
      </c>
      <c r="F147" s="171">
        <f t="shared" si="23"/>
        <v>2050</v>
      </c>
      <c r="G147" s="94">
        <f ca="1">SUMIFS('Resultat-Produktion &amp; forbrug'!G$4:G$291,'Resultat-Produktion &amp; forbrug'!$A$4:$A$291,'Produktion &amp; forbrug'!$A147,'Resultat-Produktion &amp; forbrug'!$E$4:$E$291,'Produktion &amp; forbrug'!$F147)</f>
        <v>859926.76116467617</v>
      </c>
      <c r="H147" s="94">
        <f>SUMIFS('Resultat-Produktion &amp; forbrug'!H$4:H$291,'Resultat-Produktion &amp; forbrug'!$A$4:$A$291,'Produktion &amp; forbrug'!$A147,'Resultat-Produktion &amp; forbrug'!$E$4:$E$291,'Produktion &amp; forbrug'!$F147)</f>
        <v>0</v>
      </c>
      <c r="I147" s="94">
        <f>SUMIFS('Resultat-Produktion &amp; forbrug'!I$4:I$291,'Resultat-Produktion &amp; forbrug'!$A$4:$A$291,'Produktion &amp; forbrug'!$A147,'Resultat-Produktion &amp; forbrug'!$E$4:$E$291,'Produktion &amp; forbrug'!$F147)</f>
        <v>0</v>
      </c>
      <c r="J147" s="94">
        <f>SUMIFS('Resultat-Produktion &amp; forbrug'!J$4:J$291,'Resultat-Produktion &amp; forbrug'!$A$4:$A$291,'Produktion &amp; forbrug'!$A147,'Resultat-Produktion &amp; forbrug'!$E$4:$E$291,'Produktion &amp; forbrug'!$F147)</f>
        <v>0</v>
      </c>
      <c r="K147" s="94">
        <f>SUMIFS('Resultat-Produktion &amp; forbrug'!K$4:K$291,'Resultat-Produktion &amp; forbrug'!$A$4:$A$291,'Produktion &amp; forbrug'!$A147,'Resultat-Produktion &amp; forbrug'!$E$4:$E$291,'Produktion &amp; forbrug'!$F147)</f>
        <v>0</v>
      </c>
      <c r="L147" s="94">
        <f>SUMIFS('Resultat-Produktion &amp; forbrug'!L$4:L$291,'Resultat-Produktion &amp; forbrug'!$A$4:$A$291,'Produktion &amp; forbrug'!$A147,'Resultat-Produktion &amp; forbrug'!$E$4:$E$291,'Produktion &amp; forbrug'!$F147)</f>
        <v>0</v>
      </c>
      <c r="M147" s="94">
        <f>SUMIFS('Resultat-Produktion &amp; forbrug'!M$4:M$291,'Resultat-Produktion &amp; forbrug'!$A$4:$A$291,'Produktion &amp; forbrug'!$A147,'Resultat-Produktion &amp; forbrug'!$E$4:$E$291,'Produktion &amp; forbrug'!$F147)</f>
        <v>0</v>
      </c>
      <c r="N147" s="94">
        <f ca="1">SUMIFS('Resultat-Produktion &amp; forbrug'!N$4:N$291,'Resultat-Produktion &amp; forbrug'!$A$4:$A$291,'Produktion &amp; forbrug'!$A147,'Resultat-Produktion &amp; forbrug'!$E$4:$E$291,'Produktion &amp; forbrug'!$F147)</f>
        <v>859926.76116467617</v>
      </c>
      <c r="O147" s="179">
        <f t="shared" ca="1" si="33"/>
        <v>0</v>
      </c>
      <c r="P147" s="94">
        <f t="shared" si="31"/>
        <v>0</v>
      </c>
      <c r="Q147" s="180">
        <f t="shared" si="34"/>
        <v>0</v>
      </c>
      <c r="R147">
        <f>IFERROR(VLOOKUP(A147,[1]Energiindhold!$A$2:$C$11,3,FALSE),IFERROR(VLOOKUP(A147,[1]Biogasudbytte!$A$2:$B$18,2,FALSE)*[1]Energiindhold!$C$10,0))*P147</f>
        <v>0</v>
      </c>
      <c r="S147">
        <f>IF(A147&lt;&gt;"Biogas",IFERROR(VLOOKUP(A147,[1]Biogasudbytte!$A$2:$B$18,2,FALSE)*[1]Energiindhold!$C$10,0)*K147*IFERROR(VLOOKUP(A147,Biogasanlæg!$F$3:$G$8,2,FALSE),1)+IFERROR(VLOOKUP(A147,[1]Energiindhold!$A$2:$C$11,3,FALSE),0)*M147+IF(F147&lt;&gt;År1,R147,0),0)</f>
        <v>0</v>
      </c>
      <c r="T147">
        <f>IFERROR(VLOOKUP(A147,[1]Biogasudbytte!$A$2:$B$18,2,FALSE)*[1]Energiindhold!$C$10,0)*K147*IFERROR(VLOOKUP(A147,Biogasanlæg!$F$3:$G$8,2,FALSE),1)</f>
        <v>0</v>
      </c>
      <c r="U147" s="170">
        <f t="shared" si="35"/>
        <v>0</v>
      </c>
      <c r="V147" s="169">
        <f>P147*IFERROR(VLOOKUP(A147,[1]Tørstofindhold!A$2:B$24,2,FALSE),0)</f>
        <v>0</v>
      </c>
      <c r="W147">
        <f>IF(F147=År1,Q147,SUM(P147,Q147))*IFERROR(VLOOKUP(A147,[1]Tørstofindhold!A$2:B$24,2,FALSE),0)</f>
        <v>0</v>
      </c>
      <c r="X147">
        <f>K147*IFERROR(VLOOKUP(A147,[1]Tørstofindhold!A$2:B$24,2,FALSE),0)</f>
        <v>0</v>
      </c>
      <c r="Y147" s="170">
        <f t="shared" si="36"/>
        <v>0</v>
      </c>
      <c r="Z147">
        <f t="shared" ca="1" si="29"/>
        <v>0</v>
      </c>
      <c r="AA147">
        <f t="shared" ca="1" si="30"/>
        <v>0</v>
      </c>
      <c r="AC147" s="94">
        <f t="shared" ca="1" si="32"/>
        <v>859926.76116467617</v>
      </c>
      <c r="AD147">
        <f ca="1">AC147*E147*10000*VLOOKUP(A147,[1]kcal!$A$2:$C$49,3,FALSE)/1000000000000</f>
        <v>0</v>
      </c>
    </row>
  </sheetData>
  <mergeCells count="6">
    <mergeCell ref="AC1:AD1"/>
    <mergeCell ref="A1:D1"/>
    <mergeCell ref="G1:N1"/>
    <mergeCell ref="O1:Q1"/>
    <mergeCell ref="R1:U1"/>
    <mergeCell ref="V1:Y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0CDD-8503-476E-AA3F-D816E7154D82}">
  <dimension ref="B1:F29"/>
  <sheetViews>
    <sheetView tabSelected="1" workbookViewId="0">
      <selection activeCell="D49" sqref="D48:D49"/>
    </sheetView>
  </sheetViews>
  <sheetFormatPr defaultRowHeight="15" x14ac:dyDescent="0.25"/>
  <cols>
    <col min="2" max="2" width="21.7109375" customWidth="1"/>
    <col min="3" max="3" width="13.85546875" customWidth="1"/>
    <col min="4" max="4" width="12.7109375" customWidth="1"/>
  </cols>
  <sheetData>
    <row r="1" spans="2:6" x14ac:dyDescent="0.25">
      <c r="B1" s="429" t="str">
        <f>'Produktion &amp; forbrug'!B3</f>
        <v>Biomassekategori</v>
      </c>
      <c r="C1" s="429"/>
      <c r="D1" s="429"/>
    </row>
    <row r="2" spans="2:6" x14ac:dyDescent="0.25">
      <c r="C2" s="458" t="s">
        <v>385</v>
      </c>
      <c r="D2" s="458"/>
    </row>
    <row r="3" spans="2:6" ht="15.75" thickBot="1" x14ac:dyDescent="0.3">
      <c r="C3">
        <f>År1</f>
        <v>2019</v>
      </c>
      <c r="D3">
        <f>År3</f>
        <v>2050</v>
      </c>
    </row>
    <row r="4" spans="2:6" x14ac:dyDescent="0.25">
      <c r="B4" s="91" t="str" cm="1">
        <f t="array" ref="B4:B12">IFERROR(_xlfn.UNIQUE(_xlfn._xlws.FILTER('Produktion &amp; forbrug'!B4:B147,'Produktion &amp; forbrug'!B4:B147&lt;&gt;"")), "")</f>
        <v>Bionedbrydeligt affald</v>
      </c>
      <c r="C4" s="447">
        <f ca="1">SUMIFS('Produktion &amp; forbrug'!$AC$4:$AC$147,'Produktion &amp; forbrug'!$F$4:$F$147,C$3,'Produktion &amp; forbrug'!B$4:B$147,$B4)</f>
        <v>4698263.1968560591</v>
      </c>
      <c r="D4" s="451">
        <f ca="1">SUMIFS('Produktion &amp; forbrug'!$AC$4:$AC$147,'Produktion &amp; forbrug'!$F$4:$F$147,D$3,'Produktion &amp; forbrug'!$B$4:$B$147,$B4)</f>
        <v>1835619.2540496881</v>
      </c>
    </row>
    <row r="5" spans="2:6" x14ac:dyDescent="0.25">
      <c r="B5" s="91" t="str">
        <v>Husdyrgødning</v>
      </c>
      <c r="C5" s="179">
        <f ca="1">SUMIFS('Produktion &amp; forbrug'!$AC$4:$AC$147,'Produktion &amp; forbrug'!$F$4:$F$147,C$3,'Produktion &amp; forbrug'!B$4:B$147,$B5)</f>
        <v>1352218.0071428572</v>
      </c>
      <c r="D5" s="180">
        <f ca="1">SUMIFS('Produktion &amp; forbrug'!$AC$4:$AC$147,'Produktion &amp; forbrug'!$F$4:$F$147,D$3,'Produktion &amp; forbrug'!$B$4:$B$147,$B5)</f>
        <v>178923.74622928072</v>
      </c>
    </row>
    <row r="6" spans="2:6" x14ac:dyDescent="0.25">
      <c r="B6" s="91" t="str">
        <v>Glycerin</v>
      </c>
      <c r="C6" s="179">
        <f>SUMIFS('Produktion &amp; forbrug'!$AC$4:$AC$147,'Produktion &amp; forbrug'!$F$4:$F$147,C$3,'Produktion &amp; forbrug'!B$4:B$147,$B6)</f>
        <v>-142742</v>
      </c>
      <c r="D6" s="180">
        <f>SUMIFS('Produktion &amp; forbrug'!$AC$4:$AC$147,'Produktion &amp; forbrug'!$F$4:$F$147,D$3,'Produktion &amp; forbrug'!$B$4:$B$147,$B6)</f>
        <v>-142742</v>
      </c>
    </row>
    <row r="7" spans="2:6" x14ac:dyDescent="0.25">
      <c r="B7" s="91" t="str">
        <v>Græs og urter</v>
      </c>
      <c r="C7" s="179">
        <f ca="1">SUMIFS('Produktion &amp; forbrug'!$AC$4:$AC$147,'Produktion &amp; forbrug'!$F$4:$F$147,C$3,'Produktion &amp; forbrug'!B$4:B$147,$B7)</f>
        <v>6999835.1830202974</v>
      </c>
      <c r="D7" s="180">
        <f ca="1">SUMIFS('Produktion &amp; forbrug'!$AC$4:$AC$147,'Produktion &amp; forbrug'!$F$4:$F$147,D$3,'Produktion &amp; forbrug'!$B$4:$B$147,$B7)</f>
        <v>6777425.1485133301</v>
      </c>
    </row>
    <row r="8" spans="2:6" x14ac:dyDescent="0.25">
      <c r="B8" s="91" t="str">
        <v>Halm og strå</v>
      </c>
      <c r="C8" s="179">
        <f ca="1">SUMIFS('Produktion &amp; forbrug'!$AC$4:$AC$147,'Produktion &amp; forbrug'!$F$4:$F$147,C$3,'Produktion &amp; forbrug'!B$4:B$147,$B8)</f>
        <v>4402957.5587320747</v>
      </c>
      <c r="D8" s="180">
        <f ca="1">SUMIFS('Produktion &amp; forbrug'!$AC$4:$AC$147,'Produktion &amp; forbrug'!$F$4:$F$147,D$3,'Produktion &amp; forbrug'!$B$4:$B$147,$B8)</f>
        <v>6832788.1145816427</v>
      </c>
    </row>
    <row r="9" spans="2:6" x14ac:dyDescent="0.25">
      <c r="B9" s="91" t="str">
        <v>Havbiomasse</v>
      </c>
      <c r="C9" s="179">
        <f ca="1">SUMIFS('Produktion &amp; forbrug'!$AC$4:$AC$147,'Produktion &amp; forbrug'!$F$4:$F$147,C$3,'Produktion &amp; forbrug'!B$4:B$147,$B9)</f>
        <v>956.59999999999991</v>
      </c>
      <c r="D9" s="180">
        <f ca="1">SUMIFS('Produktion &amp; forbrug'!$AC$4:$AC$147,'Produktion &amp; forbrug'!$F$4:$F$147,D$3,'Produktion &amp; forbrug'!$B$4:$B$147,$B9)</f>
        <v>1262.5999999999999</v>
      </c>
    </row>
    <row r="10" spans="2:6" x14ac:dyDescent="0.25">
      <c r="B10" s="91" t="str">
        <v>Vedmasse</v>
      </c>
      <c r="C10" s="179">
        <f ca="1">SUMIFS('Produktion &amp; forbrug'!$AC$4:$AC$147,'Produktion &amp; forbrug'!$F$4:$F$147,C$3,'Produktion &amp; forbrug'!B$4:B$147,$B10)</f>
        <v>3220159.2034965986</v>
      </c>
      <c r="D10" s="180">
        <f ca="1">SUMIFS('Produktion &amp; forbrug'!$AC$4:$AC$147,'Produktion &amp; forbrug'!$F$4:$F$147,D$3,'Produktion &amp; forbrug'!$B$4:$B$147,$B10)</f>
        <v>3138071.7453591116</v>
      </c>
    </row>
    <row r="11" spans="2:6" x14ac:dyDescent="0.25">
      <c r="B11" s="91" t="str">
        <v>Pyrolyseprodukter</v>
      </c>
      <c r="C11" s="179">
        <f ca="1">SUMIFS('Produktion &amp; forbrug'!$AC$4:$AC$147,'Produktion &amp; forbrug'!$F$4:$F$147,C$3,'Produktion &amp; forbrug'!B$4:B$147,$B11)</f>
        <v>0</v>
      </c>
      <c r="D11" s="180">
        <f ca="1">SUMIFS('Produktion &amp; forbrug'!$AC$4:$AC$147,'Produktion &amp; forbrug'!$F$4:$F$147,D$3,'Produktion &amp; forbrug'!$B$4:$B$147,$B11)</f>
        <v>0</v>
      </c>
    </row>
    <row r="12" spans="2:6" ht="15.75" thickBot="1" x14ac:dyDescent="0.3">
      <c r="B12" s="91" t="str">
        <v>Rapsolie</v>
      </c>
      <c r="C12" s="181">
        <f>SUMIFS('Produktion &amp; forbrug'!$AC$4:$AC$147,'Produktion &amp; forbrug'!$F$4:$F$147,C$3,'Produktion &amp; forbrug'!B$4:B$147,$B12)</f>
        <v>217064.073123599</v>
      </c>
      <c r="D12" s="183">
        <f>SUMIFS('Produktion &amp; forbrug'!$AC$4:$AC$147,'Produktion &amp; forbrug'!$F$4:$F$147,D$3,'Produktion &amp; forbrug'!$B$4:$B$147,$B12)</f>
        <v>215041.6251179617</v>
      </c>
    </row>
    <row r="15" spans="2:6" x14ac:dyDescent="0.25">
      <c r="B15" s="429" t="str">
        <f>'Produktion &amp; forbrug'!C3</f>
        <v>Kategori til kalorier</v>
      </c>
      <c r="C15" s="429"/>
      <c r="D15" s="429"/>
      <c r="E15" s="429"/>
      <c r="F15" s="429"/>
    </row>
    <row r="16" spans="2:6" x14ac:dyDescent="0.25">
      <c r="C16" s="424" t="s">
        <v>385</v>
      </c>
      <c r="D16" s="424"/>
      <c r="E16" s="424" t="s">
        <v>386</v>
      </c>
      <c r="F16" s="424"/>
    </row>
    <row r="17" spans="2:6" ht="15.75" thickBot="1" x14ac:dyDescent="0.3">
      <c r="C17">
        <f>År1</f>
        <v>2019</v>
      </c>
      <c r="D17">
        <f>År3</f>
        <v>2050</v>
      </c>
      <c r="E17">
        <f>År1</f>
        <v>2019</v>
      </c>
      <c r="F17">
        <f>År3</f>
        <v>2050</v>
      </c>
    </row>
    <row r="18" spans="2:6" x14ac:dyDescent="0.25">
      <c r="B18" s="91" t="str" cm="1">
        <f t="array" ref="B18:B29">IFERROR(_xlfn.UNIQUE(_xlfn._xlws.FILTER('Produktion &amp; forbrug'!C4:C147,'Produktion &amp; forbrug'!C4:C147&lt;&gt;"")), "")</f>
        <v>Æg</v>
      </c>
      <c r="C18" s="452">
        <f ca="1">SUMIFS('Produktion &amp; forbrug'!$AC$4:$AC$147,'Produktion &amp; forbrug'!$F$4:$F$147,C$3,'Produktion &amp; forbrug'!$C$4:$C$147,$B18)</f>
        <v>235000</v>
      </c>
      <c r="D18" s="451">
        <f ca="1">SUMIFS('Produktion &amp; forbrug'!$AC$4:$AC$147,'Produktion &amp; forbrug'!$F$4:$F$147,D$3,'Produktion &amp; forbrug'!$C$4:$C$147,$B18)</f>
        <v>225699.33858382018</v>
      </c>
      <c r="E18" s="455">
        <f ca="1">SUMIFS('Produktion &amp; forbrug'!$AD$4:$AD$147,'Produktion &amp; forbrug'!$F$4:$F$147,E$17,'Produktion &amp; forbrug'!$C$4:$C$147,$B18)</f>
        <v>0.32429999999999998</v>
      </c>
      <c r="F18" s="448">
        <f ca="1">SUMIFS('Produktion &amp; forbrug'!$AD$4:$AD$147,'Produktion &amp; forbrug'!$F$4:$F$147,F$17,'Produktion &amp; forbrug'!$C$4:$C$147,$B18)</f>
        <v>0.3114650872456719</v>
      </c>
    </row>
    <row r="19" spans="2:6" x14ac:dyDescent="0.25">
      <c r="B19" s="91" t="str">
        <v>Bælgsæd</v>
      </c>
      <c r="C19" s="453">
        <f ca="1">SUMIFS('Produktion &amp; forbrug'!$AC$4:$AC$147,'Produktion &amp; forbrug'!$F$4:$F$147,C$3,'Produktion &amp; forbrug'!$C$4:$C$147,$B19)</f>
        <v>212954.76453418657</v>
      </c>
      <c r="D19" s="180">
        <f ca="1">SUMIFS('Produktion &amp; forbrug'!$AC$4:$AC$147,'Produktion &amp; forbrug'!$F$4:$F$147,D$3,'Produktion &amp; forbrug'!$C$4:$C$147,$B19)</f>
        <v>210893.104623419</v>
      </c>
      <c r="E19" s="456">
        <f ca="1">SUMIFS('Produktion &amp; forbrug'!$AD$4:$AD$147,'Produktion &amp; forbrug'!$F$4:$F$147,E$17,'Produktion &amp; forbrug'!$C$4:$C$147,$B19)</f>
        <v>1.4789708396899257</v>
      </c>
      <c r="F19" s="449">
        <f ca="1">SUMIFS('Produktion &amp; forbrug'!$AD$4:$AD$147,'Produktion &amp; forbrug'!$F$4:$F$147,F$17,'Produktion &amp; forbrug'!$C$4:$C$147,$B19)</f>
        <v>1.464652611609645</v>
      </c>
    </row>
    <row r="20" spans="2:6" x14ac:dyDescent="0.25">
      <c r="B20" s="91" t="str">
        <v>Kød</v>
      </c>
      <c r="C20" s="453">
        <f ca="1">SUMIFS('Produktion &amp; forbrug'!$AC$4:$AC$147,'Produktion &amp; forbrug'!$F$4:$F$147,C$3,'Produktion &amp; forbrug'!$C$4:$C$147,$B20)</f>
        <v>1918344.9215345967</v>
      </c>
      <c r="D20" s="180">
        <f ca="1">SUMIFS('Produktion &amp; forbrug'!$AC$4:$AC$147,'Produktion &amp; forbrug'!$F$4:$F$147,D$3,'Produktion &amp; forbrug'!$C$4:$C$147,$B20)</f>
        <v>1679228.9288541514</v>
      </c>
      <c r="E20" s="456">
        <f ca="1">SUMIFS('Produktion &amp; forbrug'!$AD$4:$AD$147,'Produktion &amp; forbrug'!$F$4:$F$147,E$17,'Produktion &amp; forbrug'!$C$4:$C$147,$B20)</f>
        <v>3.654108115551467</v>
      </c>
      <c r="F20" s="449">
        <f ca="1">SUMIFS('Produktion &amp; forbrug'!$AD$4:$AD$147,'Produktion &amp; forbrug'!$F$4:$F$147,F$17,'Produktion &amp; forbrug'!$C$4:$C$147,$B20)</f>
        <v>3.1935558488242162</v>
      </c>
    </row>
    <row r="21" spans="2:6" x14ac:dyDescent="0.25">
      <c r="B21" s="91" t="str">
        <v>Frugt</v>
      </c>
      <c r="C21" s="453">
        <f>SUMIFS('Produktion &amp; forbrug'!$AC$4:$AC$147,'Produktion &amp; forbrug'!$F$4:$F$147,C$3,'Produktion &amp; forbrug'!$C$4:$C$147,$B21)</f>
        <v>41728.949017214291</v>
      </c>
      <c r="D21" s="180">
        <f>SUMIFS('Produktion &amp; forbrug'!$AC$4:$AC$147,'Produktion &amp; forbrug'!$F$4:$F$147,D$3,'Produktion &amp; forbrug'!$C$4:$C$147,$B21)</f>
        <v>41205.106350818656</v>
      </c>
      <c r="E21" s="456">
        <f>SUMIFS('Produktion &amp; forbrug'!$AD$4:$AD$147,'Produktion &amp; forbrug'!$F$4:$F$147,E$17,'Produktion &amp; forbrug'!$C$4:$C$147,$B21)</f>
        <v>2.1699053488951431E-2</v>
      </c>
      <c r="F21" s="449">
        <f>SUMIFS('Produktion &amp; forbrug'!$AD$4:$AD$147,'Produktion &amp; forbrug'!$F$4:$F$147,F$17,'Produktion &amp; forbrug'!$C$4:$C$147,$B21)</f>
        <v>2.1426655302425702E-2</v>
      </c>
    </row>
    <row r="22" spans="2:6" x14ac:dyDescent="0.25">
      <c r="B22" s="91" t="str">
        <v>Grøntsager</v>
      </c>
      <c r="C22" s="453">
        <f>SUMIFS('Produktion &amp; forbrug'!$AC$4:$AC$147,'Produktion &amp; forbrug'!$F$4:$F$147,C$3,'Produktion &amp; forbrug'!$C$4:$C$147,$B22)</f>
        <v>280322.43675931642</v>
      </c>
      <c r="D22" s="180">
        <f>SUMIFS('Produktion &amp; forbrug'!$AC$4:$AC$147,'Produktion &amp; forbrug'!$F$4:$F$147,D$3,'Produktion &amp; forbrug'!$C$4:$C$147,$B22)</f>
        <v>283127.27105558576</v>
      </c>
      <c r="E22" s="456">
        <f>SUMIFS('Produktion &amp; forbrug'!$AD$4:$AD$147,'Produktion &amp; forbrug'!$F$4:$F$147,E$17,'Produktion &amp; forbrug'!$C$4:$C$147,$B22)</f>
        <v>0.10932575033613341</v>
      </c>
      <c r="F22" s="449">
        <f>SUMIFS('Produktion &amp; forbrug'!$AD$4:$AD$147,'Produktion &amp; forbrug'!$F$4:$F$147,F$17,'Produktion &amp; forbrug'!$C$4:$C$147,$B22)</f>
        <v>0.11041963571167845</v>
      </c>
    </row>
    <row r="23" spans="2:6" x14ac:dyDescent="0.25">
      <c r="B23" s="91" t="str">
        <v>Olieafgrøder</v>
      </c>
      <c r="C23" s="453">
        <f ca="1">SUMIFS('Produktion &amp; forbrug'!$AC$4:$AC$147,'Produktion &amp; forbrug'!$F$4:$F$147,C$3,'Produktion &amp; forbrug'!$C$4:$C$147,$B23)</f>
        <v>-5204010.1923478451</v>
      </c>
      <c r="D23" s="180">
        <f ca="1">SUMIFS('Produktion &amp; forbrug'!$AC$4:$AC$147,'Produktion &amp; forbrug'!$F$4:$F$147,D$3,'Produktion &amp; forbrug'!$C$4:$C$147,$B23)</f>
        <v>-4821997.6520766914</v>
      </c>
      <c r="E23" s="456">
        <f ca="1">SUMIFS('Produktion &amp; forbrug'!$AD$4:$AD$147,'Produktion &amp; forbrug'!$F$4:$F$147,E$17,'Produktion &amp; forbrug'!$C$4:$C$147,$B23)</f>
        <v>-1.1364356732063328</v>
      </c>
      <c r="F23" s="449">
        <f ca="1">SUMIFS('Produktion &amp; forbrug'!$AD$4:$AD$147,'Produktion &amp; forbrug'!$F$4:$F$147,F$17,'Produktion &amp; forbrug'!$C$4:$C$147,$B23)</f>
        <v>-0.93573776193929703</v>
      </c>
    </row>
    <row r="24" spans="2:6" x14ac:dyDescent="0.25">
      <c r="B24" s="91" t="str">
        <v>Kartofler</v>
      </c>
      <c r="C24" s="453">
        <f ca="1">SUMIFS('Produktion &amp; forbrug'!$AC$4:$AC$147,'Produktion &amp; forbrug'!$F$4:$F$147,C$3,'Produktion &amp; forbrug'!$C$4:$C$147,$B24)</f>
        <v>2263176.157376945</v>
      </c>
      <c r="D24" s="180">
        <f ca="1">SUMIFS('Produktion &amp; forbrug'!$AC$4:$AC$147,'Produktion &amp; forbrug'!$F$4:$F$147,D$3,'Produktion &amp; forbrug'!$C$4:$C$147,$B24)</f>
        <v>2153221.1823950112</v>
      </c>
      <c r="E24" s="456">
        <f ca="1">SUMIFS('Produktion &amp; forbrug'!$AD$4:$AD$147,'Produktion &amp; forbrug'!$F$4:$F$147,E$17,'Produktion &amp; forbrug'!$C$4:$C$147,$B24)</f>
        <v>1.765277402754017</v>
      </c>
      <c r="F24" s="449">
        <f ca="1">SUMIFS('Produktion &amp; forbrug'!$AD$4:$AD$147,'Produktion &amp; forbrug'!$F$4:$F$147,F$17,'Produktion &amp; forbrug'!$C$4:$C$147,$B24)</f>
        <v>1.6795125222681087</v>
      </c>
    </row>
    <row r="25" spans="2:6" x14ac:dyDescent="0.25">
      <c r="B25" s="91" t="str">
        <v>Korn</v>
      </c>
      <c r="C25" s="453">
        <f ca="1">SUMIFS('Produktion &amp; forbrug'!$AC$4:$AC$147,'Produktion &amp; forbrug'!$F$4:$F$147,C$3,'Produktion &amp; forbrug'!$C$4:$C$147,$B25)</f>
        <v>3781951.1214967929</v>
      </c>
      <c r="D25" s="180">
        <f ca="1">SUMIFS('Produktion &amp; forbrug'!$AC$4:$AC$147,'Produktion &amp; forbrug'!$F$4:$F$147,D$3,'Produktion &amp; forbrug'!$C$4:$C$147,$B25)</f>
        <v>4853682.860515967</v>
      </c>
      <c r="E25" s="456">
        <f ca="1">SUMIFS('Produktion &amp; forbrug'!$AD$4:$AD$147,'Produktion &amp; forbrug'!$F$4:$F$147,E$17,'Produktion &amp; forbrug'!$C$4:$C$147,$B25)</f>
        <v>10.337098879069501</v>
      </c>
      <c r="F25" s="449">
        <f ca="1">SUMIFS('Produktion &amp; forbrug'!$AD$4:$AD$147,'Produktion &amp; forbrug'!$F$4:$F$147,F$17,'Produktion &amp; forbrug'!$C$4:$C$147,$B25)</f>
        <v>12.363281400084265</v>
      </c>
    </row>
    <row r="26" spans="2:6" x14ac:dyDescent="0.25">
      <c r="B26" s="91" t="str">
        <v>Mejeriprodukter</v>
      </c>
      <c r="C26" s="453">
        <f ca="1">SUMIFS('Produktion &amp; forbrug'!$AC$4:$AC$147,'Produktion &amp; forbrug'!$F$4:$F$147,C$3,'Produktion &amp; forbrug'!$C$4:$C$147,$B26)</f>
        <v>3383628.2</v>
      </c>
      <c r="D26" s="180">
        <f ca="1">SUMIFS('Produktion &amp; forbrug'!$AC$4:$AC$147,'Produktion &amp; forbrug'!$F$4:$F$147,D$3,'Produktion &amp; forbrug'!$C$4:$C$147,$B26)</f>
        <v>3287746.765328066</v>
      </c>
      <c r="E26" s="456">
        <f ca="1">SUMIFS('Produktion &amp; forbrug'!$AD$4:$AD$147,'Produktion &amp; forbrug'!$F$4:$F$147,E$17,'Produktion &amp; forbrug'!$C$4:$C$147,$B26)</f>
        <v>2.1316857659999999</v>
      </c>
      <c r="F26" s="449">
        <f ca="1">SUMIFS('Produktion &amp; forbrug'!$AD$4:$AD$147,'Produktion &amp; forbrug'!$F$4:$F$147,F$17,'Produktion &amp; forbrug'!$C$4:$C$147,$B26)</f>
        <v>2.0712804621566816</v>
      </c>
    </row>
    <row r="27" spans="2:6" x14ac:dyDescent="0.25">
      <c r="B27" s="91" t="str">
        <v>Fisk mm</v>
      </c>
      <c r="C27" s="453">
        <f ca="1">SUMIFS('Produktion &amp; forbrug'!$AC$4:$AC$147,'Produktion &amp; forbrug'!$F$4:$F$147,C$3,'Produktion &amp; forbrug'!$C$4:$C$147,$B27)</f>
        <v>956.59999999999991</v>
      </c>
      <c r="D27" s="180">
        <f ca="1">SUMIFS('Produktion &amp; forbrug'!$AC$4:$AC$147,'Produktion &amp; forbrug'!$F$4:$F$147,D$3,'Produktion &amp; forbrug'!$C$4:$C$147,$B27)</f>
        <v>1262.5999999999999</v>
      </c>
      <c r="E27" s="456">
        <f ca="1">SUMIFS('Produktion &amp; forbrug'!$AD$4:$AD$147,'Produktion &amp; forbrug'!$F$4:$F$147,E$17,'Produktion &amp; forbrug'!$C$4:$C$147,$B27)</f>
        <v>7.6169499999999995E-4</v>
      </c>
      <c r="F27" s="449">
        <f ca="1">SUMIFS('Produktion &amp; forbrug'!$AD$4:$AD$147,'Produktion &amp; forbrug'!$F$4:$F$147,F$17,'Produktion &amp; forbrug'!$C$4:$C$147,$B27)</f>
        <v>8.8654299999999994E-4</v>
      </c>
    </row>
    <row r="28" spans="2:6" x14ac:dyDescent="0.25">
      <c r="B28" s="91" t="str">
        <v>Øvrige</v>
      </c>
      <c r="C28" s="453">
        <f>SUMIFS('Produktion &amp; forbrug'!$AC$4:$AC$147,'Produktion &amp; forbrug'!$F$4:$F$147,C$3,'Produktion &amp; forbrug'!$C$4:$C$147,$B28)</f>
        <v>2006067.2488276002</v>
      </c>
      <c r="D28" s="180">
        <f>SUMIFS('Produktion &amp; forbrug'!$AC$4:$AC$147,'Produktion &amp; forbrug'!$F$4:$F$147,D$3,'Produktion &amp; forbrug'!$C$4:$C$147,$B28)</f>
        <v>1955120.5101390816</v>
      </c>
      <c r="E28" s="456">
        <f>SUMIFS('Produktion &amp; forbrug'!$AD$4:$AD$147,'Produktion &amp; forbrug'!$F$4:$F$147,E$17,'Produktion &amp; forbrug'!$C$4:$C$147,$B28)</f>
        <v>0.78236622704276404</v>
      </c>
      <c r="F28" s="449">
        <f>SUMIFS('Produktion &amp; forbrug'!$AD$4:$AD$147,'Produktion &amp; forbrug'!$F$4:$F$147,F$17,'Produktion &amp; forbrug'!$C$4:$C$147,$B28)</f>
        <v>0.76249699895424183</v>
      </c>
    </row>
    <row r="29" spans="2:6" ht="15.75" thickBot="1" x14ac:dyDescent="0.3">
      <c r="B29" s="91" t="str">
        <v>Roer</v>
      </c>
      <c r="C29" s="454">
        <f ca="1">SUMIFS('Produktion &amp; forbrug'!$AC$4:$AC$147,'Produktion &amp; forbrug'!$F$4:$F$147,C$3,'Produktion &amp; forbrug'!$C$4:$C$147,$B29)</f>
        <v>1637775.5474174484</v>
      </c>
      <c r="D29" s="183">
        <f ca="1">SUMIFS('Produktion &amp; forbrug'!$AC$4:$AC$147,'Produktion &amp; forbrug'!$F$4:$F$147,D$3,'Produktion &amp; forbrug'!$C$4:$C$147,$B29)</f>
        <v>1830597.0172306283</v>
      </c>
      <c r="E29" s="457">
        <f ca="1">SUMIFS('Produktion &amp; forbrug'!$AD$4:$AD$147,'Produktion &amp; forbrug'!$F$4:$F$147,E$17,'Produktion &amp; forbrug'!$C$4:$C$147,$B29)</f>
        <v>0.49133266422523447</v>
      </c>
      <c r="F29" s="450">
        <f ca="1">SUMIFS('Produktion &amp; forbrug'!$AD$4:$AD$147,'Produktion &amp; forbrug'!$F$4:$F$147,F$17,'Produktion &amp; forbrug'!$C$4:$C$147,$B29)</f>
        <v>0.54917910516918844</v>
      </c>
    </row>
  </sheetData>
  <mergeCells count="5">
    <mergeCell ref="B1:D1"/>
    <mergeCell ref="B15:F15"/>
    <mergeCell ref="C16:D16"/>
    <mergeCell ref="E16:F16"/>
    <mergeCell ref="C2:D2"/>
  </mergeCell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A3344-AD57-444A-886B-D927C8C34766}">
  <dimension ref="A1:V30"/>
  <sheetViews>
    <sheetView zoomScale="106" workbookViewId="0">
      <selection activeCell="W2" sqref="W2"/>
    </sheetView>
  </sheetViews>
  <sheetFormatPr defaultRowHeight="15" x14ac:dyDescent="0.25"/>
  <cols>
    <col min="16" max="16" width="22.7109375" bestFit="1" customWidth="1"/>
    <col min="17" max="17" width="16.42578125" bestFit="1" customWidth="1"/>
  </cols>
  <sheetData>
    <row r="1" spans="1:22" x14ac:dyDescent="0.25">
      <c r="B1" t="s">
        <v>372</v>
      </c>
      <c r="J1" t="s">
        <v>370</v>
      </c>
      <c r="K1" t="s">
        <v>371</v>
      </c>
      <c r="S1" t="s">
        <v>382</v>
      </c>
      <c r="U1" t="s">
        <v>383</v>
      </c>
    </row>
    <row r="2" spans="1:22" x14ac:dyDescent="0.25">
      <c r="B2">
        <v>2019</v>
      </c>
      <c r="C2">
        <v>2050</v>
      </c>
      <c r="D2" t="s">
        <v>367</v>
      </c>
      <c r="E2" t="s">
        <v>373</v>
      </c>
      <c r="J2" s="171" t="s">
        <v>15</v>
      </c>
      <c r="K2" t="s">
        <v>15</v>
      </c>
      <c r="O2" s="402" t="s">
        <v>376</v>
      </c>
      <c r="Q2" t="s">
        <v>374</v>
      </c>
      <c r="R2" t="s">
        <v>372</v>
      </c>
      <c r="S2" t="s">
        <v>377</v>
      </c>
      <c r="T2" t="s">
        <v>375</v>
      </c>
      <c r="U2" t="s">
        <v>377</v>
      </c>
      <c r="V2" t="s">
        <v>375</v>
      </c>
    </row>
    <row r="3" spans="1:22" x14ac:dyDescent="0.25">
      <c r="A3" t="s">
        <v>15</v>
      </c>
      <c r="B3">
        <f ca="1">SUMIFS('Produktion &amp; forbrug'!$AD$4:$AD$147,'Produktion &amp; forbrug'!$C$4:$C$147,$A3,'Produktion &amp; forbrug'!$F$4:$F$147,B$2)</f>
        <v>0.32429999999999998</v>
      </c>
      <c r="C3">
        <f ca="1">SUMIFS('Produktion &amp; forbrug'!$AD$4:$AD$147,'Produktion &amp; forbrug'!$C$4:$C$147,$A3,'Produktion &amp; forbrug'!$F$4:$F$147,C$2)</f>
        <v>0.3114650872456719</v>
      </c>
      <c r="D3" s="403">
        <f>SUMIFS($R$3:$R$23,$O$3:$O$23,A3)</f>
        <v>9.7142426071000001E-2</v>
      </c>
      <c r="E3">
        <f ca="1">B3-D3</f>
        <v>0.22715757392899999</v>
      </c>
      <c r="J3" s="171" t="s">
        <v>49</v>
      </c>
      <c r="K3" t="s">
        <v>49</v>
      </c>
      <c r="O3" t="s">
        <v>48</v>
      </c>
      <c r="P3" t="s">
        <v>343</v>
      </c>
      <c r="Q3" s="94">
        <v>5231636613147</v>
      </c>
      <c r="R3">
        <f>Q3/1000000000000</f>
        <v>5.2316366131469998</v>
      </c>
      <c r="S3">
        <v>8817</v>
      </c>
      <c r="T3">
        <f>S3*1000</f>
        <v>8817000</v>
      </c>
    </row>
    <row r="4" spans="1:22" x14ac:dyDescent="0.25">
      <c r="A4" t="s">
        <v>49</v>
      </c>
      <c r="B4">
        <f ca="1">SUMIFS('Produktion &amp; forbrug'!$AD$4:$AD$147,'Produktion &amp; forbrug'!$C$4:$C$147,$A4,'Produktion &amp; forbrug'!$F$4:$F$147,B$2)</f>
        <v>1.4789708396899257</v>
      </c>
      <c r="C4">
        <f ca="1">SUMIFS('Produktion &amp; forbrug'!$AD$4:$AD$147,'Produktion &amp; forbrug'!$C$4:$C$147,$A4,'Produktion &amp; forbrug'!$F$4:$F$147,C$2)</f>
        <v>1.464652611609645</v>
      </c>
      <c r="D4" s="403">
        <f t="shared" ref="D4:D14" si="0">SUMIFS($R$3:$R$23,$O$3:$O$23,A4)</f>
        <v>5.0694444444000002E-2</v>
      </c>
      <c r="E4">
        <f t="shared" ref="E4:E14" ca="1" si="1">B4-D4</f>
        <v>1.4282763952459256</v>
      </c>
      <c r="J4" t="s">
        <v>96</v>
      </c>
      <c r="K4" t="s">
        <v>341</v>
      </c>
      <c r="O4" t="s">
        <v>12</v>
      </c>
      <c r="P4" t="s">
        <v>344</v>
      </c>
      <c r="Q4" s="94">
        <v>260376167034</v>
      </c>
      <c r="R4">
        <f t="shared" ref="R4:R23" si="2">Q4/1000000000000</f>
        <v>0.26037616703400002</v>
      </c>
      <c r="S4">
        <v>1358</v>
      </c>
      <c r="T4">
        <f t="shared" ref="T4:T23" si="3">S4*1000</f>
        <v>1358000</v>
      </c>
    </row>
    <row r="5" spans="1:22" x14ac:dyDescent="0.25">
      <c r="A5" t="s">
        <v>341</v>
      </c>
      <c r="B5">
        <f ca="1">SUMIFS('Produktion &amp; forbrug'!$AD$4:$AD$147,'Produktion &amp; forbrug'!$C$4:$C$147,$A5,'Produktion &amp; forbrug'!$F$4:$F$147,B$2)</f>
        <v>3.654108115551467</v>
      </c>
      <c r="C5">
        <f ca="1">SUMIFS('Produktion &amp; forbrug'!$AD$4:$AD$147,'Produktion &amp; forbrug'!$C$4:$C$147,$A5,'Produktion &amp; forbrug'!$F$4:$F$147,C$2)</f>
        <v>3.1935558488242162</v>
      </c>
      <c r="D5" s="403">
        <f t="shared" si="0"/>
        <v>3.6517976461030002</v>
      </c>
      <c r="E5">
        <f t="shared" ca="1" si="1"/>
        <v>2.3104694484668009E-3</v>
      </c>
      <c r="J5" t="s">
        <v>54</v>
      </c>
      <c r="K5" t="s">
        <v>54</v>
      </c>
      <c r="O5" t="s">
        <v>52</v>
      </c>
      <c r="P5" t="s">
        <v>345</v>
      </c>
      <c r="Q5" s="94">
        <v>-251146789</v>
      </c>
      <c r="R5">
        <f t="shared" si="2"/>
        <v>-2.5114678899999999E-4</v>
      </c>
      <c r="S5">
        <v>2409</v>
      </c>
      <c r="T5">
        <f t="shared" si="3"/>
        <v>2409000</v>
      </c>
    </row>
    <row r="6" spans="1:22" x14ac:dyDescent="0.25">
      <c r="A6" t="s">
        <v>54</v>
      </c>
      <c r="B6">
        <f>SUMIFS('Produktion &amp; forbrug'!$AD$4:$AD$147,'Produktion &amp; forbrug'!$C$4:$C$147,$A6,'Produktion &amp; forbrug'!$F$4:$F$147,B$2)</f>
        <v>2.1699053488951431E-2</v>
      </c>
      <c r="C6">
        <f>SUMIFS('Produktion &amp; forbrug'!$AD$4:$AD$147,'Produktion &amp; forbrug'!$C$4:$C$147,$A6,'Produktion &amp; forbrug'!$F$4:$F$147,C$2)</f>
        <v>2.1426655302425702E-2</v>
      </c>
      <c r="D6" s="403">
        <f t="shared" si="0"/>
        <v>1.6267328699000001E-2</v>
      </c>
      <c r="E6">
        <f t="shared" si="1"/>
        <v>5.4317247899514295E-3</v>
      </c>
      <c r="J6" s="171" t="s">
        <v>6</v>
      </c>
      <c r="K6" t="s">
        <v>6</v>
      </c>
      <c r="O6" t="s">
        <v>52</v>
      </c>
      <c r="P6" t="s">
        <v>346</v>
      </c>
      <c r="Q6" s="94">
        <v>1421949701937</v>
      </c>
      <c r="R6">
        <f t="shared" si="2"/>
        <v>1.421949701937</v>
      </c>
      <c r="S6">
        <v>476</v>
      </c>
      <c r="T6">
        <f t="shared" si="3"/>
        <v>476000</v>
      </c>
    </row>
    <row r="7" spans="1:22" x14ac:dyDescent="0.25">
      <c r="A7" t="s">
        <v>6</v>
      </c>
      <c r="B7">
        <f>SUMIFS('Produktion &amp; forbrug'!$AD$4:$AD$147,'Produktion &amp; forbrug'!$C$4:$C$147,$A7,'Produktion &amp; forbrug'!$F$4:$F$147,B$2)</f>
        <v>0.10932575033613341</v>
      </c>
      <c r="C7">
        <f>SUMIFS('Produktion &amp; forbrug'!$AD$4:$AD$147,'Produktion &amp; forbrug'!$C$4:$C$147,$A7,'Produktion &amp; forbrug'!$F$4:$F$147,C$2)</f>
        <v>0.11041963571167845</v>
      </c>
      <c r="D7" s="403">
        <f t="shared" si="0"/>
        <v>6.6397776303000006E-2</v>
      </c>
      <c r="E7">
        <f t="shared" si="1"/>
        <v>4.2927974033133406E-2</v>
      </c>
      <c r="J7" t="s">
        <v>159</v>
      </c>
      <c r="K7" t="s">
        <v>369</v>
      </c>
      <c r="O7" t="s">
        <v>49</v>
      </c>
      <c r="P7" t="s">
        <v>347</v>
      </c>
      <c r="Q7" s="94">
        <v>50694444444</v>
      </c>
      <c r="R7">
        <f t="shared" si="2"/>
        <v>5.0694444444000002E-2</v>
      </c>
      <c r="S7">
        <v>34</v>
      </c>
      <c r="T7">
        <f t="shared" si="3"/>
        <v>34000</v>
      </c>
    </row>
    <row r="8" spans="1:22" x14ac:dyDescent="0.25">
      <c r="A8" t="s">
        <v>369</v>
      </c>
      <c r="B8">
        <f ca="1">SUMIFS('Produktion &amp; forbrug'!$AD$4:$AD$147,'Produktion &amp; forbrug'!$C$4:$C$147,$A8,'Produktion &amp; forbrug'!$F$4:$F$147,B$2)</f>
        <v>-1.1364356732063328</v>
      </c>
      <c r="C8">
        <f ca="1">SUMIFS('Produktion &amp; forbrug'!$AD$4:$AD$147,'Produktion &amp; forbrug'!$C$4:$C$147,$A8,'Produktion &amp; forbrug'!$F$4:$F$147,C$2)</f>
        <v>-0.93573776193929703</v>
      </c>
      <c r="D8" s="403">
        <f t="shared" si="0"/>
        <v>-0.729376068376</v>
      </c>
      <c r="E8">
        <f t="shared" ca="1" si="1"/>
        <v>-0.40705960483033277</v>
      </c>
      <c r="J8" s="171" t="s">
        <v>12</v>
      </c>
      <c r="K8" t="s">
        <v>12</v>
      </c>
      <c r="O8" t="s">
        <v>364</v>
      </c>
      <c r="P8" t="s">
        <v>348</v>
      </c>
      <c r="Q8" s="94">
        <v>0</v>
      </c>
      <c r="R8">
        <f t="shared" si="2"/>
        <v>0</v>
      </c>
      <c r="S8">
        <v>0</v>
      </c>
      <c r="T8">
        <f t="shared" si="3"/>
        <v>0</v>
      </c>
    </row>
    <row r="9" spans="1:22" x14ac:dyDescent="0.25">
      <c r="A9" t="s">
        <v>12</v>
      </c>
      <c r="B9">
        <f ca="1">SUMIFS('Produktion &amp; forbrug'!$AD$4:$AD$147,'Produktion &amp; forbrug'!$C$4:$C$147,$A9,'Produktion &amp; forbrug'!$F$4:$F$147,B$2)</f>
        <v>1.765277402754017</v>
      </c>
      <c r="C9">
        <f ca="1">SUMIFS('Produktion &amp; forbrug'!$AD$4:$AD$147,'Produktion &amp; forbrug'!$C$4:$C$147,$A9,'Produktion &amp; forbrug'!$F$4:$F$147,C$2)</f>
        <v>1.6795125222681087</v>
      </c>
      <c r="D9" s="403">
        <f t="shared" si="0"/>
        <v>0.26037616703400002</v>
      </c>
      <c r="E9">
        <f t="shared" ca="1" si="1"/>
        <v>1.5049012357200171</v>
      </c>
      <c r="J9" s="171" t="s">
        <v>48</v>
      </c>
      <c r="K9" t="s">
        <v>48</v>
      </c>
      <c r="O9" t="s">
        <v>369</v>
      </c>
      <c r="P9" t="s">
        <v>349</v>
      </c>
      <c r="Q9" s="94">
        <v>-729376068376</v>
      </c>
      <c r="R9">
        <f t="shared" si="2"/>
        <v>-0.729376068376</v>
      </c>
      <c r="S9">
        <v>580</v>
      </c>
      <c r="T9">
        <f t="shared" si="3"/>
        <v>580000</v>
      </c>
    </row>
    <row r="10" spans="1:22" x14ac:dyDescent="0.25">
      <c r="A10" t="s">
        <v>48</v>
      </c>
      <c r="B10">
        <f ca="1">SUMIFS('Produktion &amp; forbrug'!$AD$4:$AD$147,'Produktion &amp; forbrug'!$C$4:$C$147,$A10,'Produktion &amp; forbrug'!$F$4:$F$147,B$2)</f>
        <v>10.337098879069501</v>
      </c>
      <c r="C10">
        <f ca="1">SUMIFS('Produktion &amp; forbrug'!$AD$4:$AD$147,'Produktion &amp; forbrug'!$C$4:$C$147,$A10,'Produktion &amp; forbrug'!$F$4:$F$147,C$2)</f>
        <v>12.363281400084265</v>
      </c>
      <c r="D10" s="403">
        <f t="shared" si="0"/>
        <v>5.5838533356869995</v>
      </c>
      <c r="E10">
        <f t="shared" ca="1" si="1"/>
        <v>4.7532455433825014</v>
      </c>
      <c r="J10" t="s">
        <v>53</v>
      </c>
      <c r="K10" t="s">
        <v>48</v>
      </c>
      <c r="P10" t="s">
        <v>350</v>
      </c>
      <c r="Q10" s="94">
        <v>-933787106447</v>
      </c>
      <c r="R10">
        <f t="shared" si="2"/>
        <v>-0.93378710644700003</v>
      </c>
      <c r="S10">
        <v>214</v>
      </c>
      <c r="T10">
        <f t="shared" si="3"/>
        <v>214000</v>
      </c>
    </row>
    <row r="11" spans="1:22" x14ac:dyDescent="0.25">
      <c r="A11" t="s">
        <v>116</v>
      </c>
      <c r="B11">
        <f ca="1">SUMIFS('Produktion &amp; forbrug'!$AD$4:$AD$147,'Produktion &amp; forbrug'!$C$4:$C$147,$A11,'Produktion &amp; forbrug'!$F$4:$F$147,B$2)</f>
        <v>2.1316857659999999</v>
      </c>
      <c r="C11">
        <f ca="1">SUMIFS('Produktion &amp; forbrug'!$AD$4:$AD$147,'Produktion &amp; forbrug'!$C$4:$C$147,$A11,'Produktion &amp; forbrug'!$F$4:$F$147,C$2)</f>
        <v>2.0712804621566816</v>
      </c>
      <c r="D11" s="403">
        <f t="shared" si="0"/>
        <v>3.2659921037490003</v>
      </c>
      <c r="E11">
        <f t="shared" ca="1" si="1"/>
        <v>-1.1343063377490004</v>
      </c>
      <c r="J11" s="171" t="s">
        <v>116</v>
      </c>
      <c r="K11" t="s">
        <v>116</v>
      </c>
      <c r="O11" t="s">
        <v>6</v>
      </c>
      <c r="P11" t="s">
        <v>351</v>
      </c>
      <c r="Q11" s="94">
        <v>66397776303</v>
      </c>
      <c r="R11">
        <f t="shared" si="2"/>
        <v>6.6397776303000006E-2</v>
      </c>
      <c r="S11">
        <v>287</v>
      </c>
      <c r="T11">
        <f t="shared" si="3"/>
        <v>287000</v>
      </c>
    </row>
    <row r="12" spans="1:22" x14ac:dyDescent="0.25">
      <c r="A12" t="s">
        <v>368</v>
      </c>
      <c r="B12">
        <f ca="1">SUMIFS('Produktion &amp; forbrug'!$AD$4:$AD$147,'Produktion &amp; forbrug'!$C$4:$C$147,$A12,'Produktion &amp; forbrug'!$F$4:$F$147,B$2)</f>
        <v>7.6169499999999995E-4</v>
      </c>
      <c r="C12">
        <f ca="1">SUMIFS('Produktion &amp; forbrug'!$AD$4:$AD$147,'Produktion &amp; forbrug'!$C$4:$C$147,$A12,'Produktion &amp; forbrug'!$F$4:$F$147,C$2)</f>
        <v>8.8654299999999994E-4</v>
      </c>
      <c r="D12" s="403">
        <f t="shared" si="0"/>
        <v>0.75554379344599998</v>
      </c>
      <c r="E12">
        <f t="shared" ca="1" si="1"/>
        <v>-0.75478209844599997</v>
      </c>
      <c r="J12" s="171" t="s">
        <v>106</v>
      </c>
      <c r="K12" t="s">
        <v>368</v>
      </c>
      <c r="O12" t="s">
        <v>54</v>
      </c>
      <c r="P12" t="s">
        <v>352</v>
      </c>
      <c r="Q12" s="94">
        <v>16267328699</v>
      </c>
      <c r="R12">
        <f t="shared" si="2"/>
        <v>1.6267328699000001E-2</v>
      </c>
      <c r="S12">
        <v>67</v>
      </c>
      <c r="T12">
        <f t="shared" si="3"/>
        <v>67000</v>
      </c>
    </row>
    <row r="13" spans="1:22" x14ac:dyDescent="0.25">
      <c r="A13" t="s">
        <v>55</v>
      </c>
      <c r="B13">
        <f>SUMIFS('Produktion &amp; forbrug'!$AD$4:$AD$147,'Produktion &amp; forbrug'!$C$4:$C$147,$A13,'Produktion &amp; forbrug'!$F$4:$F$147,B$2)</f>
        <v>0.78236622704276404</v>
      </c>
      <c r="C13">
        <f>SUMIFS('Produktion &amp; forbrug'!$AD$4:$AD$147,'Produktion &amp; forbrug'!$C$4:$C$147,$A13,'Produktion &amp; forbrug'!$F$4:$F$147,C$2)</f>
        <v>0.76249699895424183</v>
      </c>
      <c r="D13" s="403">
        <f t="shared" si="0"/>
        <v>3.1937500000000001E-2</v>
      </c>
      <c r="E13">
        <f t="shared" si="1"/>
        <v>0.75042872704276409</v>
      </c>
      <c r="J13" s="171" t="s">
        <v>14</v>
      </c>
      <c r="K13" t="s">
        <v>341</v>
      </c>
      <c r="O13" t="s">
        <v>365</v>
      </c>
      <c r="P13" t="s">
        <v>353</v>
      </c>
      <c r="Q13" s="94">
        <v>0</v>
      </c>
      <c r="R13">
        <f t="shared" si="2"/>
        <v>0</v>
      </c>
      <c r="S13">
        <v>0</v>
      </c>
      <c r="T13">
        <f t="shared" si="3"/>
        <v>0</v>
      </c>
    </row>
    <row r="14" spans="1:22" x14ac:dyDescent="0.25">
      <c r="A14" t="s">
        <v>52</v>
      </c>
      <c r="B14">
        <f ca="1">SUMIFS('Produktion &amp; forbrug'!$AD$4:$AD$147,'Produktion &amp; forbrug'!$C$4:$C$147,$A14,'Produktion &amp; forbrug'!$F$4:$F$147,B$2)</f>
        <v>0.49133266422523447</v>
      </c>
      <c r="C14">
        <f ca="1">SUMIFS('Produktion &amp; forbrug'!$AD$4:$AD$147,'Produktion &amp; forbrug'!$C$4:$C$147,$A14,'Produktion &amp; forbrug'!$F$4:$F$147,C$2)</f>
        <v>0.54917910516918844</v>
      </c>
      <c r="D14" s="403">
        <f t="shared" si="0"/>
        <v>1.4216985551479999</v>
      </c>
      <c r="E14">
        <f t="shared" ca="1" si="1"/>
        <v>-0.93036589092276545</v>
      </c>
      <c r="J14" s="171" t="s">
        <v>55</v>
      </c>
      <c r="K14" t="s">
        <v>55</v>
      </c>
      <c r="O14" t="s">
        <v>366</v>
      </c>
      <c r="P14" t="s">
        <v>354</v>
      </c>
      <c r="Q14" s="94">
        <v>0</v>
      </c>
      <c r="R14">
        <f t="shared" si="2"/>
        <v>0</v>
      </c>
      <c r="S14">
        <v>0</v>
      </c>
      <c r="T14">
        <f t="shared" si="3"/>
        <v>0</v>
      </c>
    </row>
    <row r="15" spans="1:22" x14ac:dyDescent="0.25">
      <c r="B15">
        <f ca="1">SUM(B3:B14)</f>
        <v>19.960490719951661</v>
      </c>
      <c r="C15">
        <f t="shared" ref="C15:D15" ca="1" si="4">SUM(C3:C14)</f>
        <v>21.592419108386824</v>
      </c>
      <c r="D15">
        <f t="shared" si="4"/>
        <v>14.472325008307999</v>
      </c>
      <c r="J15" t="s">
        <v>231</v>
      </c>
      <c r="K15" t="s">
        <v>369</v>
      </c>
      <c r="O15" t="s">
        <v>48</v>
      </c>
      <c r="P15" t="s">
        <v>355</v>
      </c>
      <c r="Q15" s="94">
        <v>352216722540</v>
      </c>
      <c r="R15">
        <f t="shared" si="2"/>
        <v>0.35221672254000003</v>
      </c>
      <c r="S15">
        <v>683</v>
      </c>
      <c r="T15">
        <f t="shared" si="3"/>
        <v>683000</v>
      </c>
    </row>
    <row r="16" spans="1:22" x14ac:dyDescent="0.25">
      <c r="B16" t="s">
        <v>375</v>
      </c>
      <c r="J16" t="s">
        <v>52</v>
      </c>
      <c r="K16" t="s">
        <v>52</v>
      </c>
      <c r="O16" t="s">
        <v>341</v>
      </c>
      <c r="P16" t="s">
        <v>356</v>
      </c>
      <c r="Q16" s="94">
        <v>3337430939227</v>
      </c>
      <c r="R16">
        <f t="shared" si="2"/>
        <v>3.3374309392270001</v>
      </c>
      <c r="S16">
        <v>1997</v>
      </c>
      <c r="T16">
        <f t="shared" si="3"/>
        <v>1997000</v>
      </c>
    </row>
    <row r="17" spans="1:20" x14ac:dyDescent="0.25">
      <c r="B17">
        <v>2019</v>
      </c>
      <c r="C17">
        <v>2050</v>
      </c>
      <c r="D17" t="s">
        <v>367</v>
      </c>
      <c r="E17" t="s">
        <v>373</v>
      </c>
      <c r="J17" s="171" t="s">
        <v>13</v>
      </c>
      <c r="K17" t="s">
        <v>341</v>
      </c>
      <c r="O17" t="s">
        <v>341</v>
      </c>
      <c r="P17" t="s">
        <v>357</v>
      </c>
      <c r="Q17" s="94">
        <v>314366706876</v>
      </c>
      <c r="R17">
        <f t="shared" si="2"/>
        <v>0.31436670687599999</v>
      </c>
      <c r="S17">
        <v>258</v>
      </c>
      <c r="T17">
        <f t="shared" si="3"/>
        <v>258000</v>
      </c>
    </row>
    <row r="18" spans="1:20" x14ac:dyDescent="0.25">
      <c r="A18" t="s">
        <v>15</v>
      </c>
      <c r="B18">
        <f ca="1">SUMIFS('Produktion &amp; forbrug'!$AC$4:$AC$147,'Produktion &amp; forbrug'!$C$4:$C$147,$A18,'Produktion &amp; forbrug'!$F$4:$F$147,B$2)</f>
        <v>235000</v>
      </c>
      <c r="C18">
        <f ca="1">SUMIFS('Produktion &amp; forbrug'!$AC$4:$AC$147,'Produktion &amp; forbrug'!$C$4:$C$147,$A18,'Produktion &amp; forbrug'!$F$4:$F$147,C$2)</f>
        <v>225699.33858382018</v>
      </c>
      <c r="D18" s="403">
        <f>SUMIFS($T$3:$T$23,$O$3:$O$23,A18)</f>
        <v>76000</v>
      </c>
      <c r="E18">
        <f ca="1">B18-D18</f>
        <v>159000</v>
      </c>
      <c r="J18" s="171" t="s">
        <v>99</v>
      </c>
      <c r="K18" t="s">
        <v>368</v>
      </c>
      <c r="O18" t="s">
        <v>116</v>
      </c>
      <c r="P18" t="s">
        <v>358</v>
      </c>
      <c r="Q18" s="94">
        <v>1421114566929</v>
      </c>
      <c r="R18">
        <f t="shared" si="2"/>
        <v>1.421114566929</v>
      </c>
      <c r="S18">
        <v>533</v>
      </c>
      <c r="T18">
        <f t="shared" si="3"/>
        <v>533000</v>
      </c>
    </row>
    <row r="19" spans="1:20" x14ac:dyDescent="0.25">
      <c r="A19" t="s">
        <v>49</v>
      </c>
      <c r="B19">
        <f ca="1">SUMIFS('Produktion &amp; forbrug'!$AC$4:$AC$147,'Produktion &amp; forbrug'!$C$4:$C$147,$A19,'Produktion &amp; forbrug'!$F$4:$F$147,B$2)</f>
        <v>212954.76453418657</v>
      </c>
      <c r="C19">
        <f ca="1">SUMIFS('Produktion &amp; forbrug'!$AC$4:$AC$147,'Produktion &amp; forbrug'!$C$4:$C$147,$A19,'Produktion &amp; forbrug'!$F$4:$F$147,C$2)</f>
        <v>210893.104623419</v>
      </c>
      <c r="D19" s="403">
        <f t="shared" ref="D19:D29" si="5">SUMIFS($T$3:$T$23,$O$3:$O$23,A19)</f>
        <v>34000</v>
      </c>
      <c r="E19">
        <f t="shared" ref="E19:E29" ca="1" si="6">B19-D19</f>
        <v>178954.76453418657</v>
      </c>
      <c r="O19" t="s">
        <v>15</v>
      </c>
      <c r="P19" t="s">
        <v>359</v>
      </c>
      <c r="Q19" s="94">
        <v>97142426071</v>
      </c>
      <c r="R19">
        <f t="shared" si="2"/>
        <v>9.7142426071000001E-2</v>
      </c>
      <c r="S19">
        <v>76</v>
      </c>
      <c r="T19">
        <f t="shared" si="3"/>
        <v>76000</v>
      </c>
    </row>
    <row r="20" spans="1:20" x14ac:dyDescent="0.25">
      <c r="A20" t="s">
        <v>341</v>
      </c>
      <c r="B20">
        <f ca="1">SUMIFS('Produktion &amp; forbrug'!$AC$4:$AC$147,'Produktion &amp; forbrug'!$C$4:$C$147,$A20,'Produktion &amp; forbrug'!$F$4:$F$147,B$2)</f>
        <v>1918344.9215345967</v>
      </c>
      <c r="C20">
        <f ca="1">SUMIFS('Produktion &amp; forbrug'!$AC$4:$AC$147,'Produktion &amp; forbrug'!$C$4:$C$147,$A20,'Produktion &amp; forbrug'!$F$4:$F$147,C$2)</f>
        <v>1679228.9288541514</v>
      </c>
      <c r="D20" s="403">
        <f t="shared" si="5"/>
        <v>2255000</v>
      </c>
      <c r="E20">
        <f t="shared" ca="1" si="6"/>
        <v>-336655.07846540329</v>
      </c>
      <c r="O20" t="s">
        <v>116</v>
      </c>
      <c r="P20" t="s">
        <v>360</v>
      </c>
      <c r="Q20" s="94">
        <v>1844877536820</v>
      </c>
      <c r="R20">
        <f t="shared" si="2"/>
        <v>1.8448775368200001</v>
      </c>
      <c r="S20">
        <v>4909</v>
      </c>
      <c r="T20">
        <f t="shared" si="3"/>
        <v>4909000</v>
      </c>
    </row>
    <row r="21" spans="1:20" x14ac:dyDescent="0.25">
      <c r="A21" t="s">
        <v>54</v>
      </c>
      <c r="B21">
        <f>SUMIFS('Produktion &amp; forbrug'!$AC$4:$AC$147,'Produktion &amp; forbrug'!$C$4:$C$147,$A21,'Produktion &amp; forbrug'!$F$4:$F$147,B$2)</f>
        <v>41728.949017214291</v>
      </c>
      <c r="C21">
        <f>SUMIFS('Produktion &amp; forbrug'!$AC$4:$AC$147,'Produktion &amp; forbrug'!$C$4:$C$147,$A21,'Produktion &amp; forbrug'!$F$4:$F$147,C$2)</f>
        <v>41205.106350818656</v>
      </c>
      <c r="D21" s="403">
        <f t="shared" si="5"/>
        <v>67000</v>
      </c>
      <c r="E21">
        <f t="shared" si="6"/>
        <v>-25271.050982785709</v>
      </c>
      <c r="O21" t="s">
        <v>368</v>
      </c>
      <c r="P21" t="s">
        <v>361</v>
      </c>
      <c r="Q21" s="94">
        <v>759139852559</v>
      </c>
      <c r="R21">
        <f t="shared" si="2"/>
        <v>0.75913985255899996</v>
      </c>
      <c r="S21">
        <v>868</v>
      </c>
      <c r="T21">
        <f t="shared" si="3"/>
        <v>868000</v>
      </c>
    </row>
    <row r="22" spans="1:20" x14ac:dyDescent="0.25">
      <c r="A22" t="s">
        <v>6</v>
      </c>
      <c r="B22">
        <f>SUMIFS('Produktion &amp; forbrug'!$AC$4:$AC$147,'Produktion &amp; forbrug'!$C$4:$C$147,$A22,'Produktion &amp; forbrug'!$F$4:$F$147,B$2)</f>
        <v>280322.43675931642</v>
      </c>
      <c r="C22">
        <f>SUMIFS('Produktion &amp; forbrug'!$AC$4:$AC$147,'Produktion &amp; forbrug'!$C$4:$C$147,$A22,'Produktion &amp; forbrug'!$F$4:$F$147,C$2)</f>
        <v>283127.27105558576</v>
      </c>
      <c r="D22" s="403">
        <f t="shared" si="5"/>
        <v>287000</v>
      </c>
      <c r="E22">
        <f t="shared" si="6"/>
        <v>-6677.5632406835794</v>
      </c>
      <c r="O22" t="s">
        <v>368</v>
      </c>
      <c r="P22" t="s">
        <v>362</v>
      </c>
      <c r="Q22" s="94">
        <v>-3596059113</v>
      </c>
      <c r="R22">
        <f t="shared" si="2"/>
        <v>-3.596059113E-3</v>
      </c>
      <c r="S22">
        <v>0</v>
      </c>
      <c r="T22">
        <f t="shared" si="3"/>
        <v>0</v>
      </c>
    </row>
    <row r="23" spans="1:20" x14ac:dyDescent="0.25">
      <c r="A23" t="s">
        <v>369</v>
      </c>
      <c r="B23">
        <f ca="1">SUMIFS('Produktion &amp; forbrug'!$AC$4:$AC$147,'Produktion &amp; forbrug'!$C$4:$C$147,$A23,'Produktion &amp; forbrug'!$F$4:$F$147,B$2)</f>
        <v>-5204010.1923478451</v>
      </c>
      <c r="C23">
        <f ca="1">SUMIFS('Produktion &amp; forbrug'!$AC$4:$AC$147,'Produktion &amp; forbrug'!$C$4:$C$147,$A23,'Produktion &amp; forbrug'!$F$4:$F$147,C$2)</f>
        <v>-4821997.6520766914</v>
      </c>
      <c r="D23" s="403">
        <f t="shared" si="5"/>
        <v>580000</v>
      </c>
      <c r="E23">
        <f t="shared" ca="1" si="6"/>
        <v>-5784010.1923478451</v>
      </c>
      <c r="O23" t="s">
        <v>55</v>
      </c>
      <c r="P23" t="s">
        <v>363</v>
      </c>
      <c r="Q23" s="94">
        <v>31937500000</v>
      </c>
      <c r="R23">
        <f t="shared" si="2"/>
        <v>3.1937500000000001E-2</v>
      </c>
      <c r="S23">
        <v>0</v>
      </c>
      <c r="T23">
        <f t="shared" si="3"/>
        <v>0</v>
      </c>
    </row>
    <row r="24" spans="1:20" x14ac:dyDescent="0.25">
      <c r="A24" t="s">
        <v>12</v>
      </c>
      <c r="B24">
        <f ca="1">SUMIFS('Produktion &amp; forbrug'!$AC$4:$AC$147,'Produktion &amp; forbrug'!$C$4:$C$147,$A24,'Produktion &amp; forbrug'!$F$4:$F$147,B$2)</f>
        <v>2263176.157376945</v>
      </c>
      <c r="C24">
        <f ca="1">SUMIFS('Produktion &amp; forbrug'!$AC$4:$AC$147,'Produktion &amp; forbrug'!$C$4:$C$147,$A24,'Produktion &amp; forbrug'!$F$4:$F$147,C$2)</f>
        <v>2153221.1823950112</v>
      </c>
      <c r="D24" s="403">
        <f t="shared" si="5"/>
        <v>1358000</v>
      </c>
      <c r="E24">
        <f t="shared" ca="1" si="6"/>
        <v>905176.15737694502</v>
      </c>
    </row>
    <row r="25" spans="1:20" x14ac:dyDescent="0.25">
      <c r="A25" t="s">
        <v>48</v>
      </c>
      <c r="B25">
        <f ca="1">SUMIFS('Produktion &amp; forbrug'!$AC$4:$AC$147,'Produktion &amp; forbrug'!$C$4:$C$147,$A25,'Produktion &amp; forbrug'!$F$4:$F$147,B$2)</f>
        <v>3781951.1214967929</v>
      </c>
      <c r="C25">
        <f ca="1">SUMIFS('Produktion &amp; forbrug'!$AC$4:$AC$147,'Produktion &amp; forbrug'!$C$4:$C$147,$A25,'Produktion &amp; forbrug'!$F$4:$F$147,C$2)</f>
        <v>4853682.860515967</v>
      </c>
      <c r="D25" s="403">
        <f t="shared" si="5"/>
        <v>9500000</v>
      </c>
      <c r="E25">
        <f t="shared" ca="1" si="6"/>
        <v>-5718048.8785032071</v>
      </c>
    </row>
    <row r="26" spans="1:20" x14ac:dyDescent="0.25">
      <c r="A26" t="s">
        <v>116</v>
      </c>
      <c r="B26">
        <f ca="1">SUMIFS('Produktion &amp; forbrug'!$AC$4:$AC$147,'Produktion &amp; forbrug'!$C$4:$C$147,$A26,'Produktion &amp; forbrug'!$F$4:$F$147,B$2)</f>
        <v>3383628.2</v>
      </c>
      <c r="C26">
        <f ca="1">SUMIFS('Produktion &amp; forbrug'!$AC$4:$AC$147,'Produktion &amp; forbrug'!$C$4:$C$147,$A26,'Produktion &amp; forbrug'!$F$4:$F$147,C$2)</f>
        <v>3287746.765328066</v>
      </c>
      <c r="D26" s="403">
        <f t="shared" si="5"/>
        <v>5442000</v>
      </c>
      <c r="E26">
        <f t="shared" ca="1" si="6"/>
        <v>-2058371.7999999998</v>
      </c>
    </row>
    <row r="27" spans="1:20" x14ac:dyDescent="0.25">
      <c r="A27" t="s">
        <v>368</v>
      </c>
      <c r="B27">
        <f ca="1">SUMIFS('Produktion &amp; forbrug'!$AC$4:$AC$147,'Produktion &amp; forbrug'!$C$4:$C$147,$A27,'Produktion &amp; forbrug'!$F$4:$F$147,B$2)</f>
        <v>956.59999999999991</v>
      </c>
      <c r="C27">
        <f ca="1">SUMIFS('Produktion &amp; forbrug'!$AC$4:$AC$147,'Produktion &amp; forbrug'!$C$4:$C$147,$A27,'Produktion &amp; forbrug'!$F$4:$F$147,C$2)</f>
        <v>1262.5999999999999</v>
      </c>
      <c r="D27" s="403">
        <f t="shared" si="5"/>
        <v>868000</v>
      </c>
      <c r="E27">
        <f t="shared" ca="1" si="6"/>
        <v>-867043.4</v>
      </c>
    </row>
    <row r="28" spans="1:20" x14ac:dyDescent="0.25">
      <c r="A28" t="s">
        <v>55</v>
      </c>
      <c r="B28">
        <f>SUMIFS('Produktion &amp; forbrug'!$AC$4:$AC$147,'Produktion &amp; forbrug'!$C$4:$C$147,$A28,'Produktion &amp; forbrug'!$F$4:$F$147,B$2)</f>
        <v>2006067.2488276002</v>
      </c>
      <c r="C28">
        <f>SUMIFS('Produktion &amp; forbrug'!$AC$4:$AC$147,'Produktion &amp; forbrug'!$C$4:$C$147,$A28,'Produktion &amp; forbrug'!$F$4:$F$147,C$2)</f>
        <v>1955120.5101390816</v>
      </c>
      <c r="D28" s="403">
        <f t="shared" si="5"/>
        <v>0</v>
      </c>
      <c r="E28">
        <f t="shared" si="6"/>
        <v>2006067.2488276002</v>
      </c>
    </row>
    <row r="29" spans="1:20" x14ac:dyDescent="0.25">
      <c r="A29" t="s">
        <v>52</v>
      </c>
      <c r="B29">
        <f ca="1">SUMIFS('Produktion &amp; forbrug'!$AC$4:$AC$147,'Produktion &amp; forbrug'!$C$4:$C$147,$A29,'Produktion &amp; forbrug'!$F$4:$F$147,B$2)</f>
        <v>1637775.5474174484</v>
      </c>
      <c r="C29">
        <f ca="1">SUMIFS('Produktion &amp; forbrug'!$AC$4:$AC$147,'Produktion &amp; forbrug'!$C$4:$C$147,$A29,'Produktion &amp; forbrug'!$F$4:$F$147,C$2)</f>
        <v>1830597.0172306283</v>
      </c>
      <c r="D29" s="403">
        <f t="shared" si="5"/>
        <v>2885000</v>
      </c>
      <c r="E29">
        <f t="shared" ca="1" si="6"/>
        <v>-1247224.4525825516</v>
      </c>
    </row>
    <row r="30" spans="1:20" x14ac:dyDescent="0.25">
      <c r="B30">
        <f ca="1">SUM(B18:B29)</f>
        <v>10557895.754616257</v>
      </c>
      <c r="C30">
        <f t="shared" ref="C30:D30" ca="1" si="7">SUM(C18:C29)</f>
        <v>11699787.032999856</v>
      </c>
      <c r="D30">
        <f t="shared" si="7"/>
        <v>23352000</v>
      </c>
    </row>
  </sheetData>
  <hyperlinks>
    <hyperlink ref="O2" r:id="rId1" xr:uid="{86ADADE7-AA62-48E5-BE43-B928399DBE13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34" t="s">
        <v>23</v>
      </c>
      <c r="B2" s="435"/>
      <c r="C2" s="435"/>
      <c r="D2" s="435"/>
      <c r="E2" s="435"/>
      <c r="F2" s="435"/>
      <c r="G2" s="435"/>
      <c r="H2" s="435"/>
      <c r="I2" s="435"/>
      <c r="J2" s="435"/>
      <c r="K2" s="435"/>
      <c r="L2" s="435"/>
      <c r="M2" s="435"/>
      <c r="N2" s="435"/>
      <c r="O2" s="435"/>
      <c r="P2" s="435"/>
      <c r="Q2" s="435"/>
      <c r="R2" s="435"/>
      <c r="S2" s="435"/>
      <c r="T2" s="435"/>
      <c r="U2" s="436"/>
      <c r="W2" s="31"/>
      <c r="X2" s="28">
        <f>År1</f>
        <v>2019</v>
      </c>
      <c r="Y2" s="24">
        <f>År2</f>
        <v>2030</v>
      </c>
      <c r="Z2" s="29">
        <f>År3</f>
        <v>2050</v>
      </c>
    </row>
    <row r="3" spans="1:26" x14ac:dyDescent="0.25">
      <c r="A3" s="60"/>
      <c r="B3" s="61"/>
      <c r="C3" s="440" t="s">
        <v>7</v>
      </c>
      <c r="D3" s="441"/>
      <c r="E3" s="441"/>
      <c r="F3" s="441"/>
      <c r="G3" s="441"/>
      <c r="H3" s="441"/>
      <c r="I3" s="441"/>
      <c r="J3" s="441"/>
      <c r="K3" s="442"/>
      <c r="L3" s="440" t="s">
        <v>8</v>
      </c>
      <c r="M3" s="441"/>
      <c r="N3" s="441"/>
      <c r="O3" s="441"/>
      <c r="P3" s="441"/>
      <c r="Q3" s="441"/>
      <c r="R3" s="441"/>
      <c r="S3" s="441"/>
      <c r="T3" s="442"/>
      <c r="U3" s="70"/>
      <c r="W3" s="30" t="s">
        <v>272</v>
      </c>
      <c r="X3" s="34">
        <f>C24+C51</f>
        <v>11808068</v>
      </c>
      <c r="Y3" s="11">
        <f>D24+D51</f>
        <v>11256259.526140403</v>
      </c>
      <c r="Z3" s="22">
        <f>E24+E51</f>
        <v>10203648.676884217</v>
      </c>
    </row>
    <row r="4" spans="1:26" ht="15.75" thickBot="1" x14ac:dyDescent="0.3">
      <c r="A4" s="60"/>
      <c r="B4" s="62"/>
      <c r="C4" s="153">
        <f>År1</f>
        <v>2019</v>
      </c>
      <c r="D4" s="153">
        <f>År1</f>
        <v>2019</v>
      </c>
      <c r="E4" s="153">
        <f>År1</f>
        <v>2019</v>
      </c>
      <c r="F4" s="154">
        <f>År2</f>
        <v>2030</v>
      </c>
      <c r="G4" s="154">
        <f>År2</f>
        <v>2030</v>
      </c>
      <c r="H4" s="154">
        <f>År2</f>
        <v>2030</v>
      </c>
      <c r="I4" s="154">
        <f>År3</f>
        <v>2050</v>
      </c>
      <c r="J4" s="154">
        <f>År3</f>
        <v>2050</v>
      </c>
      <c r="K4" s="154">
        <f>År3</f>
        <v>2050</v>
      </c>
      <c r="L4" s="153">
        <f>År1</f>
        <v>2019</v>
      </c>
      <c r="M4" s="153">
        <f>År1</f>
        <v>2019</v>
      </c>
      <c r="N4" s="153">
        <f>År1</f>
        <v>2019</v>
      </c>
      <c r="O4" s="154">
        <f>År2</f>
        <v>2030</v>
      </c>
      <c r="P4" s="154">
        <f>År2</f>
        <v>2030</v>
      </c>
      <c r="Q4" s="154">
        <f>År2</f>
        <v>2030</v>
      </c>
      <c r="R4" s="154">
        <f>År3</f>
        <v>2050</v>
      </c>
      <c r="S4" s="154">
        <f>År3</f>
        <v>2050</v>
      </c>
      <c r="T4" s="154">
        <f>År3</f>
        <v>2050</v>
      </c>
      <c r="U4" s="70"/>
      <c r="W4" s="30" t="s">
        <v>273</v>
      </c>
      <c r="X4" s="34">
        <f t="shared" ref="X4:Z5" si="0">C25+C52</f>
        <v>1267084</v>
      </c>
      <c r="Y4" s="11">
        <f t="shared" si="0"/>
        <v>1232959.2457426467</v>
      </c>
      <c r="Z4" s="22">
        <f t="shared" si="0"/>
        <v>1172869.6474243198</v>
      </c>
    </row>
    <row r="5" spans="1:26" ht="15.75" thickBot="1" x14ac:dyDescent="0.3">
      <c r="A5" s="60"/>
      <c r="B5" s="39" t="s">
        <v>29</v>
      </c>
      <c r="C5" s="28" t="str">
        <f>Jordbund1</f>
        <v>JB1-10</v>
      </c>
      <c r="D5" s="24" t="str">
        <f>Organ6</f>
        <v>OC6</v>
      </c>
      <c r="E5" s="24" t="str">
        <f>Organ12</f>
        <v>OC12</v>
      </c>
      <c r="F5" s="24" t="str">
        <f>Jordbund1</f>
        <v>JB1-10</v>
      </c>
      <c r="G5" s="24" t="str">
        <f>Organ6</f>
        <v>OC6</v>
      </c>
      <c r="H5" s="24" t="str">
        <f>Organ12</f>
        <v>OC12</v>
      </c>
      <c r="I5" s="24" t="str">
        <f>Jordbund1</f>
        <v>JB1-10</v>
      </c>
      <c r="J5" s="24" t="str">
        <f>Organ6</f>
        <v>OC6</v>
      </c>
      <c r="K5" s="29" t="str">
        <f>Organ12</f>
        <v>OC12</v>
      </c>
      <c r="L5" s="28" t="str">
        <f>Jordbund1</f>
        <v>JB1-10</v>
      </c>
      <c r="M5" s="24" t="str">
        <f>Organ6</f>
        <v>OC6</v>
      </c>
      <c r="N5" s="24" t="str">
        <f>Organ12</f>
        <v>OC12</v>
      </c>
      <c r="O5" s="24" t="str">
        <f>Jordbund1</f>
        <v>JB1-10</v>
      </c>
      <c r="P5" s="24" t="str">
        <f>Organ6</f>
        <v>OC6</v>
      </c>
      <c r="Q5" s="24" t="str">
        <f>Organ12</f>
        <v>OC12</v>
      </c>
      <c r="R5" s="24" t="str">
        <f>Jordbund1</f>
        <v>JB1-10</v>
      </c>
      <c r="S5" s="24" t="str">
        <f>Organ6</f>
        <v>OC6</v>
      </c>
      <c r="T5" s="29" t="str">
        <f>Organ12</f>
        <v>OC12</v>
      </c>
      <c r="U5" s="70"/>
      <c r="W5" s="45" t="s">
        <v>274</v>
      </c>
      <c r="X5" s="47">
        <f t="shared" si="0"/>
        <v>19782594</v>
      </c>
      <c r="Y5" s="15">
        <f t="shared" si="0"/>
        <v>19328402.782654595</v>
      </c>
      <c r="Z5" s="23">
        <f t="shared" si="0"/>
        <v>18416921.146918636</v>
      </c>
    </row>
    <row r="6" spans="1:26" x14ac:dyDescent="0.25">
      <c r="A6" s="60"/>
      <c r="B6" s="40" t="str">
        <f>[1]Afgrødefordeling!C2</f>
        <v>Korn</v>
      </c>
      <c r="C6" s="34">
        <f>VLOOKUP($B6,'[1]Afgrødefordeling - jordtype'!$F$4:$I$17,MATCH(C$5,'[1]Afgrødefordeling - jordtype'!$F$3:$I$3,0),FALSE)*(1-Landbrug!$C$5)*Arealanvendelse!J$26</f>
        <v>856024.05830682674</v>
      </c>
      <c r="D6" s="34">
        <f>VLOOKUP($B6,'[1]Afgrødefordeling - jordtype'!$F$4:$I$17,MATCH(D$5,'[1]Afgrødefordeling - jordtype'!$F$3:$I$3,0),FALSE)*(1-Landbrug!$C$5)*Arealanvendelse!K$26</f>
        <v>22635.91835790575</v>
      </c>
      <c r="E6" s="34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786251.64561562939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20843.531266124886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8269.0161200631464</v>
      </c>
      <c r="I6" s="11">
        <f>IF(Landbrug!$E$47&gt;0,SUMIF(Landbrug!$B$32:$B$45,$B6,IF($I$4=År2,Landbrug!$D$32:$D$45,Landbrug!$E$32:$E$45)),'[1]Afgrødefordeling - jordtype'!$G4)*(1-Landbrug!$E$5)*Arealanvendelse!P$26</f>
        <v>703268.18873094791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16500.437390404819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6" s="34">
        <f>VLOOKUP($B6,'[1]Afgrødefordeling - jordtype'!$F$4:$I$17,MATCH(C$5,'[1]Afgrødefordeling - jordtype'!$F$3:$I$3,0),FALSE)*(Landbrug!$C$5)*Arealanvendelse!J$26</f>
        <v>109452.53235846422</v>
      </c>
      <c r="M6" s="34">
        <f>VLOOKUP($B6,'[1]Afgrødefordeling - jordtype'!$F$4:$I$17,MATCH(D$5,'[1]Afgrødefordeling - jordtype'!$F$3:$I$3,0),FALSE)*(Landbrug!$C$5)*Arealanvendelse!K$26</f>
        <v>2894.2627984460178</v>
      </c>
      <c r="N6" s="34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122709.79440243928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3253.0366715917453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1290.5400881023411</v>
      </c>
      <c r="R6" s="11">
        <f>IF(Landbrug!$E$47&gt;0,SUMIF(Landbrug!$B$32:$B$45,$B6,IF($R$4=År2,Landbrug!$D$32:$D$45,Landbrug!$E$32:$E$45)),'[1]Afgrødefordeling - jordtype'!$G4)*(Landbrug!$E$5)*Arealanvendelse!P$26</f>
        <v>149178.10063989804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3500.0927797828404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6" s="90"/>
      <c r="W6" s="30" t="s">
        <v>275</v>
      </c>
      <c r="X6" s="33">
        <f t="shared" ref="X6:Z8" si="1">F24+F51</f>
        <v>490924</v>
      </c>
      <c r="Y6" s="11">
        <f t="shared" si="1"/>
        <v>661549.01256927487</v>
      </c>
      <c r="Z6" s="22">
        <f t="shared" si="1"/>
        <v>1021099.0231157838</v>
      </c>
    </row>
    <row r="7" spans="1:26" x14ac:dyDescent="0.25">
      <c r="A7" s="60"/>
      <c r="B7" s="40" t="str">
        <f>[1]Afgrødefordeling!C3</f>
        <v>Bælgsæd</v>
      </c>
      <c r="C7" s="34">
        <f>VLOOKUP($B7,'[1]Afgrødefordeling - jordtype'!$F$4:$I$17,MATCH(C$5,'[1]Afgrødefordeling - jordtype'!$F$3:$I$3,0),FALSE)*(1-Landbrug!$C$5)*Arealanvendelse!J$26</f>
        <v>59143.999319161092</v>
      </c>
      <c r="D7" s="34">
        <f>VLOOKUP($B7,'[1]Afgrødefordeling - jordtype'!$F$4:$I$17,MATCH(D$5,'[1]Afgrødefordeling - jordtype'!$F$3:$I$3,0),FALSE)*(1-Landbrug!$C$5)*Arealanvendelse!K$26</f>
        <v>1940.4460603454415</v>
      </c>
      <c r="E7" s="34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54323.317600394141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1786.7951054397183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476.12351737499114</v>
      </c>
      <c r="I7" s="11">
        <f>IF(Landbrug!$E$47&gt;0,SUMIF(Landbrug!$B$32:$B$45,$B7,IF($I$4=År2,Landbrug!$D$32:$D$45,Landbrug!$E$32:$E$45)),'[1]Afgrødefordeling - jordtype'!$G5)*(1-Landbrug!$E$5)*Arealanvendelse!P$26</f>
        <v>48589.864819642906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1414.4868444007736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7" s="34">
        <f>VLOOKUP($B7,'[1]Afgrødefordeling - jordtype'!$F$4:$I$17,MATCH(C$5,'[1]Afgrødefordeling - jordtype'!$F$3:$I$3,0),FALSE)*(Landbrug!$C$5)*Arealanvendelse!J$26</f>
        <v>7562.2413137472431</v>
      </c>
      <c r="M7" s="34">
        <f>VLOOKUP($B7,'[1]Afgrødefordeling - jordtype'!$F$4:$I$17,MATCH(D$5,'[1]Afgrødefordeling - jordtype'!$F$3:$I$3,0),FALSE)*(Landbrug!$C$5)*Arealanvendelse!K$26</f>
        <v>248.10837166177816</v>
      </c>
      <c r="N7" s="34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8478.205637055733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278.86397599348209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74.308294619218273</v>
      </c>
      <c r="R7" s="11">
        <f>IF(Landbrug!$E$47&gt;0,SUMIF(Landbrug!$B$32:$B$45,$B7,IF($R$4=År2,Landbrug!$D$32:$D$45,Landbrug!$E$32:$E$45)),'[1]Afgrødefordeling - jordtype'!$G5)*(Landbrug!$E$5)*Arealanvendelse!P$26</f>
        <v>10306.941022348496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300.04266396380046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7" s="90"/>
      <c r="W7" s="30" t="s">
        <v>276</v>
      </c>
      <c r="X7" s="33">
        <f t="shared" si="1"/>
        <v>224348</v>
      </c>
      <c r="Y7" s="11">
        <f t="shared" si="1"/>
        <v>258472.75425735323</v>
      </c>
      <c r="Z7" s="22">
        <f t="shared" si="1"/>
        <v>318562.35257568007</v>
      </c>
    </row>
    <row r="8" spans="1:26" ht="15.75" thickBot="1" x14ac:dyDescent="0.3">
      <c r="A8" s="60"/>
      <c r="B8" s="40" t="str">
        <f>[1]Afgrødefordeling!C4</f>
        <v>Raps</v>
      </c>
      <c r="C8" s="34">
        <f>VLOOKUP($B8,'[1]Afgrødefordeling - jordtype'!$F$4:$I$17,MATCH(C$5,'[1]Afgrødefordeling - jordtype'!$F$3:$I$3,0),FALSE)*(1-Landbrug!$C$5)*Arealanvendelse!J$26</f>
        <v>99458.982869280968</v>
      </c>
      <c r="D8" s="34">
        <f>VLOOKUP($B8,'[1]Afgrødefordeling - jordtype'!$F$4:$I$17,MATCH(D$5,'[1]Afgrødefordeling - jordtype'!$F$3:$I$3,0),FALSE)*(1-Landbrug!$C$5)*Arealanvendelse!K$26</f>
        <v>2077.7966510372653</v>
      </c>
      <c r="E8" s="34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91352.326133104434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1913.2698208119741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616.55839503976472</v>
      </c>
      <c r="I8" s="11">
        <f>IF(Landbrug!$E$47&gt;0,SUMIF(Landbrug!$B$32:$B$45,$B8,IF($I$4=År2,Landbrug!$D$32:$D$45,Landbrug!$E$32:$E$45)),'[1]Afgrødefordeling - jordtype'!$G6)*(1-Landbrug!$E$5)*Arealanvendelse!P$26</f>
        <v>81710.716021056694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1514.6084646686793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8" s="34">
        <f>VLOOKUP($B8,'[1]Afgrødefordeling - jordtype'!$F$4:$I$17,MATCH(C$5,'[1]Afgrødefordeling - jordtype'!$F$3:$I$3,0),FALSE)*(Landbrug!$C$5)*Arealanvendelse!J$26</f>
        <v>12716.97615879156</v>
      </c>
      <c r="M8" s="34">
        <f>VLOOKUP($B8,'[1]Afgrødefordeling - jordtype'!$F$4:$I$17,MATCH(D$5,'[1]Afgrødefordeling - jordtype'!$F$3:$I$3,0),FALSE)*(Landbrug!$C$5)*Arealanvendelse!K$26</f>
        <v>265.67022617540744</v>
      </c>
      <c r="N8" s="34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14257.299454299538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298.60280440418097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96.225876682506637</v>
      </c>
      <c r="R8" s="11">
        <f>IF(Landbrug!$E$47&gt;0,SUMIF(Landbrug!$B$32:$B$45,$B8,IF($R$4=År2,Landbrug!$D$32:$D$45,Landbrug!$E$32:$E$45)),'[1]Afgrødefordeling - jordtype'!$G6)*(Landbrug!$E$5)*Arealanvendelse!P$26</f>
        <v>17332.576125678694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321.28058341456835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8" s="90"/>
      <c r="W8" s="45" t="s">
        <v>277</v>
      </c>
      <c r="X8" s="46">
        <f t="shared" si="1"/>
        <v>3277287</v>
      </c>
      <c r="Y8" s="15">
        <f t="shared" si="1"/>
        <v>3731478.2173454049</v>
      </c>
      <c r="Z8" s="23">
        <f t="shared" si="1"/>
        <v>4642959.853081366</v>
      </c>
    </row>
    <row r="9" spans="1:26" x14ac:dyDescent="0.25">
      <c r="A9" s="60"/>
      <c r="B9" s="40" t="str">
        <f>[1]Afgrødefordeling!C5</f>
        <v>Græs</v>
      </c>
      <c r="C9" s="34">
        <f>VLOOKUP($B9,'[1]Afgrødefordeling - jordtype'!$F$4:$I$17,MATCH(C$5,'[1]Afgrødefordeling - jordtype'!$F$3:$I$3,0),FALSE)*(1-Landbrug!$C$5)*Arealanvendelse!J$26</f>
        <v>189636.9989648702</v>
      </c>
      <c r="D9" s="34">
        <f>VLOOKUP($B9,'[1]Afgrødefordeling - jordtype'!$F$4:$I$17,MATCH(D$5,'[1]Afgrødefordeling - jordtype'!$F$3:$I$3,0),FALSE)*(1-Landbrug!$C$5)*Arealanvendelse!K$26</f>
        <v>19174.640913496198</v>
      </c>
      <c r="E9" s="34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174180.15423615053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17656.329249729286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14219.782896462779</v>
      </c>
      <c r="I9" s="11">
        <f>IF(Landbrug!$E$47&gt;0,SUMIF(Landbrug!$B$32:$B$45,$B9,IF($I$4=År2,Landbrug!$D$32:$D$45,Landbrug!$E$32:$E$45)),'[1]Afgrødefordeling - jordtype'!$G7)*(1-Landbrug!$E$5)*Arealanvendelse!P$26</f>
        <v>155796.63618588899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13977.341536317093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9" s="34">
        <f>VLOOKUP($B9,'[1]Afgrødefordeling - jordtype'!$F$4:$I$17,MATCH(C$5,'[1]Afgrødefordeling - jordtype'!$F$3:$I$3,0),FALSE)*(Landbrug!$C$5)*Arealanvendelse!J$26</f>
        <v>24247.273851881382</v>
      </c>
      <c r="M9" s="34">
        <f>VLOOKUP($B9,'[1]Afgrødefordeling - jordtype'!$F$4:$I$17,MATCH(D$5,'[1]Afgrødefordeling - jordtype'!$F$3:$I$3,0),FALSE)*(Landbrug!$C$5)*Arealanvendelse!K$26</f>
        <v>2451.6986230474936</v>
      </c>
      <c r="N9" s="34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27184.185921248929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2755.6120794375188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2219.2724751704914</v>
      </c>
      <c r="R9" s="11">
        <f>IF(Landbrug!$E$47&gt;0,SUMIF(Landbrug!$B$32:$B$45,$B9,IF($R$4=År2,Landbrug!$D$32:$D$45,Landbrug!$E$32:$E$45)),'[1]Afgrødefordeling - jordtype'!$G7)*(Landbrug!$E$5)*Arealanvendelse!P$26</f>
        <v>33047.771312158278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2964.8906289157476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9" s="90"/>
    </row>
    <row r="10" spans="1:26" x14ac:dyDescent="0.25">
      <c r="A10" s="60"/>
      <c r="B10" s="40" t="str">
        <f>[1]Afgrødefordeling!C6</f>
        <v>Grøntsager</v>
      </c>
      <c r="C10" s="34">
        <f>VLOOKUP($B10,'[1]Afgrødefordeling - jordtype'!$F$4:$I$17,MATCH(C$5,'[1]Afgrødefordeling - jordtype'!$F$3:$I$3,0),FALSE)*(1-Landbrug!$C$5)*Arealanvendelse!J$26</f>
        <v>7338.5205805106789</v>
      </c>
      <c r="D10" s="34">
        <f>VLOOKUP($B10,'[1]Afgrødefordeling - jordtype'!$F$4:$I$17,MATCH(D$5,'[1]Afgrødefordeling - jordtype'!$F$3:$I$3,0),FALSE)*(1-Landbrug!$C$5)*Arealanvendelse!K$26</f>
        <v>89.680516787297492</v>
      </c>
      <c r="E10" s="34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6740.3758420333515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82.579316026090069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16.527831515094178</v>
      </c>
      <c r="I10" s="11">
        <f>IF(Landbrug!$E$47&gt;0,SUMIF(Landbrug!$B$32:$B$45,$B10,IF($I$4=År2,Landbrug!$D$32:$D$45,Landbrug!$E$32:$E$45)),'[1]Afgrødefordeling - jordtype'!$G8)*(1-Landbrug!$E$5)*Arealanvendelse!P$26</f>
        <v>6028.9755019603408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65.372552109030366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0" s="34">
        <f>VLOOKUP($B10,'[1]Afgrødefordeling - jordtype'!$F$4:$I$17,MATCH(C$5,'[1]Afgrødefordeling - jordtype'!$F$3:$I$3,0),FALSE)*(Landbrug!$C$5)*Arealanvendelse!J$26</f>
        <v>938.31435402683587</v>
      </c>
      <c r="M10" s="34">
        <f>VLOOKUP($B10,'[1]Afgrødefordeling - jordtype'!$F$4:$I$17,MATCH(D$5,'[1]Afgrødefordeling - jordtype'!$F$3:$I$3,0),FALSE)*(Landbrug!$C$5)*Arealanvendelse!K$26</f>
        <v>11.466686678176497</v>
      </c>
      <c r="N10" s="34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1051.9661718780378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12.888101345112323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2.5794881555349294</v>
      </c>
      <c r="R10" s="11">
        <f>IF(Landbrug!$E$47&gt;0,SUMIF(Landbrug!$B$32:$B$45,$B10,IF($R$4=År2,Landbrug!$D$32:$D$45,Landbrug!$E$32:$E$45)),'[1]Afgrødefordeling - jordtype'!$G8)*(Landbrug!$E$5)*Arealanvendelse!P$26</f>
        <v>1278.8735913249209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13.866904992824622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0" s="90"/>
    </row>
    <row r="11" spans="1:26" x14ac:dyDescent="0.25">
      <c r="A11" s="60"/>
      <c r="B11" s="40" t="str">
        <f>[1]Afgrødefordeling!C7</f>
        <v>Kartofler</v>
      </c>
      <c r="C11" s="34">
        <f>VLOOKUP($B11,'[1]Afgrødefordeling - jordtype'!$F$4:$I$17,MATCH(C$5,'[1]Afgrødefordeling - jordtype'!$F$3:$I$3,0),FALSE)*(1-Landbrug!$C$5)*Arealanvendelse!J$26</f>
        <v>43716.498839298802</v>
      </c>
      <c r="D11" s="34">
        <f>VLOOKUP($B11,'[1]Afgrødefordeling - jordtype'!$F$4:$I$17,MATCH(D$5,'[1]Afgrødefordeling - jordtype'!$F$3:$I$3,0),FALSE)*(1-Landbrug!$C$5)*Arealanvendelse!K$26</f>
        <v>1415.8229166406438</v>
      </c>
      <c r="E11" s="34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40153.274688259204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1303.7133622629699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874.82296878583463</v>
      </c>
      <c r="I11" s="11">
        <f>IF(Landbrug!$E$47&gt;0,SUMIF(Landbrug!$B$32:$B$45,$B11,IF($I$4=År2,Landbrug!$D$32:$D$45,Landbrug!$E$32:$E$45)),'[1]Afgrødefordeling - jordtype'!$G9)*(1-Landbrug!$E$5)*Arealanvendelse!P$26</f>
        <v>35915.372538925141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1032.0631583197971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1" s="34">
        <f>VLOOKUP($B11,'[1]Afgrødefordeling - jordtype'!$F$4:$I$17,MATCH(C$5,'[1]Afgrødefordeling - jordtype'!$F$3:$I$3,0),FALSE)*(Landbrug!$C$5)*Arealanvendelse!J$26</f>
        <v>5589.6577407781906</v>
      </c>
      <c r="M11" s="34">
        <f>VLOOKUP($B11,'[1]Afgrødefordeling - jordtype'!$F$4:$I$17,MATCH(D$5,'[1]Afgrødefordeling - jordtype'!$F$3:$I$3,0),FALSE)*(Landbrug!$C$5)*Arealanvendelse!K$26</f>
        <v>181.02926207936162</v>
      </c>
      <c r="N11" s="34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6266.6960496127094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203.46971549768895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136.5330644925869</v>
      </c>
      <c r="R11" s="11">
        <f>IF(Landbrug!$E$47&gt;0,SUMIF(Landbrug!$B$32:$B$45,$B11,IF($R$4=År2,Landbrug!$D$32:$D$45,Landbrug!$E$32:$E$45)),'[1]Afgrødefordeling - jordtype'!$G9)*(Landbrug!$E$5)*Arealanvendelse!P$26</f>
        <v>7618.4123567416955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218.92248812844184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1" s="90"/>
    </row>
    <row r="12" spans="1:26" x14ac:dyDescent="0.25">
      <c r="A12" s="60"/>
      <c r="B12" s="40" t="str">
        <f>[1]Afgrødefordeling!C8</f>
        <v>Roer</v>
      </c>
      <c r="C12" s="34">
        <f>VLOOKUP($B12,'[1]Afgrødefordeling - jordtype'!$F$4:$I$17,MATCH(C$5,'[1]Afgrødefordeling - jordtype'!$F$3:$I$3,0),FALSE)*(1-Landbrug!$C$5)*Arealanvendelse!J$26</f>
        <v>4267.6414750315462</v>
      </c>
      <c r="D12" s="34">
        <f>VLOOKUP($B12,'[1]Afgrødefordeling - jordtype'!$F$4:$I$17,MATCH(D$5,'[1]Afgrødefordeling - jordtype'!$F$3:$I$3,0),FALSE)*(1-Landbrug!$C$5)*Arealanvendelse!K$26</f>
        <v>37.144566460621057</v>
      </c>
      <c r="E12" s="34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3919.7965291746114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34.203336491457428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9.4603904307598334</v>
      </c>
      <c r="I12" s="11">
        <f>IF(Landbrug!$E$47&gt;0,SUMIF(Landbrug!$B$32:$B$45,$B12,IF($I$4=År2,Landbrug!$D$32:$D$45,Landbrug!$E$32:$E$45)),'[1]Afgrødefordeling - jordtype'!$G10)*(1-Landbrug!$E$5)*Arealanvendelse!P$26</f>
        <v>3506.0889482883485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27.076506620423842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2" s="34">
        <f>VLOOKUP($B12,'[1]Afgrødefordeling - jordtype'!$F$4:$I$17,MATCH(C$5,'[1]Afgrødefordeling - jordtype'!$F$3:$I$3,0),FALSE)*(Landbrug!$C$5)*Arealanvendelse!J$26</f>
        <v>545.66710141783074</v>
      </c>
      <c r="M12" s="34">
        <f>VLOOKUP($B12,'[1]Afgrødefordeling - jordtype'!$F$4:$I$17,MATCH(D$5,'[1]Afgrødefordeling - jordtype'!$F$3:$I$3,0),FALSE)*(Landbrug!$C$5)*Arealanvendelse!K$26</f>
        <v>4.7493605150697995</v>
      </c>
      <c r="N12" s="34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611.76015195210698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5.3380929784355526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1.4764771192515349</v>
      </c>
      <c r="R12" s="11">
        <f>IF(Landbrug!$E$47&gt;0,SUMIF(Landbrug!$B$32:$B$45,$B12,IF($R$4=År2,Landbrug!$D$32:$D$45,Landbrug!$E$32:$E$45)),'[1]Afgrødefordeling - jordtype'!$G10)*(Landbrug!$E$5)*Arealanvendelse!P$26</f>
        <v>743.71583751571029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5.7435014043323305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2" s="90"/>
    </row>
    <row r="13" spans="1:26" x14ac:dyDescent="0.25">
      <c r="A13" s="60"/>
      <c r="B13" s="40" t="str">
        <f>[1]Afgrødefordeling!C9</f>
        <v>Majs</v>
      </c>
      <c r="C13" s="34">
        <f>VLOOKUP($B13,'[1]Afgrødefordeling - jordtype'!$F$4:$I$17,MATCH(C$5,'[1]Afgrødefordeling - jordtype'!$F$3:$I$3,0),FALSE)*(1-Landbrug!$C$5)*Arealanvendelse!J$26</f>
        <v>146143.69836902106</v>
      </c>
      <c r="D13" s="34">
        <f>VLOOKUP($B13,'[1]Afgrødefordeling - jordtype'!$F$4:$I$17,MATCH(D$5,'[1]Afgrødefordeling - jordtype'!$F$3:$I$3,0),FALSE)*(1-Landbrug!$C$5)*Arealanvendelse!K$26</f>
        <v>4794.8053396620016</v>
      </c>
      <c r="E13" s="34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134231.88545223227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4415.1367500105207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1176.4921633749784</v>
      </c>
      <c r="I13" s="11">
        <f>IF(Landbrug!$E$47&gt;0,SUMIF(Landbrug!$B$32:$B$45,$B13,IF($I$4=År2,Landbrug!$D$32:$D$45,Landbrug!$E$32:$E$45)),'[1]Afgrødefordeling - jordtype'!$G11)*(1-Landbrug!$E$5)*Arealanvendelse!P$26</f>
        <v>120064.63258721215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3495.1701121787992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3" s="34">
        <f>VLOOKUP($B13,'[1]Afgrødefordeling - jordtype'!$F$4:$I$17,MATCH(C$5,'[1]Afgrødefordeling - jordtype'!$F$3:$I$3,0),FALSE)*(Landbrug!$C$5)*Arealanvendelse!J$26</f>
        <v>18686.154576496141</v>
      </c>
      <c r="M13" s="34">
        <f>VLOOKUP($B13,'[1]Afgrødefordeling - jordtype'!$F$4:$I$17,MATCH(D$5,'[1]Afgrødefordeling - jordtype'!$F$3:$I$3,0),FALSE)*(Landbrug!$C$5)*Arealanvendelse!K$26</f>
        <v>613.07107142517441</v>
      </c>
      <c r="N13" s="34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20949.485012776135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689.0675852617577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183.61438387933188</v>
      </c>
      <c r="R13" s="11">
        <f>IF(Landbrug!$E$47&gt;0,SUMIF(Landbrug!$B$32:$B$45,$B13,IF($R$4=År2,Landbrug!$D$32:$D$45,Landbrug!$E$32:$E$45)),'[1]Afgrødefordeling - jordtype'!$G11)*(Landbrug!$E$5)*Arealanvendelse!P$26</f>
        <v>25468.255397287427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741.39972076519973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3" s="90"/>
    </row>
    <row r="14" spans="1:26" x14ac:dyDescent="0.25">
      <c r="A14" s="60"/>
      <c r="B14" s="40" t="str">
        <f>[1]Afgrødefordeling!C10</f>
        <v>Frugt</v>
      </c>
      <c r="C14" s="34">
        <f>VLOOKUP($B14,'[1]Afgrødefordeling - jordtype'!$F$4:$I$17,MATCH(C$5,'[1]Afgrødefordeling - jordtype'!$F$3:$I$3,0),FALSE)*(1-Landbrug!$C$5)*Arealanvendelse!J$26</f>
        <v>2685.4308255346846</v>
      </c>
      <c r="D14" s="34">
        <f>VLOOKUP($B14,'[1]Afgrødefordeling - jordtype'!$F$4:$I$17,MATCH(D$5,'[1]Afgrødefordeling - jordtype'!$F$3:$I$3,0),FALSE)*(1-Landbrug!$C$5)*Arealanvendelse!K$26</f>
        <v>81.683630839432524</v>
      </c>
      <c r="E14" s="34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2466.5479728921132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75.215650030725556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33.714690278143649</v>
      </c>
      <c r="I14" s="11">
        <f>IF(Landbrug!$E$47&gt;0,SUMIF(Landbrug!$B$32:$B$45,$B14,IF($I$4=År2,Landbrug!$D$32:$D$45,Landbrug!$E$32:$E$45)),'[1]Afgrødefordeling - jordtype'!$G12)*(1-Landbrug!$E$5)*Arealanvendelse!P$26</f>
        <v>2206.2207882002126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59.54322750136015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4" s="34">
        <f>VLOOKUP($B14,'[1]Afgrødefordeling - jordtype'!$F$4:$I$17,MATCH(C$5,'[1]Afgrødefordeling - jordtype'!$F$3:$I$3,0),FALSE)*(Landbrug!$C$5)*Arealanvendelse!J$26</f>
        <v>343.36325185722677</v>
      </c>
      <c r="M14" s="34">
        <f>VLOOKUP($B14,'[1]Afgrødefordeling - jordtype'!$F$4:$I$17,MATCH(D$5,'[1]Afgrødefordeling - jordtype'!$F$3:$I$3,0),FALSE)*(Landbrug!$C$5)*Arealanvendelse!K$26</f>
        <v>10.444192731327741</v>
      </c>
      <c r="N14" s="34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384.95257380397146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11.73885867531555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5.2618302746235761</v>
      </c>
      <c r="R14" s="11">
        <f>IF(Landbrug!$E$47&gt;0,SUMIF(Landbrug!$B$32:$B$45,$B14,IF($R$4=År2,Landbrug!$D$32:$D$45,Landbrug!$E$32:$E$45)),'[1]Afgrødefordeling - jordtype'!$G12)*(Landbrug!$E$5)*Arealanvendelse!P$26</f>
        <v>467.98622780004507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12.630381591197606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4" s="90"/>
    </row>
    <row r="15" spans="1:26" x14ac:dyDescent="0.25">
      <c r="A15" s="60"/>
      <c r="B15" s="40" t="str">
        <f>[1]Afgrødefordeling!C11</f>
        <v>Øvrige</v>
      </c>
      <c r="C15" s="34">
        <f>VLOOKUP($B15,'[1]Afgrødefordeling - jordtype'!$F$4:$I$17,MATCH(C$5,'[1]Afgrødefordeling - jordtype'!$F$3:$I$3,0),FALSE)*(1-Landbrug!$C$5)*Arealanvendelse!J$26</f>
        <v>47494.264779726094</v>
      </c>
      <c r="D15" s="34">
        <f>VLOOKUP($B15,'[1]Afgrødefordeling - jordtype'!$F$4:$I$17,MATCH(D$5,'[1]Afgrødefordeling - jordtype'!$F$3:$I$3,0),FALSE)*(1-Landbrug!$C$5)*Arealanvendelse!K$26</f>
        <v>1444.648640496996</v>
      </c>
      <c r="E15" s="34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43623.12423114085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1330.2565696985414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596.27468777483512</v>
      </c>
      <c r="I15" s="11">
        <f>IF(Landbrug!$E$47&gt;0,SUMIF(Landbrug!$B$32:$B$45,$B15,IF($I$4=År2,Landbrug!$D$32:$D$45,Landbrug!$E$32:$E$45)),'[1]Afgrødefordeling - jordtype'!$G13)*(1-Landbrug!$E$5)*Arealanvendelse!P$26</f>
        <v>39019.003312607769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1053.0756502454326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5" s="34">
        <f>VLOOKUP($B15,'[1]Afgrødefordeling - jordtype'!$F$4:$I$17,MATCH(C$5,'[1]Afgrødefordeling - jordtype'!$F$3:$I$3,0),FALSE)*(Landbrug!$C$5)*Arealanvendelse!J$26</f>
        <v>6072.6886145309409</v>
      </c>
      <c r="M15" s="34">
        <f>VLOOKUP($B15,'[1]Afgrødefordeling - jordtype'!$F$4:$I$17,MATCH(D$5,'[1]Afgrødefordeling - jordtype'!$F$3:$I$3,0),FALSE)*(Landbrug!$C$5)*Arealanvendelse!K$26</f>
        <v>184.71496278196111</v>
      </c>
      <c r="N15" s="34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6808.233261507532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207.61229700497469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93.060211386823994</v>
      </c>
      <c r="R15" s="11">
        <f>IF(Landbrug!$E$47&gt;0,SUMIF(Landbrug!$B$32:$B$45,$B15,IF($R$4=År2,Landbrug!$D$32:$D$45,Landbrug!$E$32:$E$45)),'[1]Afgrødefordeling - jordtype'!$G13)*(Landbrug!$E$5)*Arealanvendelse!P$26</f>
        <v>8276.7582784319511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223.3796833853948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5" s="90"/>
    </row>
    <row r="16" spans="1:26" x14ac:dyDescent="0.25">
      <c r="A16" s="60"/>
      <c r="B16" s="40" t="str">
        <f>[1]Afgrødefordeling!C12</f>
        <v>Frø</v>
      </c>
      <c r="C16" s="34">
        <f>VLOOKUP($B16,'[1]Afgrødefordeling - jordtype'!$F$4:$I$17,MATCH(C$5,'[1]Afgrødefordeling - jordtype'!$F$3:$I$3,0),FALSE)*(1-Landbrug!$C$5)*Arealanvendelse!J$26</f>
        <v>49959.789539022684</v>
      </c>
      <c r="D16" s="34">
        <f>VLOOKUP($B16,'[1]Afgrødefordeling - jordtype'!$F$4:$I$17,MATCH(D$5,'[1]Afgrødefordeling - jordtype'!$F$3:$I$3,0),FALSE)*(1-Landbrug!$C$5)*Arealanvendelse!K$26</f>
        <v>3565.8188704270801</v>
      </c>
      <c r="E16" s="34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45887.690139647355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3283.4655055701205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1897.1467002204627</v>
      </c>
      <c r="I16" s="11">
        <f>IF(Landbrug!$E$47&gt;0,SUMIF(Landbrug!$B$32:$B$45,$B16,IF($I$4=År2,Landbrug!$D$32:$D$45,Landbrug!$E$32:$E$45)),'[1]Afgrødefordeling - jordtype'!$G14)*(1-Landbrug!$E$5)*Arealanvendelse!P$26</f>
        <v>41044.559854992149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2599.3012559376307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6" s="34">
        <f>VLOOKUP($B16,'[1]Afgrødefordeling - jordtype'!$F$4:$I$17,MATCH(C$5,'[1]Afgrødefordeling - jordtype'!$F$3:$I$3,0),FALSE)*(Landbrug!$C$5)*Arealanvendelse!J$26</f>
        <v>6387.934343758774</v>
      </c>
      <c r="M16" s="34">
        <f>VLOOKUP($B16,'[1]Afgrødefordeling - jordtype'!$F$4:$I$17,MATCH(D$5,'[1]Afgrødefordeling - jordtype'!$F$3:$I$3,0),FALSE)*(Landbrug!$C$5)*Arealanvendelse!K$26</f>
        <v>455.9310004345117</v>
      </c>
      <c r="N16" s="34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7161.6626229507428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512.44837370169512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296.08647922515894</v>
      </c>
      <c r="R16" s="11">
        <f>IF(Landbrug!$E$47&gt;0,SUMIF(Landbrug!$B$32:$B$45,$B16,IF($R$4=År2,Landbrug!$D$32:$D$45,Landbrug!$E$32:$E$45)),'[1]Afgrødefordeling - jordtype'!$G14)*(Landbrug!$E$5)*Arealanvendelse!P$26</f>
        <v>8706.4217874225778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551.36693307767916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6" s="90"/>
    </row>
    <row r="17" spans="1:21" x14ac:dyDescent="0.25">
      <c r="A17" s="60"/>
      <c r="B17" s="41" t="str">
        <f>[1]Afgrødefordeling!C13</f>
        <v>Juletræer</v>
      </c>
      <c r="C17" s="34">
        <f>VLOOKUP($B17,'[1]Afgrødefordeling - jordtype'!$F$4:$I$17,MATCH(C$5,'[1]Afgrødefordeling - jordtype'!$F$3:$I$3,0),FALSE)*(1-Landbrug!$C$5)*Arealanvendelse!J$26</f>
        <v>13468.89657573873</v>
      </c>
      <c r="D17" s="34">
        <f>VLOOKUP($B17,'[1]Afgrødefordeling - jordtype'!$F$4:$I$17,MATCH(D$5,'[1]Afgrødefordeling - jordtype'!$F$3:$I$3,0),FALSE)*(1-Landbrug!$C$5)*Arealanvendelse!K$26</f>
        <v>409.68784794078073</v>
      </c>
      <c r="E17" s="34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12371.079988391533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377.24740533545247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169.09751393390181</v>
      </c>
      <c r="I17" s="11">
        <f>IF(Landbrug!$E$47&gt;0,SUMIF(Landbrug!$B$32:$B$45,$B17,IF($I$4=År2,Landbrug!$D$32:$D$45,Landbrug!$E$32:$E$45)),'[1]Afgrødefordeling - jordtype'!$G15)*(1-Landbrug!$E$5)*Arealanvendelse!P$26</f>
        <v>11065.397528382413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298.64167990319493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7" s="34">
        <f>VLOOKUP($B17,'[1]Afgrødefordeling - jordtype'!$F$4:$I$17,MATCH(C$5,'[1]Afgrødefordeling - jordtype'!$F$3:$I$3,0),FALSE)*(Landbrug!$C$5)*Arealanvendelse!J$26</f>
        <v>1722.1535119056764</v>
      </c>
      <c r="M17" s="34">
        <f>VLOOKUP($B17,'[1]Afgrødefordeling - jordtype'!$F$4:$I$17,MATCH(D$5,'[1]Afgrødefordeling - jordtype'!$F$3:$I$3,0),FALSE)*(Landbrug!$C$5)*Arealanvendelse!K$26</f>
        <v>52.383308621374375</v>
      </c>
      <c r="N17" s="34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1930.7465877836498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58.876762682411666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26.390941481013577</v>
      </c>
      <c r="R17" s="11">
        <f>IF(Landbrug!$E$47&gt;0,SUMIF(Landbrug!$B$32:$B$45,$B17,IF($R$4=År2,Landbrug!$D$32:$D$45,Landbrug!$E$32:$E$45)),'[1]Afgrødefordeling - jordtype'!$G15)*(Landbrug!$E$5)*Arealanvendelse!P$26</f>
        <v>2347.2055363235422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63.34823513098074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7" s="90"/>
    </row>
    <row r="18" spans="1:21" x14ac:dyDescent="0.25">
      <c r="A18" s="60"/>
      <c r="B18" s="41" t="str">
        <f>[1]Afgrødefordeling!C14</f>
        <v>Pil &amp; poppel</v>
      </c>
      <c r="C18" s="34">
        <f>VLOOKUP($B18,'[1]Afgrødefordeling - jordtype'!$F$4:$I$17,MATCH(C$5,'[1]Afgrødefordeling - jordtype'!$F$3:$I$3,0),FALSE)*(1-Landbrug!$C$5)*Arealanvendelse!J$26</f>
        <v>4954.292308391774</v>
      </c>
      <c r="D18" s="34">
        <f>VLOOKUP($B18,'[1]Afgrødefordeling - jordtype'!$F$4:$I$17,MATCH(D$5,'[1]Afgrødefordeling - jordtype'!$F$3:$I$3,0),FALSE)*(1-Landbrug!$C$5)*Arealanvendelse!K$26</f>
        <v>672.85851532837171</v>
      </c>
      <c r="E18" s="34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4550.4801442597754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619.57934642519353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399.1587138370042</v>
      </c>
      <c r="I18" s="11">
        <f>IF(Landbrug!$E$47&gt;0,SUMIF(Landbrug!$B$32:$B$45,$B18,IF($I$4=År2,Landbrug!$D$32:$D$45,Landbrug!$E$32:$E$45)),'[1]Afgrødefordeling - jordtype'!$G16)*(1-Landbrug!$E$5)*Arealanvendelse!P$26</f>
        <v>4070.2082428126114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490.4797600535137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8" s="34">
        <f>VLOOKUP($B18,'[1]Afgrødefordeling - jordtype'!$F$4:$I$17,MATCH(C$5,'[1]Afgrødefordeling - jordtype'!$F$3:$I$3,0),FALSE)*(Landbrug!$C$5)*Arealanvendelse!J$26</f>
        <v>633.46331675549425</v>
      </c>
      <c r="M18" s="34">
        <f>VLOOKUP($B18,'[1]Afgrødefordeling - jordtype'!$F$4:$I$17,MATCH(D$5,'[1]Afgrødefordeling - jordtype'!$F$3:$I$3,0),FALSE)*(Landbrug!$C$5)*Arealanvendelse!K$26</f>
        <v>86.032708668626768</v>
      </c>
      <c r="N18" s="34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710.19054274574535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96.697354644394366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62.296446668202975</v>
      </c>
      <c r="R18" s="11">
        <f>IF(Landbrug!$E$47&gt;0,SUMIF(Landbrug!$B$32:$B$45,$B18,IF($R$4=År2,Landbrug!$D$32:$D$45,Landbrug!$E$32:$E$45)),'[1]Afgrødefordeling - jordtype'!$G16)*(Landbrug!$E$5)*Arealanvendelse!P$26</f>
        <v>863.37750605116003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104.0411612234726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8" s="90"/>
    </row>
    <row r="19" spans="1:21" x14ac:dyDescent="0.25">
      <c r="A19" s="60"/>
      <c r="B19" s="41" t="str">
        <f>[1]Afgrødefordeling!C15</f>
        <v>Permanent græs</v>
      </c>
      <c r="C19" s="34">
        <f>VLOOKUP($B19,'[1]Afgrødefordeling - jordtype'!$F$4:$I$17,MATCH(C$5,'[1]Afgrødefordeling - jordtype'!$F$3:$I$3,0),FALSE)*(1-Landbrug!$C$5)*Arealanvendelse!J$26</f>
        <v>119415.94261463804</v>
      </c>
      <c r="D19" s="34">
        <f>VLOOKUP($B19,'[1]Afgrødefordeling - jordtype'!$F$4:$I$17,MATCH(D$5,'[1]Afgrødefordeling - jordtype'!$F$3:$I$3,0),FALSE)*(1-Landbrug!$C$5)*Arealanvendelse!K$26</f>
        <v>19018.389680733297</v>
      </c>
      <c r="E19" s="34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109682.64324160751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17512.450507812609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14762.990467149724</v>
      </c>
      <c r="I19" s="11">
        <f>IF(Landbrug!$E$47&gt;0,SUMIF(Landbrug!$B$32:$B$45,$B19,IF($I$4=År2,Landbrug!$D$32:$D$45,Landbrug!$E$32:$E$45)),'[1]Afgrødefordeling - jordtype'!$G17)*(1-Landbrug!$E$5)*Arealanvendelse!P$26</f>
        <v>98106.394152410197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13863.442305783894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9" s="34">
        <f>VLOOKUP($B19,'[1]Afgrødefordeling - jordtype'!$F$4:$I$17,MATCH(C$5,'[1]Afgrødefordeling - jordtype'!$F$3:$I$3,0),FALSE)*(Landbrug!$C$5)*Arealanvendelse!J$26</f>
        <v>15268.703252333511</v>
      </c>
      <c r="M19" s="34">
        <f>VLOOKUP($B19,'[1]Afgrødefordeling - jordtype'!$F$4:$I$17,MATCH(D$5,'[1]Afgrødefordeling - jordtype'!$F$3:$I$3,0),FALSE)*(Landbrug!$C$5)*Arealanvendelse!K$26</f>
        <v>2431.7201038177204</v>
      </c>
      <c r="N19" s="34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17118.100390308689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2733.1570156701764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2304.0505353355065</v>
      </c>
      <c r="R19" s="11">
        <f>IF(Landbrug!$E$47&gt;0,SUMIF(Landbrug!$B$32:$B$45,$B19,IF($R$4=År2,Landbrug!$D$32:$D$45,Landbrug!$E$32:$E$45)),'[1]Afgrødefordeling - jordtype'!$G17)*(Landbrug!$E$5)*Arealanvendelse!P$26</f>
        <v>20810.447244450646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2940.7301860753714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9" s="90"/>
    </row>
    <row r="20" spans="1:21" ht="15.75" thickBot="1" x14ac:dyDescent="0.3">
      <c r="A20" s="60"/>
      <c r="B20" s="42" t="s">
        <v>30</v>
      </c>
      <c r="C20" s="35">
        <f t="shared" ref="C20:T20" si="2">SUM(C6:C19)</f>
        <v>1643709.0153670528</v>
      </c>
      <c r="D20" s="36">
        <f t="shared" si="2"/>
        <v>77359.342508101181</v>
      </c>
      <c r="E20" s="36">
        <f t="shared" si="2"/>
        <v>60217.469135875617</v>
      </c>
      <c r="F20" s="37">
        <f t="shared" si="2"/>
        <v>1509734.3418149173</v>
      </c>
      <c r="G20" s="37">
        <f t="shared" si="2"/>
        <v>71233.773191769549</v>
      </c>
      <c r="H20" s="37">
        <f t="shared" si="2"/>
        <v>43517.167056241422</v>
      </c>
      <c r="I20" s="37">
        <f t="shared" si="2"/>
        <v>1350392.2592133279</v>
      </c>
      <c r="J20" s="37">
        <f t="shared" si="2"/>
        <v>56391.040444444443</v>
      </c>
      <c r="K20" s="38">
        <f t="shared" si="2"/>
        <v>0</v>
      </c>
      <c r="L20" s="35">
        <f t="shared" si="2"/>
        <v>210167.12374674503</v>
      </c>
      <c r="M20" s="36">
        <f t="shared" si="2"/>
        <v>9891.2826770840002</v>
      </c>
      <c r="N20" s="36">
        <f t="shared" si="2"/>
        <v>7699.4967900503034</v>
      </c>
      <c r="O20" s="37">
        <f t="shared" si="2"/>
        <v>235623.27878036277</v>
      </c>
      <c r="P20" s="37">
        <f t="shared" si="2"/>
        <v>11117.409688888891</v>
      </c>
      <c r="Q20" s="37">
        <f t="shared" si="2"/>
        <v>6791.6965925925924</v>
      </c>
      <c r="R20" s="37">
        <f t="shared" si="2"/>
        <v>286446.84286343318</v>
      </c>
      <c r="S20" s="37">
        <f t="shared" si="2"/>
        <v>11961.735851851852</v>
      </c>
      <c r="T20" s="38">
        <f t="shared" si="2"/>
        <v>0</v>
      </c>
      <c r="U20" s="90"/>
    </row>
    <row r="21" spans="1:21" ht="15.75" thickBot="1" x14ac:dyDescent="0.3">
      <c r="A21" s="60"/>
      <c r="B21" s="67"/>
      <c r="C21" s="68"/>
      <c r="D21" s="68"/>
      <c r="E21" s="68"/>
      <c r="F21" s="68"/>
      <c r="G21" s="68"/>
      <c r="H21" s="68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70"/>
    </row>
    <row r="22" spans="1:21" x14ac:dyDescent="0.25">
      <c r="A22" s="60"/>
      <c r="B22" s="44"/>
      <c r="C22" s="440" t="s">
        <v>7</v>
      </c>
      <c r="D22" s="441"/>
      <c r="E22" s="442"/>
      <c r="F22" s="446" t="s">
        <v>8</v>
      </c>
      <c r="G22" s="441"/>
      <c r="H22" s="442"/>
      <c r="I22" s="71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70"/>
    </row>
    <row r="23" spans="1:21" x14ac:dyDescent="0.25">
      <c r="A23" s="60"/>
      <c r="B23" s="31" t="s">
        <v>26</v>
      </c>
      <c r="C23" s="28">
        <f>År1</f>
        <v>2019</v>
      </c>
      <c r="D23" s="24">
        <f>År2</f>
        <v>2030</v>
      </c>
      <c r="E23" s="29">
        <f>År3</f>
        <v>2050</v>
      </c>
      <c r="F23" s="32">
        <f>År1</f>
        <v>2019</v>
      </c>
      <c r="G23" s="24">
        <f>År2</f>
        <v>2030</v>
      </c>
      <c r="H23" s="29">
        <f>År3</f>
        <v>2050</v>
      </c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70"/>
    </row>
    <row r="24" spans="1:21" x14ac:dyDescent="0.25">
      <c r="A24" s="60"/>
      <c r="B24" s="30" t="s">
        <v>22</v>
      </c>
      <c r="C24" s="34">
        <f>SUM([1]Dyrehold!$E24:$E26)-F24</f>
        <v>10266966</v>
      </c>
      <c r="D24" s="11">
        <f>($F24+$C24)*Landbrug!D11*(1-Landbrug!D6)</f>
        <v>9723529.5356878359</v>
      </c>
      <c r="E24" s="22">
        <f>($F24+$C24)*Landbrug!E11*(1-Landbrug!E6)</f>
        <v>8686398.2742639016</v>
      </c>
      <c r="F24" s="33">
        <f>SUM([1]Dyrehold!E58:G61)</f>
        <v>475477</v>
      </c>
      <c r="G24" s="11">
        <f>($F24+$C24)*Landbrug!D11*Landbrug!D6</f>
        <v>637730.00302184175</v>
      </c>
      <c r="H24" s="22">
        <f>($F24+$C24)*Landbrug!E11*Landbrug!E6</f>
        <v>981800.42573609971</v>
      </c>
      <c r="I24" s="72"/>
      <c r="J24" s="68"/>
      <c r="K24" s="68"/>
      <c r="L24" s="89"/>
      <c r="M24" s="68"/>
      <c r="N24" s="68"/>
      <c r="O24" s="68"/>
      <c r="P24" s="68"/>
      <c r="Q24" s="68"/>
      <c r="R24" s="68"/>
      <c r="S24" s="68"/>
      <c r="T24" s="68"/>
      <c r="U24" s="70"/>
    </row>
    <row r="25" spans="1:21" x14ac:dyDescent="0.25">
      <c r="A25" s="60"/>
      <c r="B25" s="30" t="s">
        <v>3</v>
      </c>
      <c r="C25" s="34">
        <f>SUM([1]Dyrehold!$D24:$D26)-F25</f>
        <v>1184629</v>
      </c>
      <c r="D25" s="11">
        <f>($F25+$C25)*Landbrug!D12*(1-Landbrug!D7)</f>
        <v>1152879.1032080106</v>
      </c>
      <c r="E25" s="22">
        <f>($F25+$C25)*Landbrug!E12*(1-Landbrug!E7)</f>
        <v>1097180.5432080105</v>
      </c>
      <c r="F25" s="33">
        <f>SUM([1]Dyrehold!E36:G51)</f>
        <v>207835</v>
      </c>
      <c r="G25" s="11">
        <f>($F25+$C25)*Landbrug!D12*Landbrug!D7</f>
        <v>239584.89679198936</v>
      </c>
      <c r="H25" s="22">
        <f>($F25+$C25)*Landbrug!E12*Landbrug!E7</f>
        <v>295283.45679198933</v>
      </c>
      <c r="I25" s="72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70"/>
    </row>
    <row r="26" spans="1:21" ht="15.75" thickBot="1" x14ac:dyDescent="0.3">
      <c r="A26" s="60"/>
      <c r="B26" s="45" t="s">
        <v>4</v>
      </c>
      <c r="C26" s="47">
        <f>SUM([1]Dyrehold!$F24:$F26)-F26</f>
        <v>18212034</v>
      </c>
      <c r="D26" s="15">
        <f>($F26+$C26)*Landbrug!D13*(1-Landbrug!D8)</f>
        <v>17790568.192894831</v>
      </c>
      <c r="E26" s="23">
        <f>($F26+$C26)*Landbrug!E13*(1-Landbrug!E8)</f>
        <v>16939594.832894832</v>
      </c>
      <c r="F26" s="46">
        <f>SUM([1]Dyrehold!E65:G78)</f>
        <v>3062300</v>
      </c>
      <c r="G26" s="15">
        <f>($F26+$C26)*Landbrug!D13*Landbrug!D8</f>
        <v>3483765.8071051692</v>
      </c>
      <c r="H26" s="23">
        <f>($F26+$C26)*Landbrug!E13*Landbrug!E8</f>
        <v>4334739.167105169</v>
      </c>
      <c r="I26" s="72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70"/>
    </row>
    <row r="27" spans="1:21" ht="15.75" thickBot="1" x14ac:dyDescent="0.3">
      <c r="A27" s="63"/>
      <c r="B27" s="64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6"/>
    </row>
    <row r="28" spans="1:21" ht="15.75" thickBot="1" x14ac:dyDescent="0.3">
      <c r="B28" s="6"/>
      <c r="F28" s="83"/>
      <c r="G28" s="83"/>
      <c r="H28" s="83"/>
    </row>
    <row r="29" spans="1:21" ht="21.75" thickBot="1" x14ac:dyDescent="0.4">
      <c r="A29" s="437" t="s">
        <v>24</v>
      </c>
      <c r="B29" s="438"/>
      <c r="C29" s="438"/>
      <c r="D29" s="438"/>
      <c r="E29" s="438"/>
      <c r="F29" s="438"/>
      <c r="G29" s="438"/>
      <c r="H29" s="438"/>
      <c r="I29" s="438"/>
      <c r="J29" s="438"/>
      <c r="K29" s="438"/>
      <c r="L29" s="438"/>
      <c r="M29" s="438"/>
      <c r="N29" s="438"/>
      <c r="O29" s="438"/>
      <c r="P29" s="438"/>
      <c r="Q29" s="438"/>
      <c r="R29" s="438"/>
      <c r="S29" s="438"/>
      <c r="T29" s="438"/>
      <c r="U29" s="439"/>
    </row>
    <row r="30" spans="1:21" x14ac:dyDescent="0.25">
      <c r="A30" s="55"/>
      <c r="B30" s="52"/>
      <c r="C30" s="443" t="s">
        <v>7</v>
      </c>
      <c r="D30" s="444"/>
      <c r="E30" s="444"/>
      <c r="F30" s="444"/>
      <c r="G30" s="444"/>
      <c r="H30" s="444"/>
      <c r="I30" s="444"/>
      <c r="J30" s="444"/>
      <c r="K30" s="445"/>
      <c r="L30" s="443" t="s">
        <v>8</v>
      </c>
      <c r="M30" s="444"/>
      <c r="N30" s="444"/>
      <c r="O30" s="444"/>
      <c r="P30" s="444"/>
      <c r="Q30" s="444"/>
      <c r="R30" s="444"/>
      <c r="S30" s="444"/>
      <c r="T30" s="445"/>
      <c r="U30" s="52"/>
    </row>
    <row r="31" spans="1:21" ht="15.75" thickBot="1" x14ac:dyDescent="0.3">
      <c r="A31" s="55"/>
      <c r="B31" s="54"/>
      <c r="C31" s="153">
        <f>År1</f>
        <v>2019</v>
      </c>
      <c r="D31" s="153">
        <f>År1</f>
        <v>2019</v>
      </c>
      <c r="E31" s="153">
        <f>År1</f>
        <v>2019</v>
      </c>
      <c r="F31" s="154">
        <f>År2</f>
        <v>2030</v>
      </c>
      <c r="G31" s="154">
        <f>År2</f>
        <v>2030</v>
      </c>
      <c r="H31" s="154">
        <f>År2</f>
        <v>2030</v>
      </c>
      <c r="I31" s="154">
        <f>År3</f>
        <v>2050</v>
      </c>
      <c r="J31" s="154">
        <f>År3</f>
        <v>2050</v>
      </c>
      <c r="K31" s="154">
        <f>År3</f>
        <v>2050</v>
      </c>
      <c r="L31" s="153">
        <f>År1</f>
        <v>2019</v>
      </c>
      <c r="M31" s="153">
        <f>År1</f>
        <v>2019</v>
      </c>
      <c r="N31" s="153">
        <f>År1</f>
        <v>2019</v>
      </c>
      <c r="O31" s="154">
        <f>År2</f>
        <v>2030</v>
      </c>
      <c r="P31" s="154">
        <f>År2</f>
        <v>2030</v>
      </c>
      <c r="Q31" s="154">
        <f>År2</f>
        <v>2030</v>
      </c>
      <c r="R31" s="154">
        <f>År3</f>
        <v>2050</v>
      </c>
      <c r="S31" s="154">
        <f>År3</f>
        <v>2050</v>
      </c>
      <c r="T31" s="154">
        <f>År3</f>
        <v>2050</v>
      </c>
      <c r="U31" s="52"/>
    </row>
    <row r="32" spans="1:21" x14ac:dyDescent="0.25">
      <c r="A32" s="55"/>
      <c r="B32" s="59" t="s">
        <v>29</v>
      </c>
      <c r="C32" s="28" t="str">
        <f>Jordbund1</f>
        <v>JB1-10</v>
      </c>
      <c r="D32" s="24" t="str">
        <f>Organ6</f>
        <v>OC6</v>
      </c>
      <c r="E32" s="24" t="str">
        <f>Organ12</f>
        <v>OC12</v>
      </c>
      <c r="F32" s="24" t="str">
        <f>Jordbund1</f>
        <v>JB1-10</v>
      </c>
      <c r="G32" s="24" t="str">
        <f>Organ6</f>
        <v>OC6</v>
      </c>
      <c r="H32" s="24" t="str">
        <f>Organ12</f>
        <v>OC12</v>
      </c>
      <c r="I32" s="24" t="str">
        <f>Jordbund1</f>
        <v>JB1-10</v>
      </c>
      <c r="J32" s="24" t="str">
        <f>Organ6</f>
        <v>OC6</v>
      </c>
      <c r="K32" s="29" t="str">
        <f>Organ12</f>
        <v>OC12</v>
      </c>
      <c r="L32" s="28" t="str">
        <f>Jordbund1</f>
        <v>JB1-10</v>
      </c>
      <c r="M32" s="24" t="str">
        <f>Organ6</f>
        <v>OC6</v>
      </c>
      <c r="N32" s="24" t="str">
        <f>Organ12</f>
        <v>OC12</v>
      </c>
      <c r="O32" s="24" t="str">
        <f>Jordbund1</f>
        <v>JB1-10</v>
      </c>
      <c r="P32" s="24" t="str">
        <f>Organ6</f>
        <v>OC6</v>
      </c>
      <c r="Q32" s="24" t="str">
        <f>Organ12</f>
        <v>OC12</v>
      </c>
      <c r="R32" s="24" t="str">
        <f>Jordbund1</f>
        <v>JB1-10</v>
      </c>
      <c r="S32" s="24" t="str">
        <f>Organ6</f>
        <v>OC6</v>
      </c>
      <c r="T32" s="29" t="str">
        <f>Organ12</f>
        <v>OC12</v>
      </c>
      <c r="U32" s="52"/>
    </row>
    <row r="33" spans="1:21" x14ac:dyDescent="0.25">
      <c r="A33" s="55"/>
      <c r="B33" s="40" t="str">
        <f>[1]Afgrødefordeling!C2</f>
        <v>Korn</v>
      </c>
      <c r="C33" s="34">
        <f>VLOOKUP($B33,'[1]Afgrødefordeling - jordtype'!$O$4:$R$17,MATCH(C$5,'[1]Afgrødefordeling - jordtype'!$O$3:$R$3,0),FALSE)*(1-Landbrug!$C$5)*Arealanvendelse!J$36</f>
        <v>289324.40705334052</v>
      </c>
      <c r="D33" s="34">
        <f>VLOOKUP($B33,'[1]Afgrødefordeling - jordtype'!$O$4:$R$17,MATCH(D$5,'[1]Afgrødefordeling - jordtype'!$O$3:$R$3,0),FALSE)*(1-Landbrug!$C$5)*Arealanvendelse!K$36</f>
        <v>4501.5258539517936</v>
      </c>
      <c r="E33" s="34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273745.47494869685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4153.0281200981244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1796.6458108942293</v>
      </c>
      <c r="I33" s="11">
        <f>IF(Landbrug!$E$47&gt;0,SUMIF(Landbrug!$B$32:$B$45,$B33,IF($I$31=År2,Landbrug!$D$32:$D$45,Landbrug!$E$32:$E$45)),'[1]Afgrødefordeling - jordtype'!$P4)*(1-Landbrug!$E$5)*Arealanvendelse!P$36</f>
        <v>252961.21164089115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3287.676142844382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3" s="34">
        <f>VLOOKUP($B33,'[1]Afgrødefordeling - jordtype'!$O$4:$R$17,MATCH(C$5,'[1]Afgrødefordeling - jordtype'!$O$3:$R$3,0),FALSE)*(Landbrug!$C$5)*Arealanvendelse!J$36</f>
        <v>36993.456805099093</v>
      </c>
      <c r="M33" s="34">
        <f>VLOOKUP($B33,'[1]Afgrødefordeling - jordtype'!$O$4:$R$17,MATCH(D$5,'[1]Afgrødefordeling - jordtype'!$O$3:$R$3,0),FALSE)*(Landbrug!$C$5)*Arealanvendelse!K$36</f>
        <v>575.57191227389683</v>
      </c>
      <c r="N33" s="34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42723.282217426677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648.16045804999635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280.40136933031323</v>
      </c>
      <c r="R33" s="11">
        <f>IF(Landbrug!$E$47&gt;0,SUMIF(Landbrug!$B$32:$B$45,$B33,IF($R$31=År2,Landbrug!$D$32:$D$45,Landbrug!$E$32:$E$45)),'[1]Afgrødefordeling - jordtype'!$P4)*(Landbrug!$E$5)*Arealanvendelse!P$36</f>
        <v>53658.438832916305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697.38584848214157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3" s="52"/>
    </row>
    <row r="34" spans="1:21" x14ac:dyDescent="0.25">
      <c r="A34" s="55"/>
      <c r="B34" s="40" t="str">
        <f>[1]Afgrødefordeling!C3</f>
        <v>Bælgsæd</v>
      </c>
      <c r="C34" s="34">
        <f>VLOOKUP($B34,'[1]Afgrødefordeling - jordtype'!$O$4:$R$17,MATCH(C$5,'[1]Afgrødefordeling - jordtype'!$O$3:$R$3,0),FALSE)*(1-Landbrug!$C$5)*Arealanvendelse!J$36</f>
        <v>6305.778237432175</v>
      </c>
      <c r="D34" s="34">
        <f>VLOOKUP($B34,'[1]Afgrødefordeling - jordtype'!$O$4:$R$17,MATCH(D$5,'[1]Afgrødefordeling - jordtype'!$O$3:$R$3,0),FALSE)*(1-Landbrug!$C$5)*Arealanvendelse!K$36</f>
        <v>121.72845469783576</v>
      </c>
      <c r="E34" s="34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5966.2379545075337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112.30451890716081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32.633012539823845</v>
      </c>
      <c r="I34" s="11">
        <f>IF(Landbrug!$E$47&gt;0,SUMIF(Landbrug!$B$32:$B$45,$B34,IF($I$31=År2,Landbrug!$D$32:$D$45,Landbrug!$E$32:$E$45)),'[1]Afgrødefordeling - jordtype'!$P5)*(1-Landbrug!$E$5)*Arealanvendelse!P$36</f>
        <v>5513.2483274579954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88.904018192866161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4" s="34">
        <f>VLOOKUP($B34,'[1]Afgrødefordeling - jordtype'!$O$4:$R$17,MATCH(C$5,'[1]Afgrødefordeling - jordtype'!$O$3:$R$3,0),FALSE)*(Landbrug!$C$5)*Arealanvendelse!J$36</f>
        <v>806.26635417583145</v>
      </c>
      <c r="M34" s="34">
        <f>VLOOKUP($B34,'[1]Afgrødefordeling - jordtype'!$O$4:$R$17,MATCH(D$5,'[1]Afgrødefordeling - jordtype'!$O$3:$R$3,0),FALSE)*(Landbrug!$C$5)*Arealanvendelse!K$36</f>
        <v>15.564384549090725</v>
      </c>
      <c r="N34" s="34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931.14696399828563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17.527294858343019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5.0930135177759759</v>
      </c>
      <c r="R34" s="11">
        <f>IF(Landbrug!$E$47&gt;0,SUMIF(Landbrug!$B$32:$B$45,$B34,IF($R$31=År2,Landbrug!$D$32:$D$45,Landbrug!$E$32:$E$45)),'[1]Afgrødefordeling - jordtype'!$P5)*(Landbrug!$E$5)*Arealanvendelse!P$36</f>
        <v>1169.4769179456355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18.858428101517063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4" s="52"/>
    </row>
    <row r="35" spans="1:21" x14ac:dyDescent="0.25">
      <c r="A35" s="55"/>
      <c r="B35" s="40" t="str">
        <f>[1]Afgrødefordeling!C4</f>
        <v>Raps</v>
      </c>
      <c r="C35" s="34">
        <f>VLOOKUP($B35,'[1]Afgrødefordeling - jordtype'!$O$4:$R$17,MATCH(C$5,'[1]Afgrødefordeling - jordtype'!$O$3:$R$3,0),FALSE)*(1-Landbrug!$C$5)*Arealanvendelse!J$36</f>
        <v>40000.111452135221</v>
      </c>
      <c r="D35" s="34">
        <f>VLOOKUP($B35,'[1]Afgrødefordeling - jordtype'!$O$4:$R$17,MATCH(D$5,'[1]Afgrødefordeling - jordtype'!$O$3:$R$3,0),FALSE)*(1-Landbrug!$C$5)*Arealanvendelse!K$36</f>
        <v>491.68024413286827</v>
      </c>
      <c r="E35" s="34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37846.269587089562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453.61549532985964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159.40463041598321</v>
      </c>
      <c r="I35" s="11">
        <f>IF(Landbrug!$E$47&gt;0,SUMIF(Landbrug!$B$32:$B$45,$B35,IF($I$31=År2,Landbrug!$D$32:$D$45,Landbrug!$E$32:$E$45)),'[1]Afgrødefordeling - jordtype'!$P6)*(1-Landbrug!$E$5)*Arealanvendelse!P$36</f>
        <v>34972.772472795026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359.09721747448225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5" s="34">
        <f>VLOOKUP($B35,'[1]Afgrødefordeling - jordtype'!$O$4:$R$17,MATCH(C$5,'[1]Afgrødefordeling - jordtype'!$O$3:$R$3,0),FALSE)*(Landbrug!$C$5)*Arealanvendelse!J$36</f>
        <v>5114.4748217902852</v>
      </c>
      <c r="M35" s="34">
        <f>VLOOKUP($B35,'[1]Afgrødefordeling - jordtype'!$O$4:$R$17,MATCH(D$5,'[1]Afgrødefordeling - jordtype'!$O$3:$R$3,0),FALSE)*(Landbrug!$C$5)*Arealanvendelse!K$36</f>
        <v>62.866980558250944</v>
      </c>
      <c r="N35" s="34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5906.64323035502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70.795481930093715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24.878179313477148</v>
      </c>
      <c r="R35" s="11">
        <f>IF(Landbrug!$E$47&gt;0,SUMIF(Landbrug!$B$32:$B$45,$B35,IF($R$31=År2,Landbrug!$D$32:$D$45,Landbrug!$E$32:$E$45)),'[1]Afgrødefordeling - jordtype'!$P6)*(Landbrug!$E$5)*Arealanvendelse!P$36</f>
        <v>7418.4668881686412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76.17213704004169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5" s="52"/>
    </row>
    <row r="36" spans="1:21" x14ac:dyDescent="0.25">
      <c r="A36" s="55"/>
      <c r="B36" s="40" t="str">
        <f>[1]Afgrødefordeling!C5</f>
        <v>Græs</v>
      </c>
      <c r="C36" s="34">
        <f>VLOOKUP($B36,'[1]Afgrødefordeling - jordtype'!$O$4:$R$17,MATCH(C$5,'[1]Afgrødefordeling - jordtype'!$O$3:$R$3,0),FALSE)*(1-Landbrug!$C$5)*Arealanvendelse!J$36</f>
        <v>24301.063764662133</v>
      </c>
      <c r="D36" s="34">
        <f>VLOOKUP($B36,'[1]Afgrødefordeling - jordtype'!$O$4:$R$17,MATCH(D$5,'[1]Afgrødefordeling - jordtype'!$O$3:$R$3,0),FALSE)*(1-Landbrug!$C$5)*Arealanvendelse!K$36</f>
        <v>1445.7459335058077</v>
      </c>
      <c r="E36" s="34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22992.551198038291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1333.8196227610581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1171.3986150504631</v>
      </c>
      <c r="I36" s="11">
        <f>IF(Landbrug!$E$47&gt;0,SUMIF(Landbrug!$B$32:$B$45,$B36,IF($I$31=År2,Landbrug!$D$32:$D$45,Landbrug!$E$32:$E$45)),'[1]Afgrødefordeling - jordtype'!$P7)*(1-Landbrug!$E$5)*Arealanvendelse!P$36</f>
        <v>21246.830147095647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1055.8962823747061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6" s="34">
        <f>VLOOKUP($B36,'[1]Afgrødefordeling - jordtype'!$O$4:$R$17,MATCH(C$5,'[1]Afgrødefordeling - jordtype'!$O$3:$R$3,0),FALSE)*(Landbrug!$C$5)*Arealanvendelse!J$36</f>
        <v>3107.1708116565819</v>
      </c>
      <c r="M36" s="34">
        <f>VLOOKUP($B36,'[1]Afgrødefordeling - jordtype'!$O$4:$R$17,MATCH(D$5,'[1]Afgrødefordeling - jordtype'!$O$3:$R$3,0),FALSE)*(Landbrug!$C$5)*Arealanvendelse!K$36</f>
        <v>184.85526432768077</v>
      </c>
      <c r="N36" s="34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3588.4328459366125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208.16838043091659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182.81943703099714</v>
      </c>
      <c r="R36" s="11">
        <f>IF(Landbrug!$E$47&gt;0,SUMIF(Landbrug!$B$32:$B$45,$B36,IF($R$31=År2,Landbrug!$D$32:$D$45,Landbrug!$E$32:$E$45)),'[1]Afgrødefordeling - jordtype'!$P7)*(Landbrug!$E$5)*Arealanvendelse!P$36</f>
        <v>4506.9033645354402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223.97799929160431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6" s="52"/>
    </row>
    <row r="37" spans="1:21" x14ac:dyDescent="0.25">
      <c r="A37" s="55"/>
      <c r="B37" s="40" t="str">
        <f>[1]Afgrødefordeling!C6</f>
        <v>Grøntsager</v>
      </c>
      <c r="C37" s="34">
        <f>VLOOKUP($B37,'[1]Afgrødefordeling - jordtype'!$O$4:$R$17,MATCH(C$5,'[1]Afgrødefordeling - jordtype'!$O$3:$R$3,0),FALSE)*(1-Landbrug!$C$5)*Arealanvendelse!J$36</f>
        <v>3807.9830483618994</v>
      </c>
      <c r="D37" s="34">
        <f>VLOOKUP($B37,'[1]Afgrødefordeling - jordtype'!$O$4:$R$17,MATCH(D$5,'[1]Afgrødefordeling - jordtype'!$O$3:$R$3,0),FALSE)*(1-Landbrug!$C$5)*Arealanvendelse!K$36</f>
        <v>27.380862281417578</v>
      </c>
      <c r="E37" s="34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3602.9387869037678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25.261099168726226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5.5133034466362671</v>
      </c>
      <c r="I37" s="11">
        <f>IF(Landbrug!$E$47&gt;0,SUMIF(Landbrug!$B$32:$B$45,$B37,IF($I$31=År2,Landbrug!$D$32:$D$45,Landbrug!$E$32:$E$45)),'[1]Afgrødefordeling - jordtype'!$P8)*(1-Landbrug!$E$5)*Arealanvendelse!P$36</f>
        <v>3329.3838415920754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19.997532084392677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7" s="34">
        <f>VLOOKUP($B37,'[1]Afgrødefordeling - jordtype'!$O$4:$R$17,MATCH(C$5,'[1]Afgrødefordeling - jordtype'!$O$3:$R$3,0),FALSE)*(Landbrug!$C$5)*Arealanvendelse!J$36</f>
        <v>486.89447893054626</v>
      </c>
      <c r="M37" s="34">
        <f>VLOOKUP($B37,'[1]Afgrødefordeling - jordtype'!$O$4:$R$17,MATCH(D$5,'[1]Afgrødefordeling - jordtype'!$O$3:$R$3,0),FALSE)*(Landbrug!$C$5)*Arealanvendelse!K$36</f>
        <v>3.5009585136978965</v>
      </c>
      <c r="N37" s="34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562.30836558613726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3.9424836852925322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0.86045776334785684</v>
      </c>
      <c r="R37" s="11">
        <f>IF(Landbrug!$E$47&gt;0,SUMIF(Landbrug!$B$32:$B$45,$B37,IF($R$31=År2,Landbrug!$D$32:$D$45,Landbrug!$E$32:$E$45)),'[1]Afgrødefordeling - jordtype'!$P8)*(Landbrug!$E$5)*Arealanvendelse!P$36</f>
        <v>706.23293609528866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4.2419007451742043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7" s="52"/>
    </row>
    <row r="38" spans="1:21" x14ac:dyDescent="0.25">
      <c r="A38" s="55"/>
      <c r="B38" s="40" t="str">
        <f>[1]Afgrødefordeling!C7</f>
        <v>Kartofler</v>
      </c>
      <c r="C38" s="34">
        <f>VLOOKUP($B38,'[1]Afgrødefordeling - jordtype'!$O$4:$R$17,MATCH(C$5,'[1]Afgrødefordeling - jordtype'!$O$3:$R$3,0),FALSE)*(1-Landbrug!$C$5)*Arealanvendelse!J$36</f>
        <v>2442.8304745575424</v>
      </c>
      <c r="D38" s="34">
        <f>VLOOKUP($B38,'[1]Afgrødefordeling - jordtype'!$O$4:$R$17,MATCH(D$5,'[1]Afgrødefordeling - jordtype'!$O$3:$R$3,0),FALSE)*(1-Landbrug!$C$5)*Arealanvendelse!K$36</f>
        <v>46.549971840812717</v>
      </c>
      <c r="E38" s="34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2311.2940774250665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42.946180543416538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31.425171951535479</v>
      </c>
      <c r="I38" s="11">
        <f>IF(Landbrug!$E$47&gt;0,SUMIF(Landbrug!$B$32:$B$45,$B38,IF($I$31=År2,Landbrug!$D$32:$D$45,Landbrug!$E$32:$E$45)),'[1]Afgrødefordeling - jordtype'!$P9)*(1-Landbrug!$E$5)*Arealanvendelse!P$36</f>
        <v>2135.807908398976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33.997634765724179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8" s="34">
        <f>VLOOKUP($B38,'[1]Afgrødefordeling - jordtype'!$O$4:$R$17,MATCH(C$5,'[1]Afgrødefordeling - jordtype'!$O$3:$R$3,0),FALSE)*(Landbrug!$C$5)*Arealanvendelse!J$36</f>
        <v>312.34400361551104</v>
      </c>
      <c r="M38" s="34">
        <f>VLOOKUP($B38,'[1]Afgrødefordeling - jordtype'!$O$4:$R$17,MATCH(D$5,'[1]Afgrødefordeling - jordtype'!$O$3:$R$3,0),FALSE)*(Landbrug!$C$5)*Arealanvendelse!K$36</f>
        <v>5.9519498894339895</v>
      </c>
      <c r="N38" s="34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360.72219705477914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6.7025830905910215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4.9045066051529362</v>
      </c>
      <c r="R38" s="11">
        <f>IF(Landbrug!$E$47&gt;0,SUMIF(Landbrug!$B$32:$B$45,$B38,IF($R$31=År2,Landbrug!$D$32:$D$45,Landbrug!$E$32:$E$45)),'[1]Afgrødefordeling - jordtype'!$P9)*(Landbrug!$E$5)*Arealanvendelse!P$36</f>
        <v>453.05016238766149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7.211619495759674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8" s="52"/>
    </row>
    <row r="39" spans="1:21" x14ac:dyDescent="0.25">
      <c r="A39" s="55"/>
      <c r="B39" s="40" t="str">
        <f>[1]Afgrødefordeling!C8</f>
        <v>Roer</v>
      </c>
      <c r="C39" s="34">
        <f>VLOOKUP($B39,'[1]Afgrødefordeling - jordtype'!$O$4:$R$17,MATCH(C$5,'[1]Afgrødefordeling - jordtype'!$O$3:$R$3,0),FALSE)*(1-Landbrug!$C$5)*Arealanvendelse!J$36</f>
        <v>25394.708101233733</v>
      </c>
      <c r="D39" s="34">
        <f>VLOOKUP($B39,'[1]Afgrødefordeling - jordtype'!$O$4:$R$17,MATCH(D$5,'[1]Afgrødefordeling - jordtype'!$O$3:$R$3,0),FALSE)*(1-Landbrug!$C$5)*Arealanvendelse!K$36</f>
        <v>130.05082769586514</v>
      </c>
      <c r="E39" s="34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24027.307274751001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119.98259301094923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36.188775432258431</v>
      </c>
      <c r="I39" s="11">
        <f>IF(Landbrug!$E$47&gt;0,SUMIF(Landbrug!$B$32:$B$45,$B39,IF($I$31=År2,Landbrug!$D$32:$D$45,Landbrug!$E$32:$E$45)),'[1]Afgrødefordeling - jordtype'!$P10)*(1-Landbrug!$E$5)*Arealanvendelse!P$36</f>
        <v>22203.021846582469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94.982238788545629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9" s="34">
        <f>VLOOKUP($B39,'[1]Afgrødefordeling - jordtype'!$O$4:$R$17,MATCH(C$5,'[1]Afgrødefordeling - jordtype'!$O$3:$R$3,0),FALSE)*(Landbrug!$C$5)*Arealanvendelse!J$36</f>
        <v>3247.0058326185153</v>
      </c>
      <c r="M39" s="34">
        <f>VLOOKUP($B39,'[1]Afgrødefordeling - jordtype'!$O$4:$R$17,MATCH(D$5,'[1]Afgrødefordeling - jordtype'!$O$3:$R$3,0),FALSE)*(Landbrug!$C$5)*Arealanvendelse!K$36</f>
        <v>16.628495763053266</v>
      </c>
      <c r="N39" s="34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3749.9265688917749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18.725607001708841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5.6479591715085418</v>
      </c>
      <c r="R39" s="11">
        <f>IF(Landbrug!$E$47&gt;0,SUMIF(Landbrug!$B$32:$B$45,$B39,IF($R$31=År2,Landbrug!$D$32:$D$45,Landbrug!$E$32:$E$45)),'[1]Afgrødefordeling - jordtype'!$P10)*(Landbrug!$E$5)*Arealanvendelse!P$36</f>
        <v>4709.7319068508268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20.147747621812712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9" s="52"/>
    </row>
    <row r="40" spans="1:21" x14ac:dyDescent="0.25">
      <c r="A40" s="55"/>
      <c r="B40" s="40" t="str">
        <f>[1]Afgrødefordeling!C9</f>
        <v>Majs</v>
      </c>
      <c r="C40" s="34">
        <f>VLOOKUP($B40,'[1]Afgrødefordeling - jordtype'!$O$4:$R$17,MATCH(C$5,'[1]Afgrødefordeling - jordtype'!$O$3:$R$3,0),FALSE)*(1-Landbrug!$C$5)*Arealanvendelse!J$36</f>
        <v>7182.5684723440072</v>
      </c>
      <c r="D40" s="34">
        <f>VLOOKUP($B40,'[1]Afgrødefordeling - jordtype'!$O$4:$R$17,MATCH(D$5,'[1]Afgrødefordeling - jordtype'!$O$3:$R$3,0),FALSE)*(1-Landbrug!$C$5)*Arealanvendelse!K$36</f>
        <v>138.65425138323147</v>
      </c>
      <c r="E40" s="34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6795.8166330946769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127.91995950888544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37.170486845663731</v>
      </c>
      <c r="I40" s="11">
        <f>IF(Landbrug!$E$47&gt;0,SUMIF(Landbrug!$B$32:$B$45,$B40,IF($I$31=År2,Landbrug!$D$32:$D$45,Landbrug!$E$32:$E$45)),'[1]Afgrødefordeling - jordtype'!$P11)*(1-Landbrug!$E$5)*Arealanvendelse!P$36</f>
        <v>6279.8408262972243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101.26572392701387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0" s="34">
        <f>VLOOKUP($B40,'[1]Afgrødefordeling - jordtype'!$O$4:$R$17,MATCH(C$5,'[1]Afgrødefordeling - jordtype'!$O$3:$R$3,0),FALSE)*(Landbrug!$C$5)*Arealanvendelse!J$36</f>
        <v>918.37408132089615</v>
      </c>
      <c r="M40" s="34">
        <f>VLOOKUP($B40,'[1]Afgrødefordeling - jordtype'!$O$4:$R$17,MATCH(D$5,'[1]Afgrødefordeling - jordtype'!$O$3:$R$3,0),FALSE)*(Landbrug!$C$5)*Arealanvendelse!K$36</f>
        <v>17.728542543744936</v>
      </c>
      <c r="N40" s="34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1060.6187808876086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19.964386744161317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5.8011742475891381</v>
      </c>
      <c r="R40" s="11">
        <f>IF(Landbrug!$E$47&gt;0,SUMIF(Landbrug!$B$32:$B$45,$B40,IF($R$31=År2,Landbrug!$D$32:$D$45,Landbrug!$E$32:$E$45)),'[1]Afgrødefordeling - jordtype'!$P11)*(Landbrug!$E$5)*Arealanvendelse!P$36</f>
        <v>1332.0874480024415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21.480608105730209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0" s="52"/>
    </row>
    <row r="41" spans="1:21" x14ac:dyDescent="0.25">
      <c r="A41" s="55"/>
      <c r="B41" s="40" t="str">
        <f>[1]Afgrødefordeling!C10</f>
        <v>Frugt</v>
      </c>
      <c r="C41" s="34">
        <f>VLOOKUP($B41,'[1]Afgrødefordeling - jordtype'!$O$4:$R$17,MATCH(C$5,'[1]Afgrødefordeling - jordtype'!$O$3:$R$3,0),FALSE)*(1-Landbrug!$C$5)*Arealanvendelse!J$36</f>
        <v>1671.2488811855812</v>
      </c>
      <c r="D41" s="34">
        <f>VLOOKUP($B41,'[1]Afgrødefordeling - jordtype'!$O$4:$R$17,MATCH(D$5,'[1]Afgrødefordeling - jordtype'!$O$3:$R$3,0),FALSE)*(1-Landbrug!$C$5)*Arealanvendelse!K$36</f>
        <v>29.910572274561464</v>
      </c>
      <c r="E41" s="34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1581.2589867445231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27.594964857400839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13.488257970641145</v>
      </c>
      <c r="I41" s="11">
        <f>IF(Landbrug!$E$47&gt;0,SUMIF(Landbrug!$B$32:$B$45,$B41,IF($I$31=År2,Landbrug!$D$32:$D$45,Landbrug!$E$32:$E$45)),'[1]Afgrødefordeling - jordtype'!$P12)*(1-Landbrug!$E$5)*Arealanvendelse!P$36</f>
        <v>1461.2011003283492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21.845098323620871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1" s="34">
        <f>VLOOKUP($B41,'[1]Afgrødefordeling - jordtype'!$O$4:$R$17,MATCH(C$5,'[1]Afgrødefordeling - jordtype'!$O$3:$R$3,0),FALSE)*(Landbrug!$C$5)*Arealanvendelse!J$36</f>
        <v>213.68841269347433</v>
      </c>
      <c r="M41" s="34">
        <f>VLOOKUP($B41,'[1]Afgrødefordeling - jordtype'!$O$4:$R$17,MATCH(D$5,'[1]Afgrødefordeling - jordtype'!$O$3:$R$3,0),FALSE)*(Landbrug!$C$5)*Arealanvendelse!K$36</f>
        <v>3.8244110641201035</v>
      </c>
      <c r="N41" s="34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246.78608463642848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4.3067286193631373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2.1051038451289652</v>
      </c>
      <c r="R41" s="11">
        <f>IF(Landbrug!$E$47&gt;0,SUMIF(Landbrug!$B$32:$B$45,$B41,IF($R$31=År2,Landbrug!$D$32:$D$45,Landbrug!$E$32:$E$45)),'[1]Afgrødefordeling - jordtype'!$P12)*(Landbrug!$E$5)*Arealanvendelse!P$36</f>
        <v>309.95174855449835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4.6338087353135169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1" s="52"/>
    </row>
    <row r="42" spans="1:21" x14ac:dyDescent="0.25">
      <c r="A42" s="55"/>
      <c r="B42" s="40" t="str">
        <f>[1]Afgrødefordeling!C11</f>
        <v>Øvrige</v>
      </c>
      <c r="C42" s="34">
        <f>VLOOKUP($B42,'[1]Afgrødefordeling - jordtype'!$O$4:$R$17,MATCH(C$5,'[1]Afgrødefordeling - jordtype'!$O$3:$R$3,0),FALSE)*(1-Landbrug!$C$5)*Arealanvendelse!J$36</f>
        <v>11933.527586925724</v>
      </c>
      <c r="D42" s="34">
        <f>VLOOKUP($B42,'[1]Afgrødefordeling - jordtype'!$O$4:$R$17,MATCH(D$5,'[1]Afgrødefordeling - jordtype'!$O$3:$R$3,0),FALSE)*(1-Landbrug!$C$5)*Arealanvendelse!K$36</f>
        <v>213.57599301787013</v>
      </c>
      <c r="E42" s="34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11290.9560944649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197.0414329626538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96.312703873303633</v>
      </c>
      <c r="I42" s="11">
        <f>IF(Landbrug!$E$47&gt;0,SUMIF(Landbrug!$B$32:$B$45,$B42,IF($I$31=År2,Landbrug!$D$32:$D$45,Landbrug!$E$32:$E$45)),'[1]Afgrødefordeling - jordtype'!$P13)*(1-Landbrug!$E$5)*Arealanvendelse!P$36</f>
        <v>10433.684555973852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155.98459715892352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2" s="34">
        <f>VLOOKUP($B42,'[1]Afgrødefordeling - jordtype'!$O$4:$R$17,MATCH(C$5,'[1]Afgrødefordeling - jordtype'!$O$3:$R$3,0),FALSE)*(Landbrug!$C$5)*Arealanvendelse!J$36</f>
        <v>1525.8389080116776</v>
      </c>
      <c r="M42" s="34">
        <f>VLOOKUP($B42,'[1]Afgrødefordeling - jordtype'!$O$4:$R$17,MATCH(D$5,'[1]Afgrødefordeling - jordtype'!$O$3:$R$3,0),FALSE)*(Landbrug!$C$5)*Arealanvendelse!K$36</f>
        <v>27.308149881928532</v>
      </c>
      <c r="N42" s="34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1762.172338442499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30.752131156021115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15.031462454215021</v>
      </c>
      <c r="R42" s="11">
        <f>IF(Landbrug!$E$47&gt;0,SUMIF(Landbrug!$B$32:$B$45,$B42,IF($R$31=År2,Landbrug!$D$32:$D$45,Landbrug!$E$32:$E$45)),'[1]Afgrødefordeling - jordtype'!$P13)*(Landbrug!$E$5)*Arealanvendelse!P$36</f>
        <v>2213.2058149035443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33.087641821589841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2" s="52"/>
    </row>
    <row r="43" spans="1:21" x14ac:dyDescent="0.25">
      <c r="A43" s="55"/>
      <c r="B43" s="40" t="str">
        <f>[1]Afgrødefordeling!C12</f>
        <v>Frø</v>
      </c>
      <c r="C43" s="34">
        <f>VLOOKUP($B43,'[1]Afgrødefordeling - jordtype'!$O$4:$R$17,MATCH(C$5,'[1]Afgrødefordeling - jordtype'!$O$3:$R$3,0),FALSE)*(1-Landbrug!$C$5)*Arealanvendelse!J$36</f>
        <v>36921.98237863728</v>
      </c>
      <c r="D43" s="34">
        <f>VLOOKUP($B43,'[1]Afgrødefordeling - jordtype'!$O$4:$R$17,MATCH(D$5,'[1]Afgrødefordeling - jordtype'!$O$3:$R$3,0),FALSE)*(1-Landbrug!$C$5)*Arealanvendelse!K$36</f>
        <v>1550.5515811624623</v>
      </c>
      <c r="E43" s="34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34933.885133389689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1430.5114592593595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901.3113802822603</v>
      </c>
      <c r="I43" s="11">
        <f>IF(Landbrug!$E$47&gt;0,SUMIF(Landbrug!$B$32:$B$45,$B43,IF($I$31=År2,Landbrug!$D$32:$D$45,Landbrug!$E$32:$E$45)),'[1]Afgrødefordeling - jordtype'!$P14)*(1-Landbrug!$E$5)*Arealanvendelse!P$36</f>
        <v>32281.512278228936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1132.4407783112672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3" s="34">
        <f>VLOOKUP($B43,'[1]Afgrødefordeling - jordtype'!$O$4:$R$17,MATCH(C$5,'[1]Afgrødefordeling - jordtype'!$O$3:$R$3,0),FALSE)*(Landbrug!$C$5)*Arealanvendelse!J$36</f>
        <v>4720.9005772918872</v>
      </c>
      <c r="M43" s="34">
        <f>VLOOKUP($B43,'[1]Afgrødefordeling - jordtype'!$O$4:$R$17,MATCH(D$5,'[1]Afgrødefordeling - jordtype'!$O$3:$R$3,0),FALSE)*(Landbrug!$C$5)*Arealanvendelse!K$36</f>
        <v>198.25587314255372</v>
      </c>
      <c r="N43" s="34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5452.1092404712235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223.25901387284802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140.66709403249149</v>
      </c>
      <c r="R43" s="11">
        <f>IF(Landbrug!$E$47&gt;0,SUMIF(Landbrug!$B$32:$B$45,$B43,IF($R$31=År2,Landbrug!$D$32:$D$45,Landbrug!$E$32:$E$45)),'[1]Afgrødefordeling - jordtype'!$P14)*(Landbrug!$E$5)*Arealanvendelse!P$36</f>
        <v>6847.5935135637137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240.21471055087486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3" s="52"/>
    </row>
    <row r="44" spans="1:21" x14ac:dyDescent="0.25">
      <c r="A44" s="55"/>
      <c r="B44" s="41" t="str">
        <f>[1]Afgrødefordeling!C13</f>
        <v>Juletræer</v>
      </c>
      <c r="C44" s="34">
        <f>VLOOKUP($B44,'[1]Afgrødefordeling - jordtype'!$O$4:$R$17,MATCH(C$5,'[1]Afgrødefordeling - jordtype'!$O$3:$R$3,0),FALSE)*(1-Landbrug!$C$5)*Arealanvendelse!J$36</f>
        <v>2618.8374863482281</v>
      </c>
      <c r="D44" s="34">
        <f>VLOOKUP($B44,'[1]Afgrødefordeling - jordtype'!$O$4:$R$17,MATCH(D$5,'[1]Afgrødefordeling - jordtype'!$O$3:$R$3,0),FALSE)*(1-Landbrug!$C$5)*Arealanvendelse!K$36</f>
        <v>46.869696544048971</v>
      </c>
      <c r="E44" s="34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2477.8238338588517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43.241152898637949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21.136023483224019</v>
      </c>
      <c r="I44" s="11">
        <f>IF(Landbrug!$E$47&gt;0,SUMIF(Landbrug!$B$32:$B$45,$B44,IF($I$31=År2,Landbrug!$D$32:$D$45,Landbrug!$E$32:$E$45)),'[1]Afgrødefordeling - jordtype'!$P15)*(1-Landbrug!$E$5)*Arealanvendelse!P$36</f>
        <v>2289.6938090504755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34.231144760604046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4" s="34">
        <f>VLOOKUP($B44,'[1]Afgrødefordeling - jordtype'!$O$4:$R$17,MATCH(C$5,'[1]Afgrødefordeling - jordtype'!$O$3:$R$3,0),FALSE)*(Landbrug!$C$5)*Arealanvendelse!J$36</f>
        <v>334.84852666763254</v>
      </c>
      <c r="M44" s="34">
        <f>VLOOKUP($B44,'[1]Afgrødefordeling - jordtype'!$O$4:$R$17,MATCH(D$5,'[1]Afgrødefordeling - jordtype'!$O$3:$R$3,0),FALSE)*(Landbrug!$C$5)*Arealanvendelse!K$36</f>
        <v>5.9928303741437112</v>
      </c>
      <c r="N44" s="34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386.71239025542775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6.74861923851575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3.2986857459366963</v>
      </c>
      <c r="R44" s="11">
        <f>IF(Landbrug!$E$47&gt;0,SUMIF(Landbrug!$B$32:$B$45,$B44,IF($R$31=År2,Landbrug!$D$32:$D$45,Landbrug!$E$32:$E$45)),'[1]Afgrødefordeling - jordtype'!$P15)*(Landbrug!$E$5)*Arealanvendelse!P$36</f>
        <v>485.6926261622221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7.261151918916009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4" s="52"/>
    </row>
    <row r="45" spans="1:21" x14ac:dyDescent="0.25">
      <c r="A45" s="55"/>
      <c r="B45" s="41" t="str">
        <f>[1]Afgrødefordeling!C14</f>
        <v>Pil &amp; poppel</v>
      </c>
      <c r="C45" s="34">
        <f>VLOOKUP($B45,'[1]Afgrødefordeling - jordtype'!$O$4:$R$17,MATCH(C$5,'[1]Afgrødefordeling - jordtype'!$O$3:$R$3,0),FALSE)*(1-Landbrug!$C$5)*Arealanvendelse!J$36</f>
        <v>1244.8278589023382</v>
      </c>
      <c r="D45" s="34">
        <f>VLOOKUP($B45,'[1]Afgrødefordeling - jordtype'!$O$4:$R$17,MATCH(D$5,'[1]Afgrødefordeling - jordtype'!$O$3:$R$3,0),FALSE)*(1-Landbrug!$C$5)*Arealanvendelse!K$36</f>
        <v>99.475001424808809</v>
      </c>
      <c r="E45" s="34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1177.7989867331366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91.773876584838561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64.473732983194068</v>
      </c>
      <c r="I45" s="11">
        <f>IF(Landbrug!$E$47&gt;0,SUMIF(Landbrug!$B$32:$B$45,$B45,IF($I$31=År2,Landbrug!$D$32:$D$45,Landbrug!$E$32:$E$45)),'[1]Afgrødefordeling - jordtype'!$P16)*(1-Landbrug!$E$5)*Arealanvendelse!P$36</f>
        <v>1088.3740043895341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72.651274168880292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5" s="34">
        <f>VLOOKUP($B45,'[1]Afgrødefordeling - jordtype'!$O$4:$R$17,MATCH(C$5,'[1]Afgrødefordeling - jordtype'!$O$3:$R$3,0),FALSE)*(Landbrug!$C$5)*Arealanvendelse!J$36</f>
        <v>159.16557506189815</v>
      </c>
      <c r="M45" s="34">
        <f>VLOOKUP($B45,'[1]Afgrødefordeling - jordtype'!$O$4:$R$17,MATCH(D$5,'[1]Afgrødefordeling - jordtype'!$O$3:$R$3,0),FALSE)*(Landbrug!$C$5)*Arealanvendelse!K$36</f>
        <v>12.71902431555799</v>
      </c>
      <c r="N45" s="34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183.81833896991151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14.323090565263824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10.062374511827977</v>
      </c>
      <c r="R45" s="11">
        <f>IF(Landbrug!$E$47&gt;0,SUMIF(Landbrug!$B$32:$B$45,$B45,IF($R$31=År2,Landbrug!$D$32:$D$45,Landbrug!$E$32:$E$45)),'[1]Afgrødefordeling - jordtype'!$P16)*(Landbrug!$E$5)*Arealanvendelse!P$36</f>
        <v>230.86721305232541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15.410876338853395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5" s="52"/>
    </row>
    <row r="46" spans="1:21" x14ac:dyDescent="0.25">
      <c r="A46" s="55"/>
      <c r="B46" s="41" t="str">
        <f>[1]Afgrødefordeling!C15</f>
        <v>Permanent græs</v>
      </c>
      <c r="C46" s="34">
        <f>VLOOKUP($B46,'[1]Afgrødefordeling - jordtype'!$O$4:$R$17,MATCH(C$5,'[1]Afgrødefordeling - jordtype'!$O$3:$R$3,0),FALSE)*(1-Landbrug!$C$5)*Arealanvendelse!J$36</f>
        <v>31005.186770121774</v>
      </c>
      <c r="D46" s="34">
        <f>VLOOKUP($B46,'[1]Afgrødefordeling - jordtype'!$O$4:$R$17,MATCH(D$5,'[1]Afgrødefordeling - jordtype'!$O$3:$R$3,0),FALSE)*(1-Landbrug!$C$5)*Arealanvendelse!K$36</f>
        <v>2905.4159151668305</v>
      </c>
      <c r="E46" s="34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29335.684689384874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2659.7407767838267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2242.1606682189854</v>
      </c>
      <c r="I46" s="11">
        <f>IF(Landbrug!$E$47&gt;0,SUMIF(Landbrug!$B$32:$B$45,$B46,IF($I$31=År2,Landbrug!$D$32:$D$45,Landbrug!$E$32:$E$45)),'[1]Afgrødefordeling - jordtype'!$P17)*(1-Landbrug!$E$5)*Arealanvendelse!P$36</f>
        <v>27108.358027589973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2105.5398723801477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6" s="34">
        <f>VLOOKUP($B46,'[1]Afgrødefordeling - jordtype'!$O$4:$R$17,MATCH(C$5,'[1]Afgrødefordeling - jordtype'!$O$3:$R$3,0),FALSE)*(Landbrug!$C$5)*Arealanvendelse!J$36</f>
        <v>3964.3701310794295</v>
      </c>
      <c r="M46" s="34">
        <f>VLOOKUP($B46,'[1]Afgrødefordeling - jordtype'!$O$4:$R$17,MATCH(D$5,'[1]Afgrødefordeling - jordtype'!$O$3:$R$3,0),FALSE)*(Landbrug!$C$5)*Arealanvendelse!K$36</f>
        <v>371.49087853744766</v>
      </c>
      <c r="N46" s="34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4578.4016567248073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415.10405186799608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349.9325898376452</v>
      </c>
      <c r="R46" s="11">
        <f>IF(Landbrug!$E$47&gt;0,SUMIF(Landbrug!$B$32:$B$45,$B46,IF($R$31=År2,Landbrug!$D$32:$D$45,Landbrug!$E$32:$E$45)),'[1]Afgrødefordeling - jordtype'!$P17)*(Landbrug!$E$5)*Arealanvendelse!P$36</f>
        <v>5750.2577634281761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446.6296698988192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6" s="52"/>
    </row>
    <row r="47" spans="1:21" ht="15.75" thickBot="1" x14ac:dyDescent="0.3">
      <c r="A47" s="55"/>
      <c r="B47" s="43" t="s">
        <v>30</v>
      </c>
      <c r="C47" s="35">
        <f t="shared" ref="C47:T47" si="3">SUM(C33:C46)</f>
        <v>484155.06156618823</v>
      </c>
      <c r="D47" s="36">
        <f t="shared" si="3"/>
        <v>11749.115159080215</v>
      </c>
      <c r="E47" s="36">
        <f t="shared" si="3"/>
        <v>9145.6565752439074</v>
      </c>
      <c r="F47" s="37">
        <f t="shared" si="3"/>
        <v>458085.29818508268</v>
      </c>
      <c r="G47" s="37">
        <f t="shared" si="3"/>
        <v>10818.781252674898</v>
      </c>
      <c r="H47" s="37">
        <f t="shared" si="3"/>
        <v>6609.2625733882014</v>
      </c>
      <c r="I47" s="37">
        <f t="shared" si="3"/>
        <v>423304.94078667171</v>
      </c>
      <c r="J47" s="37">
        <f t="shared" si="3"/>
        <v>8564.5095555555563</v>
      </c>
      <c r="K47" s="38">
        <f t="shared" si="3"/>
        <v>0</v>
      </c>
      <c r="L47" s="35">
        <f t="shared" si="3"/>
        <v>61904.799320013248</v>
      </c>
      <c r="M47" s="36">
        <f t="shared" si="3"/>
        <v>1502.2596557346014</v>
      </c>
      <c r="N47" s="36">
        <f t="shared" si="3"/>
        <v>1169.3774988301655</v>
      </c>
      <c r="O47" s="37">
        <f t="shared" si="3"/>
        <v>71493.08121963717</v>
      </c>
      <c r="P47" s="37">
        <f t="shared" si="3"/>
        <v>1688.4803111111114</v>
      </c>
      <c r="Q47" s="37">
        <f t="shared" si="3"/>
        <v>1031.5034074074074</v>
      </c>
      <c r="R47" s="37">
        <f t="shared" si="3"/>
        <v>89791.957136566692</v>
      </c>
      <c r="S47" s="37">
        <f t="shared" si="3"/>
        <v>1816.7141481481481</v>
      </c>
      <c r="T47" s="38">
        <f t="shared" si="3"/>
        <v>0</v>
      </c>
      <c r="U47" s="52"/>
    </row>
    <row r="48" spans="1:21" ht="15.75" thickBot="1" x14ac:dyDescent="0.3">
      <c r="A48" s="55"/>
      <c r="B48" s="58"/>
      <c r="C48" s="51"/>
      <c r="D48" s="51"/>
      <c r="E48" s="51"/>
      <c r="F48" s="51"/>
      <c r="G48" s="51"/>
      <c r="H48" s="51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2"/>
    </row>
    <row r="49" spans="1:21" x14ac:dyDescent="0.25">
      <c r="A49" s="55"/>
      <c r="B49" s="48"/>
      <c r="C49" s="440" t="s">
        <v>7</v>
      </c>
      <c r="D49" s="441"/>
      <c r="E49" s="442"/>
      <c r="F49" s="446" t="s">
        <v>8</v>
      </c>
      <c r="G49" s="441"/>
      <c r="H49" s="442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2"/>
    </row>
    <row r="50" spans="1:21" x14ac:dyDescent="0.25">
      <c r="A50" s="55"/>
      <c r="B50" s="31" t="s">
        <v>26</v>
      </c>
      <c r="C50" s="28">
        <f>År1</f>
        <v>2019</v>
      </c>
      <c r="D50" s="24">
        <f>År2</f>
        <v>2030</v>
      </c>
      <c r="E50" s="29">
        <f>År3</f>
        <v>2050</v>
      </c>
      <c r="F50" s="32">
        <f>År1</f>
        <v>2019</v>
      </c>
      <c r="G50" s="24">
        <f>År2</f>
        <v>2030</v>
      </c>
      <c r="H50" s="29">
        <f>År3</f>
        <v>2050</v>
      </c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2"/>
    </row>
    <row r="51" spans="1:21" x14ac:dyDescent="0.25">
      <c r="A51" s="55"/>
      <c r="B51" s="30" t="s">
        <v>22</v>
      </c>
      <c r="C51" s="34">
        <f>SUM([1]Dyrehold!$E$22:$E$23)-F51</f>
        <v>1541102</v>
      </c>
      <c r="D51" s="11">
        <f>SUM([1]Dyrehold!$E$22:$E$23)-G51</f>
        <v>1532729.9904525669</v>
      </c>
      <c r="E51" s="22">
        <f>SUM([1]Dyrehold!$E$22:$E$23)-H51</f>
        <v>1517250.402620316</v>
      </c>
      <c r="F51" s="49">
        <f>SUM([1]Dyrehold!C58:D61)</f>
        <v>15447</v>
      </c>
      <c r="G51" s="11">
        <f>$F51/Landbrug!$C6*Landbrug!D6</f>
        <v>23819.009547433063</v>
      </c>
      <c r="H51" s="22">
        <f>$F51/Landbrug!$C6*Landbrug!E6</f>
        <v>39298.597379684077</v>
      </c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2"/>
    </row>
    <row r="52" spans="1:21" x14ac:dyDescent="0.25">
      <c r="A52" s="55"/>
      <c r="B52" s="30" t="s">
        <v>3</v>
      </c>
      <c r="C52" s="34">
        <f>SUM([1]Dyrehold!$D$22:$D$23)-F52</f>
        <v>82455</v>
      </c>
      <c r="D52" s="11">
        <f>SUM([1]Dyrehold!$D$22:$D$23)-G52</f>
        <v>80080.142534636136</v>
      </c>
      <c r="E52" s="22">
        <f>SUM([1]Dyrehold!$D$22:$D$23)-H52</f>
        <v>75689.10421630925</v>
      </c>
      <c r="F52" s="49">
        <f>SUM([1]Dyrehold!C36:D51)</f>
        <v>16513</v>
      </c>
      <c r="G52" s="11">
        <f>$F52/Landbrug!$C7*Landbrug!D7</f>
        <v>18887.857465363868</v>
      </c>
      <c r="H52" s="22">
        <f>$F52/Landbrug!$C7*Landbrug!E7</f>
        <v>23278.89578369075</v>
      </c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2"/>
    </row>
    <row r="53" spans="1:21" ht="15.75" thickBot="1" x14ac:dyDescent="0.3">
      <c r="A53" s="55"/>
      <c r="B53" s="45" t="s">
        <v>4</v>
      </c>
      <c r="C53" s="47">
        <f>SUM([1]Dyrehold!$F$22:$F$23)-F53</f>
        <v>1570560</v>
      </c>
      <c r="D53" s="15">
        <f>SUM([1]Dyrehold!$F$22:$F$23)-G53</f>
        <v>1537834.5897597643</v>
      </c>
      <c r="E53" s="23">
        <f>SUM([1]Dyrehold!$F$22:$F$23)-H53</f>
        <v>1477326.3140238035</v>
      </c>
      <c r="F53" s="50">
        <f>SUM([1]Dyrehold!C65:D78)</f>
        <v>214987</v>
      </c>
      <c r="G53" s="15">
        <f>$F53/Landbrug!$C8*Landbrug!D8</f>
        <v>247712.41024023574</v>
      </c>
      <c r="H53" s="23">
        <f>$F53/Landbrug!$C8*Landbrug!E8</f>
        <v>308220.6859761966</v>
      </c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2"/>
    </row>
    <row r="54" spans="1:21" ht="15.75" thickBot="1" x14ac:dyDescent="0.3">
      <c r="A54" s="56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4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E36" sqref="E36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7" width="11.28515625" bestFit="1" customWidth="1"/>
    <col min="38" max="38" width="7.5703125" bestFit="1" customWidth="1"/>
    <col min="39" max="39" width="9.85546875" bestFit="1" customWidth="1"/>
    <col min="40" max="40" width="11.85546875" bestFit="1" customWidth="1"/>
    <col min="41" max="41" width="10.28515625" bestFit="1" customWidth="1"/>
    <col min="42" max="42" width="10.5703125" bestFit="1" customWidth="1"/>
    <col min="43" max="43" width="12.28515625" bestFit="1" customWidth="1"/>
    <col min="44" max="44" width="10.140625" bestFit="1" customWidth="1"/>
    <col min="45" max="45" width="15" bestFit="1" customWidth="1"/>
    <col min="46" max="46" width="12" bestFit="1" customWidth="1"/>
  </cols>
  <sheetData>
    <row r="3" spans="1:37" x14ac:dyDescent="0.25">
      <c r="A3" s="75" t="s">
        <v>174</v>
      </c>
      <c r="B3" s="75" t="s">
        <v>62</v>
      </c>
    </row>
    <row r="4" spans="1:37" x14ac:dyDescent="0.25">
      <c r="A4" s="75" t="s">
        <v>60</v>
      </c>
      <c r="B4" t="s">
        <v>15</v>
      </c>
      <c r="C4" t="s">
        <v>49</v>
      </c>
      <c r="D4" t="s">
        <v>102</v>
      </c>
      <c r="E4" t="s">
        <v>101</v>
      </c>
      <c r="F4" t="s">
        <v>19</v>
      </c>
      <c r="G4" t="s">
        <v>137</v>
      </c>
      <c r="H4" t="s">
        <v>96</v>
      </c>
      <c r="I4" t="s">
        <v>54</v>
      </c>
      <c r="J4" t="s">
        <v>158</v>
      </c>
      <c r="K4" t="s">
        <v>51</v>
      </c>
      <c r="L4" t="s">
        <v>6</v>
      </c>
      <c r="M4" t="s">
        <v>67</v>
      </c>
      <c r="N4" t="s">
        <v>162</v>
      </c>
      <c r="O4" t="s">
        <v>159</v>
      </c>
      <c r="P4" t="s">
        <v>103</v>
      </c>
      <c r="Q4" t="s">
        <v>12</v>
      </c>
      <c r="R4" t="s">
        <v>48</v>
      </c>
      <c r="S4" t="s">
        <v>136</v>
      </c>
      <c r="T4" t="s">
        <v>108</v>
      </c>
      <c r="U4" t="s">
        <v>53</v>
      </c>
      <c r="V4" t="s">
        <v>116</v>
      </c>
      <c r="W4" t="s">
        <v>14</v>
      </c>
      <c r="X4" t="s">
        <v>50</v>
      </c>
      <c r="Y4" t="s">
        <v>52</v>
      </c>
      <c r="Z4" t="s">
        <v>107</v>
      </c>
      <c r="AA4" t="s">
        <v>140</v>
      </c>
      <c r="AB4" t="s">
        <v>135</v>
      </c>
      <c r="AC4" t="s">
        <v>13</v>
      </c>
      <c r="AD4" t="s">
        <v>95</v>
      </c>
      <c r="AE4" t="s">
        <v>119</v>
      </c>
      <c r="AF4" t="s">
        <v>238</v>
      </c>
      <c r="AG4" t="s">
        <v>231</v>
      </c>
      <c r="AH4" t="s">
        <v>110</v>
      </c>
      <c r="AI4" t="s">
        <v>115</v>
      </c>
      <c r="AJ4" t="s">
        <v>118</v>
      </c>
      <c r="AK4" t="s">
        <v>61</v>
      </c>
    </row>
    <row r="5" spans="1:37" x14ac:dyDescent="0.25">
      <c r="A5" s="76" t="s">
        <v>109</v>
      </c>
      <c r="B5" s="214"/>
      <c r="C5" s="214"/>
      <c r="D5" s="214">
        <v>729134</v>
      </c>
      <c r="E5" s="214">
        <v>5537430.4584002011</v>
      </c>
      <c r="F5" s="214"/>
      <c r="G5" s="214">
        <v>19628.463153389632</v>
      </c>
      <c r="H5" s="214"/>
      <c r="I5" s="214"/>
      <c r="J5" s="214">
        <v>428226</v>
      </c>
      <c r="K5" s="214">
        <v>85676.999999999956</v>
      </c>
      <c r="L5" s="214"/>
      <c r="M5" s="214">
        <v>75933.999999999971</v>
      </c>
      <c r="N5" s="214">
        <v>1730078</v>
      </c>
      <c r="O5" s="214"/>
      <c r="P5" s="214">
        <v>995654</v>
      </c>
      <c r="Q5" s="214"/>
      <c r="R5" s="214">
        <v>3786</v>
      </c>
      <c r="S5" s="214">
        <v>27059730.698022246</v>
      </c>
      <c r="T5" s="214"/>
      <c r="U5" s="214">
        <v>330026.00000000006</v>
      </c>
      <c r="V5" s="214"/>
      <c r="W5" s="214"/>
      <c r="X5" s="214"/>
      <c r="Y5" s="214">
        <v>28644.999999999993</v>
      </c>
      <c r="Z5" s="214"/>
      <c r="AA5" s="214">
        <v>15017210.496861221</v>
      </c>
      <c r="AB5" s="214">
        <v>28783929.716581032</v>
      </c>
      <c r="AC5" s="214"/>
      <c r="AD5" s="214"/>
      <c r="AE5" s="214"/>
      <c r="AF5" s="214"/>
      <c r="AG5" s="214"/>
      <c r="AH5" s="214"/>
      <c r="AI5" s="214"/>
      <c r="AJ5" s="214"/>
      <c r="AK5" s="214">
        <v>80825089.833018094</v>
      </c>
    </row>
    <row r="6" spans="1:37" x14ac:dyDescent="0.25">
      <c r="A6" s="77">
        <v>2019</v>
      </c>
      <c r="B6" s="214"/>
      <c r="C6" s="214"/>
      <c r="D6" s="214">
        <v>729134</v>
      </c>
      <c r="E6" s="214">
        <v>757087.00000000012</v>
      </c>
      <c r="F6" s="214"/>
      <c r="G6" s="214">
        <v>4441.5</v>
      </c>
      <c r="H6" s="214"/>
      <c r="I6" s="214"/>
      <c r="J6" s="214">
        <v>142742</v>
      </c>
      <c r="K6" s="214">
        <v>85676.999999999956</v>
      </c>
      <c r="L6" s="214"/>
      <c r="M6" s="214">
        <v>75933.999999999971</v>
      </c>
      <c r="N6" s="214">
        <v>78</v>
      </c>
      <c r="O6" s="214"/>
      <c r="P6" s="214">
        <v>995654</v>
      </c>
      <c r="Q6" s="214"/>
      <c r="R6" s="214">
        <v>3786</v>
      </c>
      <c r="S6" s="214">
        <v>4353509.666666667</v>
      </c>
      <c r="T6" s="214"/>
      <c r="U6" s="214">
        <v>330026.00000000006</v>
      </c>
      <c r="V6" s="214"/>
      <c r="W6" s="214"/>
      <c r="X6" s="214"/>
      <c r="Y6" s="214">
        <v>28644.999999999993</v>
      </c>
      <c r="Z6" s="214"/>
      <c r="AA6" s="214">
        <v>2668834</v>
      </c>
      <c r="AB6" s="214">
        <v>2914869.3333333335</v>
      </c>
      <c r="AC6" s="214"/>
      <c r="AD6" s="214"/>
      <c r="AE6" s="214"/>
      <c r="AF6" s="214"/>
      <c r="AG6" s="214"/>
      <c r="AH6" s="214"/>
      <c r="AI6" s="214"/>
      <c r="AJ6" s="214"/>
      <c r="AK6" s="214">
        <v>13090417.500000002</v>
      </c>
    </row>
    <row r="7" spans="1:37" x14ac:dyDescent="0.25">
      <c r="A7" s="77">
        <v>2030</v>
      </c>
      <c r="B7" s="214"/>
      <c r="C7" s="214"/>
      <c r="D7" s="214">
        <v>0</v>
      </c>
      <c r="E7" s="214">
        <v>2189034.0302520012</v>
      </c>
      <c r="F7" s="214"/>
      <c r="G7" s="214">
        <v>6782.1960455237531</v>
      </c>
      <c r="H7" s="214"/>
      <c r="I7" s="214"/>
      <c r="J7" s="214">
        <v>142742</v>
      </c>
      <c r="K7" s="214">
        <v>0</v>
      </c>
      <c r="L7" s="214"/>
      <c r="M7" s="214">
        <v>0</v>
      </c>
      <c r="N7" s="214">
        <v>750000</v>
      </c>
      <c r="O7" s="214"/>
      <c r="P7" s="214">
        <v>0</v>
      </c>
      <c r="Q7" s="214"/>
      <c r="R7" s="214">
        <v>0</v>
      </c>
      <c r="S7" s="214">
        <v>10429714.413001494</v>
      </c>
      <c r="T7" s="214"/>
      <c r="U7" s="214">
        <v>0</v>
      </c>
      <c r="V7" s="214"/>
      <c r="W7" s="214"/>
      <c r="X7" s="214"/>
      <c r="Y7" s="214">
        <v>0</v>
      </c>
      <c r="Z7" s="214"/>
      <c r="AA7" s="214">
        <v>5488473.8162016999</v>
      </c>
      <c r="AB7" s="214">
        <v>12485034.123782061</v>
      </c>
      <c r="AC7" s="214"/>
      <c r="AD7" s="214"/>
      <c r="AE7" s="214"/>
      <c r="AF7" s="214"/>
      <c r="AG7" s="214"/>
      <c r="AH7" s="214"/>
      <c r="AI7" s="214"/>
      <c r="AJ7" s="214"/>
      <c r="AK7" s="214">
        <v>31491780.579282783</v>
      </c>
    </row>
    <row r="8" spans="1:37" x14ac:dyDescent="0.25">
      <c r="A8" s="77">
        <v>2050</v>
      </c>
      <c r="B8" s="214"/>
      <c r="C8" s="214"/>
      <c r="D8" s="214">
        <v>0</v>
      </c>
      <c r="E8" s="214">
        <v>2591309.4281482003</v>
      </c>
      <c r="F8" s="214"/>
      <c r="G8" s="214">
        <v>8404.7671078658768</v>
      </c>
      <c r="H8" s="214"/>
      <c r="I8" s="214"/>
      <c r="J8" s="214">
        <v>142742</v>
      </c>
      <c r="K8" s="214">
        <v>0</v>
      </c>
      <c r="L8" s="214"/>
      <c r="M8" s="214">
        <v>0</v>
      </c>
      <c r="N8" s="214">
        <v>980000</v>
      </c>
      <c r="O8" s="214"/>
      <c r="P8" s="214">
        <v>0</v>
      </c>
      <c r="Q8" s="214"/>
      <c r="R8" s="214">
        <v>0</v>
      </c>
      <c r="S8" s="214">
        <v>12276506.618354084</v>
      </c>
      <c r="T8" s="214"/>
      <c r="U8" s="214">
        <v>0</v>
      </c>
      <c r="V8" s="214"/>
      <c r="W8" s="214"/>
      <c r="X8" s="214"/>
      <c r="Y8" s="214">
        <v>0</v>
      </c>
      <c r="Z8" s="214"/>
      <c r="AA8" s="214">
        <v>6859902.6806595214</v>
      </c>
      <c r="AB8" s="214">
        <v>13384026.259465635</v>
      </c>
      <c r="AC8" s="214"/>
      <c r="AD8" s="214"/>
      <c r="AE8" s="214"/>
      <c r="AF8" s="214"/>
      <c r="AG8" s="214"/>
      <c r="AH8" s="214"/>
      <c r="AI8" s="214"/>
      <c r="AJ8" s="214"/>
      <c r="AK8" s="214">
        <v>36242891.753735304</v>
      </c>
    </row>
    <row r="9" spans="1:37" x14ac:dyDescent="0.25">
      <c r="A9" s="76" t="s">
        <v>112</v>
      </c>
      <c r="B9" s="214"/>
      <c r="C9" s="214">
        <v>210294.99956339563</v>
      </c>
      <c r="D9" s="214"/>
      <c r="E9" s="214"/>
      <c r="F9" s="214"/>
      <c r="G9" s="214"/>
      <c r="H9" s="214"/>
      <c r="I9" s="214"/>
      <c r="J9" s="214"/>
      <c r="K9" s="214">
        <v>39900555.403271481</v>
      </c>
      <c r="L9" s="214"/>
      <c r="M9" s="214">
        <v>2520619.2308779224</v>
      </c>
      <c r="N9" s="214"/>
      <c r="O9" s="214">
        <v>15742917.328426423</v>
      </c>
      <c r="P9" s="214"/>
      <c r="Q9" s="214">
        <v>0</v>
      </c>
      <c r="R9" s="214">
        <v>19168973.362980071</v>
      </c>
      <c r="S9" s="214"/>
      <c r="T9" s="214">
        <v>4941932.4897397971</v>
      </c>
      <c r="U9" s="214">
        <v>18444623.92003949</v>
      </c>
      <c r="V9" s="214"/>
      <c r="W9" s="214"/>
      <c r="X9" s="214"/>
      <c r="Y9" s="214">
        <v>2742597.2859726176</v>
      </c>
      <c r="Z9" s="214">
        <v>128513.61084429733</v>
      </c>
      <c r="AA9" s="214"/>
      <c r="AB9" s="214"/>
      <c r="AC9" s="214"/>
      <c r="AD9" s="214"/>
      <c r="AE9" s="214"/>
      <c r="AF9" s="214">
        <v>698062.56799516035</v>
      </c>
      <c r="AG9" s="214"/>
      <c r="AH9" s="214"/>
      <c r="AI9" s="214"/>
      <c r="AJ9" s="214"/>
      <c r="AK9" s="214">
        <v>104499090.19971065</v>
      </c>
    </row>
    <row r="10" spans="1:37" x14ac:dyDescent="0.25">
      <c r="A10" s="77">
        <v>2019</v>
      </c>
      <c r="B10" s="214"/>
      <c r="C10" s="214">
        <v>72415.092228932088</v>
      </c>
      <c r="D10" s="214"/>
      <c r="E10" s="214"/>
      <c r="F10" s="214"/>
      <c r="G10" s="214"/>
      <c r="H10" s="214"/>
      <c r="I10" s="214"/>
      <c r="J10" s="214"/>
      <c r="K10" s="214">
        <v>13739757.985270014</v>
      </c>
      <c r="L10" s="214"/>
      <c r="M10" s="214">
        <v>867975.34157733875</v>
      </c>
      <c r="N10" s="214"/>
      <c r="O10" s="214">
        <v>5421074.2654714445</v>
      </c>
      <c r="P10" s="214"/>
      <c r="Q10" s="214">
        <v>0</v>
      </c>
      <c r="R10" s="214">
        <v>6600836.8097011279</v>
      </c>
      <c r="S10" s="214"/>
      <c r="T10" s="214">
        <v>1701754.6673799041</v>
      </c>
      <c r="U10" s="214">
        <v>6351407.0475792512</v>
      </c>
      <c r="V10" s="214"/>
      <c r="W10" s="214"/>
      <c r="X10" s="214"/>
      <c r="Y10" s="214">
        <v>944413.49448565592</v>
      </c>
      <c r="Z10" s="214">
        <v>44253.667473236274</v>
      </c>
      <c r="AA10" s="214"/>
      <c r="AB10" s="214"/>
      <c r="AC10" s="214"/>
      <c r="AD10" s="214"/>
      <c r="AE10" s="214"/>
      <c r="AF10" s="214">
        <v>240377.87559326066</v>
      </c>
      <c r="AG10" s="214"/>
      <c r="AH10" s="214"/>
      <c r="AI10" s="214"/>
      <c r="AJ10" s="214"/>
      <c r="AK10" s="214">
        <v>35984266.24676016</v>
      </c>
    </row>
    <row r="11" spans="1:37" x14ac:dyDescent="0.25">
      <c r="A11" s="77">
        <v>2030</v>
      </c>
      <c r="B11" s="214"/>
      <c r="C11" s="214">
        <v>70594.781553755733</v>
      </c>
      <c r="D11" s="214"/>
      <c r="E11" s="214"/>
      <c r="F11" s="214"/>
      <c r="G11" s="214"/>
      <c r="H11" s="214"/>
      <c r="I11" s="214"/>
      <c r="J11" s="214"/>
      <c r="K11" s="214">
        <v>13394379.31674801</v>
      </c>
      <c r="L11" s="214"/>
      <c r="M11" s="214">
        <v>846156.89556793321</v>
      </c>
      <c r="N11" s="214"/>
      <c r="O11" s="214">
        <v>5284803.7857603254</v>
      </c>
      <c r="P11" s="214"/>
      <c r="Q11" s="214">
        <v>0</v>
      </c>
      <c r="R11" s="214">
        <v>6434910.4352402603</v>
      </c>
      <c r="S11" s="214"/>
      <c r="T11" s="214">
        <v>1658977.3665132597</v>
      </c>
      <c r="U11" s="214">
        <v>6191750.632110659</v>
      </c>
      <c r="V11" s="214"/>
      <c r="W11" s="214"/>
      <c r="X11" s="214"/>
      <c r="Y11" s="214">
        <v>920673.60943023092</v>
      </c>
      <c r="Z11" s="214">
        <v>43141.255393961845</v>
      </c>
      <c r="AA11" s="214"/>
      <c r="AB11" s="214"/>
      <c r="AC11" s="214"/>
      <c r="AD11" s="214"/>
      <c r="AE11" s="214"/>
      <c r="AF11" s="214">
        <v>234335.4554353836</v>
      </c>
      <c r="AG11" s="214"/>
      <c r="AH11" s="214"/>
      <c r="AI11" s="214"/>
      <c r="AJ11" s="214"/>
      <c r="AK11" s="214">
        <v>35079723.533753775</v>
      </c>
    </row>
    <row r="12" spans="1:37" x14ac:dyDescent="0.25">
      <c r="A12" s="77">
        <v>2050</v>
      </c>
      <c r="B12" s="214"/>
      <c r="C12" s="214">
        <v>67285.125780707793</v>
      </c>
      <c r="D12" s="214"/>
      <c r="E12" s="214"/>
      <c r="F12" s="214"/>
      <c r="G12" s="214"/>
      <c r="H12" s="214"/>
      <c r="I12" s="214"/>
      <c r="J12" s="214"/>
      <c r="K12" s="214">
        <v>12766418.101253457</v>
      </c>
      <c r="L12" s="214"/>
      <c r="M12" s="214">
        <v>806486.99373265042</v>
      </c>
      <c r="N12" s="214"/>
      <c r="O12" s="214">
        <v>5037039.2771946527</v>
      </c>
      <c r="P12" s="214"/>
      <c r="Q12" s="214">
        <v>0</v>
      </c>
      <c r="R12" s="214">
        <v>6133226.1180386841</v>
      </c>
      <c r="S12" s="214"/>
      <c r="T12" s="214">
        <v>1581200.4558466333</v>
      </c>
      <c r="U12" s="214">
        <v>5901466.2403495796</v>
      </c>
      <c r="V12" s="214"/>
      <c r="W12" s="214"/>
      <c r="X12" s="214"/>
      <c r="Y12" s="214">
        <v>877510.18205673085</v>
      </c>
      <c r="Z12" s="214">
        <v>41118.687977099209</v>
      </c>
      <c r="AA12" s="214"/>
      <c r="AB12" s="214"/>
      <c r="AC12" s="214"/>
      <c r="AD12" s="214"/>
      <c r="AE12" s="214"/>
      <c r="AF12" s="214">
        <v>223349.23696651615</v>
      </c>
      <c r="AG12" s="214"/>
      <c r="AH12" s="214"/>
      <c r="AI12" s="214"/>
      <c r="AJ12" s="214"/>
      <c r="AK12" s="214">
        <v>33435100.419196714</v>
      </c>
    </row>
    <row r="13" spans="1:37" x14ac:dyDescent="0.25">
      <c r="A13" s="76" t="s">
        <v>127</v>
      </c>
      <c r="B13" s="214">
        <v>182574.19618217932</v>
      </c>
      <c r="C13" s="214">
        <v>0</v>
      </c>
      <c r="D13" s="214"/>
      <c r="E13" s="214"/>
      <c r="F13" s="214">
        <v>281468.55244752642</v>
      </c>
      <c r="G13" s="214"/>
      <c r="H13" s="214">
        <v>197788.71253069426</v>
      </c>
      <c r="I13" s="214">
        <v>1445379.0531089196</v>
      </c>
      <c r="J13" s="214"/>
      <c r="K13" s="214"/>
      <c r="L13" s="214">
        <v>1513844.376677237</v>
      </c>
      <c r="M13" s="214"/>
      <c r="N13" s="214"/>
      <c r="O13" s="214"/>
      <c r="P13" s="214"/>
      <c r="Q13" s="214">
        <v>692260.49385742994</v>
      </c>
      <c r="R13" s="214">
        <v>1658382.281988129</v>
      </c>
      <c r="S13" s="214"/>
      <c r="T13" s="214"/>
      <c r="U13" s="214"/>
      <c r="V13" s="214">
        <v>2647325.8446415998</v>
      </c>
      <c r="W13" s="214">
        <v>336392.95646566537</v>
      </c>
      <c r="X13" s="214"/>
      <c r="Y13" s="214"/>
      <c r="Z13" s="214"/>
      <c r="AA13" s="214"/>
      <c r="AB13" s="214"/>
      <c r="AC13" s="214">
        <v>682979.63888483576</v>
      </c>
      <c r="AD13" s="214"/>
      <c r="AE13" s="214"/>
      <c r="AF13" s="214"/>
      <c r="AG13" s="214"/>
      <c r="AH13" s="214"/>
      <c r="AI13" s="214"/>
      <c r="AJ13" s="214"/>
      <c r="AK13" s="214">
        <v>9638396.1067842171</v>
      </c>
    </row>
    <row r="14" spans="1:37" x14ac:dyDescent="0.25">
      <c r="A14" s="77">
        <v>2019</v>
      </c>
      <c r="B14" s="214">
        <v>58403.100598004137</v>
      </c>
      <c r="C14" s="214">
        <v>0</v>
      </c>
      <c r="D14" s="214"/>
      <c r="E14" s="214"/>
      <c r="F14" s="214">
        <v>90038.113421923044</v>
      </c>
      <c r="G14" s="214"/>
      <c r="H14" s="214">
        <v>63270.025647837821</v>
      </c>
      <c r="I14" s="214">
        <v>462357.87973419944</v>
      </c>
      <c r="J14" s="214"/>
      <c r="K14" s="214"/>
      <c r="L14" s="214">
        <v>484259.042458451</v>
      </c>
      <c r="M14" s="214"/>
      <c r="N14" s="214"/>
      <c r="O14" s="214"/>
      <c r="P14" s="214"/>
      <c r="Q14" s="214">
        <v>221445.08976743236</v>
      </c>
      <c r="R14" s="214">
        <v>530494.83043187088</v>
      </c>
      <c r="S14" s="214"/>
      <c r="T14" s="214"/>
      <c r="U14" s="214"/>
      <c r="V14" s="214">
        <v>846844.95867106004</v>
      </c>
      <c r="W14" s="214">
        <v>107607.71285182264</v>
      </c>
      <c r="X14" s="214"/>
      <c r="Y14" s="214"/>
      <c r="Z14" s="214"/>
      <c r="AA14" s="214"/>
      <c r="AB14" s="214"/>
      <c r="AC14" s="214">
        <v>218476.26548703379</v>
      </c>
      <c r="AD14" s="214"/>
      <c r="AE14" s="214"/>
      <c r="AF14" s="214"/>
      <c r="AG14" s="214"/>
      <c r="AH14" s="214"/>
      <c r="AI14" s="214"/>
      <c r="AJ14" s="214"/>
      <c r="AK14" s="214">
        <v>3083197.0190696353</v>
      </c>
    </row>
    <row r="15" spans="1:37" x14ac:dyDescent="0.25">
      <c r="A15" s="77">
        <v>2030</v>
      </c>
      <c r="B15" s="214">
        <v>60789.12467762841</v>
      </c>
      <c r="C15" s="214">
        <v>0</v>
      </c>
      <c r="D15" s="214"/>
      <c r="E15" s="214"/>
      <c r="F15" s="214">
        <v>93716.56721134379</v>
      </c>
      <c r="G15" s="214"/>
      <c r="H15" s="214">
        <v>65854.885067430776</v>
      </c>
      <c r="I15" s="214">
        <v>481247.23703122488</v>
      </c>
      <c r="J15" s="214"/>
      <c r="K15" s="214"/>
      <c r="L15" s="214">
        <v>504043.1587853356</v>
      </c>
      <c r="M15" s="214"/>
      <c r="N15" s="214"/>
      <c r="O15" s="214"/>
      <c r="P15" s="214"/>
      <c r="Q15" s="214">
        <v>230492.09773600774</v>
      </c>
      <c r="R15" s="214">
        <v>552167.88248845807</v>
      </c>
      <c r="S15" s="214"/>
      <c r="T15" s="214"/>
      <c r="U15" s="214"/>
      <c r="V15" s="214">
        <v>881442.3078256119</v>
      </c>
      <c r="W15" s="214">
        <v>112003.96221853035</v>
      </c>
      <c r="X15" s="214"/>
      <c r="Y15" s="214"/>
      <c r="Z15" s="214"/>
      <c r="AA15" s="214"/>
      <c r="AB15" s="214"/>
      <c r="AC15" s="214">
        <v>227401.98389822827</v>
      </c>
      <c r="AD15" s="214"/>
      <c r="AE15" s="214"/>
      <c r="AF15" s="214"/>
      <c r="AG15" s="214"/>
      <c r="AH15" s="214"/>
      <c r="AI15" s="214"/>
      <c r="AJ15" s="214"/>
      <c r="AK15" s="214">
        <v>3209159.2069397997</v>
      </c>
    </row>
    <row r="16" spans="1:37" x14ac:dyDescent="0.25">
      <c r="A16" s="77">
        <v>2050</v>
      </c>
      <c r="B16" s="214">
        <v>63381.970906546776</v>
      </c>
      <c r="C16" s="214">
        <v>0</v>
      </c>
      <c r="D16" s="214"/>
      <c r="E16" s="214"/>
      <c r="F16" s="214">
        <v>97713.871814259604</v>
      </c>
      <c r="G16" s="214"/>
      <c r="H16" s="214">
        <v>68663.801815425672</v>
      </c>
      <c r="I16" s="214">
        <v>501773.93634349527</v>
      </c>
      <c r="J16" s="214"/>
      <c r="K16" s="214"/>
      <c r="L16" s="214">
        <v>525542.17543345026</v>
      </c>
      <c r="M16" s="214"/>
      <c r="N16" s="214"/>
      <c r="O16" s="214"/>
      <c r="P16" s="214"/>
      <c r="Q16" s="214">
        <v>240323.30635398987</v>
      </c>
      <c r="R16" s="214">
        <v>575719.56906779984</v>
      </c>
      <c r="S16" s="214"/>
      <c r="T16" s="214"/>
      <c r="U16" s="214"/>
      <c r="V16" s="214">
        <v>919038.57814492821</v>
      </c>
      <c r="W16" s="214">
        <v>116781.28139531243</v>
      </c>
      <c r="X16" s="214"/>
      <c r="Y16" s="214"/>
      <c r="Z16" s="214"/>
      <c r="AA16" s="214"/>
      <c r="AB16" s="214"/>
      <c r="AC16" s="214">
        <v>237101.38949957371</v>
      </c>
      <c r="AD16" s="214"/>
      <c r="AE16" s="214"/>
      <c r="AF16" s="214"/>
      <c r="AG16" s="214"/>
      <c r="AH16" s="214"/>
      <c r="AI16" s="214"/>
      <c r="AJ16" s="214"/>
      <c r="AK16" s="214">
        <v>3346039.8807747816</v>
      </c>
    </row>
    <row r="17" spans="1:37" x14ac:dyDescent="0.25">
      <c r="A17" s="76" t="s">
        <v>120</v>
      </c>
      <c r="B17" s="214"/>
      <c r="C17" s="214"/>
      <c r="D17" s="214">
        <v>733771.78685234336</v>
      </c>
      <c r="E17" s="214"/>
      <c r="F17" s="214"/>
      <c r="G17" s="214"/>
      <c r="H17" s="214"/>
      <c r="I17" s="214"/>
      <c r="J17" s="214"/>
      <c r="K17" s="214"/>
      <c r="L17" s="214"/>
      <c r="M17" s="214">
        <v>9279345.319846848</v>
      </c>
      <c r="N17" s="214">
        <v>1218349</v>
      </c>
      <c r="O17" s="214"/>
      <c r="P17" s="214"/>
      <c r="Q17" s="214"/>
      <c r="R17" s="214"/>
      <c r="S17" s="214"/>
      <c r="T17" s="214"/>
      <c r="U17" s="214"/>
      <c r="V17" s="214"/>
      <c r="W17" s="214"/>
      <c r="X17" s="214"/>
      <c r="Y17" s="214"/>
      <c r="Z17" s="214"/>
      <c r="AA17" s="214"/>
      <c r="AB17" s="214"/>
      <c r="AC17" s="214"/>
      <c r="AD17" s="214">
        <v>603171.33247569925</v>
      </c>
      <c r="AE17" s="214">
        <v>8800578.9441841338</v>
      </c>
      <c r="AF17" s="214"/>
      <c r="AG17" s="214">
        <v>551093.3097614923</v>
      </c>
      <c r="AH17" s="214"/>
      <c r="AI17" s="214"/>
      <c r="AJ17" s="214"/>
      <c r="AK17" s="214">
        <v>21186309.693120517</v>
      </c>
    </row>
    <row r="18" spans="1:37" x14ac:dyDescent="0.25">
      <c r="A18" s="77">
        <v>2019</v>
      </c>
      <c r="B18" s="214"/>
      <c r="C18" s="214"/>
      <c r="D18" s="214">
        <v>0</v>
      </c>
      <c r="E18" s="214"/>
      <c r="F18" s="214"/>
      <c r="G18" s="214"/>
      <c r="H18" s="214"/>
      <c r="I18" s="214"/>
      <c r="J18" s="214"/>
      <c r="K18" s="214"/>
      <c r="L18" s="214"/>
      <c r="M18" s="214">
        <v>1895494.5192748301</v>
      </c>
      <c r="N18" s="214">
        <v>982731</v>
      </c>
      <c r="O18" s="214"/>
      <c r="P18" s="214"/>
      <c r="Q18" s="214"/>
      <c r="R18" s="214"/>
      <c r="S18" s="214"/>
      <c r="T18" s="214"/>
      <c r="U18" s="214"/>
      <c r="V18" s="214"/>
      <c r="W18" s="214"/>
      <c r="X18" s="214"/>
      <c r="Y18" s="214"/>
      <c r="Z18" s="214"/>
      <c r="AA18" s="214"/>
      <c r="AB18" s="214"/>
      <c r="AC18" s="214"/>
      <c r="AD18" s="214">
        <v>209867.13867694439</v>
      </c>
      <c r="AE18" s="214">
        <v>3010292.0648196544</v>
      </c>
      <c r="AF18" s="214"/>
      <c r="AG18" s="214">
        <v>112873.31802427149</v>
      </c>
      <c r="AH18" s="214"/>
      <c r="AI18" s="214"/>
      <c r="AJ18" s="214"/>
      <c r="AK18" s="214">
        <v>6211258.0407956997</v>
      </c>
    </row>
    <row r="19" spans="1:37" x14ac:dyDescent="0.25">
      <c r="A19" s="77">
        <v>2030</v>
      </c>
      <c r="B19" s="214"/>
      <c r="C19" s="214"/>
      <c r="D19" s="214">
        <v>363994.97174274386</v>
      </c>
      <c r="E19" s="214"/>
      <c r="F19" s="214"/>
      <c r="G19" s="214"/>
      <c r="H19" s="214"/>
      <c r="I19" s="214"/>
      <c r="J19" s="214"/>
      <c r="K19" s="214"/>
      <c r="L19" s="214"/>
      <c r="M19" s="214">
        <v>3440673.5939957332</v>
      </c>
      <c r="N19" s="214">
        <v>232809.00000000006</v>
      </c>
      <c r="O19" s="214"/>
      <c r="P19" s="214"/>
      <c r="Q19" s="214"/>
      <c r="R19" s="214"/>
      <c r="S19" s="214"/>
      <c r="T19" s="214"/>
      <c r="U19" s="214"/>
      <c r="V19" s="214"/>
      <c r="W19" s="214"/>
      <c r="X19" s="214"/>
      <c r="Y19" s="214"/>
      <c r="Z19" s="214"/>
      <c r="AA19" s="214"/>
      <c r="AB19" s="214"/>
      <c r="AC19" s="214"/>
      <c r="AD19" s="214">
        <v>209871.78410050535</v>
      </c>
      <c r="AE19" s="214">
        <v>2864790.7596825948</v>
      </c>
      <c r="AF19" s="214"/>
      <c r="AG19" s="214">
        <v>223178.36661925918</v>
      </c>
      <c r="AH19" s="214"/>
      <c r="AI19" s="214"/>
      <c r="AJ19" s="214"/>
      <c r="AK19" s="214">
        <v>7335318.4761408363</v>
      </c>
    </row>
    <row r="20" spans="1:37" x14ac:dyDescent="0.25">
      <c r="A20" s="77">
        <v>2050</v>
      </c>
      <c r="B20" s="214"/>
      <c r="C20" s="214"/>
      <c r="D20" s="214">
        <v>369776.8151095995</v>
      </c>
      <c r="E20" s="214"/>
      <c r="F20" s="214"/>
      <c r="G20" s="214"/>
      <c r="H20" s="214"/>
      <c r="I20" s="214"/>
      <c r="J20" s="214"/>
      <c r="K20" s="214"/>
      <c r="L20" s="214"/>
      <c r="M20" s="214">
        <v>3943177.206576285</v>
      </c>
      <c r="N20" s="214">
        <v>2808.9999999999418</v>
      </c>
      <c r="O20" s="214"/>
      <c r="P20" s="214"/>
      <c r="Q20" s="214"/>
      <c r="R20" s="214"/>
      <c r="S20" s="214"/>
      <c r="T20" s="214"/>
      <c r="U20" s="214"/>
      <c r="V20" s="214"/>
      <c r="W20" s="214"/>
      <c r="X20" s="214"/>
      <c r="Y20" s="214"/>
      <c r="Z20" s="214"/>
      <c r="AA20" s="214"/>
      <c r="AB20" s="214"/>
      <c r="AC20" s="214"/>
      <c r="AD20" s="214">
        <v>183432.40969824954</v>
      </c>
      <c r="AE20" s="214">
        <v>2925496.1196818841</v>
      </c>
      <c r="AF20" s="214"/>
      <c r="AG20" s="214">
        <v>215041.6251179617</v>
      </c>
      <c r="AH20" s="214"/>
      <c r="AI20" s="214"/>
      <c r="AJ20" s="214"/>
      <c r="AK20" s="214">
        <v>7639733.17618398</v>
      </c>
    </row>
    <row r="21" spans="1:37" x14ac:dyDescent="0.25">
      <c r="A21" s="76" t="s">
        <v>164</v>
      </c>
      <c r="B21" s="214"/>
      <c r="C21" s="214"/>
      <c r="D21" s="214">
        <v>0</v>
      </c>
      <c r="E21" s="214"/>
      <c r="F21" s="214"/>
      <c r="G21" s="214"/>
      <c r="H21" s="214"/>
      <c r="I21" s="214"/>
      <c r="J21" s="214"/>
      <c r="K21" s="214"/>
      <c r="L21" s="214"/>
      <c r="M21" s="214">
        <v>0</v>
      </c>
      <c r="N21" s="214">
        <v>0</v>
      </c>
      <c r="O21" s="214"/>
      <c r="P21" s="214"/>
      <c r="Q21" s="214"/>
      <c r="R21" s="214"/>
      <c r="S21" s="214"/>
      <c r="T21" s="214"/>
      <c r="U21" s="214"/>
      <c r="V21" s="214"/>
      <c r="W21" s="214"/>
      <c r="X21" s="214"/>
      <c r="Y21" s="214"/>
      <c r="Z21" s="214"/>
      <c r="AA21" s="214"/>
      <c r="AB21" s="214"/>
      <c r="AC21" s="214"/>
      <c r="AD21" s="214">
        <v>0</v>
      </c>
      <c r="AE21" s="214"/>
      <c r="AF21" s="214"/>
      <c r="AG21" s="214">
        <v>104190.75509932752</v>
      </c>
      <c r="AH21" s="214"/>
      <c r="AI21" s="214"/>
      <c r="AJ21" s="214">
        <v>2457092.6309540803</v>
      </c>
      <c r="AK21" s="214">
        <v>2561283.3860534076</v>
      </c>
    </row>
    <row r="22" spans="1:37" x14ac:dyDescent="0.25">
      <c r="A22" s="77">
        <v>2019</v>
      </c>
      <c r="B22" s="214"/>
      <c r="C22" s="214"/>
      <c r="D22" s="214">
        <v>0</v>
      </c>
      <c r="E22" s="214"/>
      <c r="F22" s="214"/>
      <c r="G22" s="214"/>
      <c r="H22" s="214"/>
      <c r="I22" s="214"/>
      <c r="J22" s="214"/>
      <c r="K22" s="214"/>
      <c r="L22" s="214"/>
      <c r="M22" s="214">
        <v>0</v>
      </c>
      <c r="N22" s="214">
        <v>0</v>
      </c>
      <c r="O22" s="214"/>
      <c r="P22" s="214"/>
      <c r="Q22" s="214"/>
      <c r="R22" s="214"/>
      <c r="S22" s="214"/>
      <c r="T22" s="214"/>
      <c r="U22" s="214"/>
      <c r="V22" s="214"/>
      <c r="W22" s="214"/>
      <c r="X22" s="214"/>
      <c r="Y22" s="214"/>
      <c r="Z22" s="214"/>
      <c r="AA22" s="214"/>
      <c r="AB22" s="214"/>
      <c r="AC22" s="214"/>
      <c r="AD22" s="214">
        <v>0</v>
      </c>
      <c r="AE22" s="214"/>
      <c r="AF22" s="214"/>
      <c r="AG22" s="214">
        <v>104190.75509932752</v>
      </c>
      <c r="AH22" s="214"/>
      <c r="AI22" s="214"/>
      <c r="AJ22" s="214">
        <v>827707.93518034508</v>
      </c>
      <c r="AK22" s="214">
        <v>931898.69027967262</v>
      </c>
    </row>
    <row r="23" spans="1:37" x14ac:dyDescent="0.25">
      <c r="A23" s="77">
        <v>2030</v>
      </c>
      <c r="B23" s="214"/>
      <c r="C23" s="214"/>
      <c r="D23" s="214">
        <v>0</v>
      </c>
      <c r="E23" s="214"/>
      <c r="F23" s="214"/>
      <c r="G23" s="214"/>
      <c r="H23" s="214"/>
      <c r="I23" s="214"/>
      <c r="J23" s="214"/>
      <c r="K23" s="214"/>
      <c r="L23" s="214"/>
      <c r="M23" s="214">
        <v>0</v>
      </c>
      <c r="N23" s="214">
        <v>0</v>
      </c>
      <c r="O23" s="214"/>
      <c r="P23" s="214"/>
      <c r="Q23" s="214"/>
      <c r="R23" s="214"/>
      <c r="S23" s="214"/>
      <c r="T23" s="214"/>
      <c r="U23" s="214"/>
      <c r="V23" s="214"/>
      <c r="W23" s="214"/>
      <c r="X23" s="214"/>
      <c r="Y23" s="214"/>
      <c r="Z23" s="214"/>
      <c r="AA23" s="214"/>
      <c r="AB23" s="214"/>
      <c r="AC23" s="214"/>
      <c r="AD23" s="214">
        <v>0</v>
      </c>
      <c r="AE23" s="214"/>
      <c r="AF23" s="214"/>
      <c r="AG23" s="214">
        <v>0</v>
      </c>
      <c r="AH23" s="214"/>
      <c r="AI23" s="214"/>
      <c r="AJ23" s="214">
        <v>788679.64758670493</v>
      </c>
      <c r="AK23" s="214">
        <v>788679.64758670493</v>
      </c>
    </row>
    <row r="24" spans="1:37" x14ac:dyDescent="0.25">
      <c r="A24" s="77">
        <v>2050</v>
      </c>
      <c r="B24" s="214"/>
      <c r="C24" s="214"/>
      <c r="D24" s="214">
        <v>0</v>
      </c>
      <c r="E24" s="214"/>
      <c r="F24" s="214"/>
      <c r="G24" s="214"/>
      <c r="H24" s="214"/>
      <c r="I24" s="214"/>
      <c r="J24" s="214"/>
      <c r="K24" s="214"/>
      <c r="L24" s="214"/>
      <c r="M24" s="214">
        <v>0</v>
      </c>
      <c r="N24" s="214">
        <v>0</v>
      </c>
      <c r="O24" s="214"/>
      <c r="P24" s="214"/>
      <c r="Q24" s="214"/>
      <c r="R24" s="214"/>
      <c r="S24" s="214"/>
      <c r="T24" s="214"/>
      <c r="U24" s="214"/>
      <c r="V24" s="214"/>
      <c r="W24" s="214"/>
      <c r="X24" s="214"/>
      <c r="Y24" s="214"/>
      <c r="Z24" s="214"/>
      <c r="AA24" s="214"/>
      <c r="AB24" s="214"/>
      <c r="AC24" s="214"/>
      <c r="AD24" s="214">
        <v>0</v>
      </c>
      <c r="AE24" s="214"/>
      <c r="AF24" s="214"/>
      <c r="AG24" s="214">
        <v>0</v>
      </c>
      <c r="AH24" s="214"/>
      <c r="AI24" s="214"/>
      <c r="AJ24" s="214">
        <v>840705.04818703001</v>
      </c>
      <c r="AK24" s="214">
        <v>840705.04818703001</v>
      </c>
    </row>
    <row r="25" spans="1:37" x14ac:dyDescent="0.25">
      <c r="A25" s="76" t="s">
        <v>114</v>
      </c>
      <c r="B25" s="214"/>
      <c r="C25" s="214"/>
      <c r="D25" s="214"/>
      <c r="E25" s="214">
        <v>1208999.7630967645</v>
      </c>
      <c r="F25" s="214"/>
      <c r="G25" s="214">
        <v>7636.0950271596812</v>
      </c>
      <c r="H25" s="214"/>
      <c r="I25" s="214"/>
      <c r="J25" s="214"/>
      <c r="K25" s="214"/>
      <c r="L25" s="214"/>
      <c r="M25" s="214"/>
      <c r="N25" s="214"/>
      <c r="O25" s="214"/>
      <c r="P25" s="214"/>
      <c r="Q25" s="214"/>
      <c r="R25" s="214"/>
      <c r="S25" s="214">
        <v>14537118.095262064</v>
      </c>
      <c r="T25" s="214"/>
      <c r="U25" s="214"/>
      <c r="V25" s="214"/>
      <c r="W25" s="214"/>
      <c r="X25" s="214"/>
      <c r="Y25" s="214"/>
      <c r="Z25" s="214"/>
      <c r="AA25" s="214"/>
      <c r="AB25" s="214">
        <v>20390922.736756865</v>
      </c>
      <c r="AC25" s="214"/>
      <c r="AD25" s="214"/>
      <c r="AE25" s="214"/>
      <c r="AF25" s="214"/>
      <c r="AG25" s="214"/>
      <c r="AH25" s="214">
        <v>58452760.332225777</v>
      </c>
      <c r="AI25" s="214">
        <v>2635036.3492985531</v>
      </c>
      <c r="AJ25" s="214"/>
      <c r="AK25" s="214">
        <v>97232473.371667176</v>
      </c>
    </row>
    <row r="26" spans="1:37" x14ac:dyDescent="0.25">
      <c r="A26" s="77">
        <v>2019</v>
      </c>
      <c r="B26" s="214"/>
      <c r="C26" s="214"/>
      <c r="D26" s="214"/>
      <c r="E26" s="214">
        <v>823764.99285714305</v>
      </c>
      <c r="F26" s="214"/>
      <c r="G26" s="214">
        <v>4441.5</v>
      </c>
      <c r="H26" s="214"/>
      <c r="I26" s="214"/>
      <c r="J26" s="214"/>
      <c r="K26" s="214"/>
      <c r="L26" s="214"/>
      <c r="M26" s="214"/>
      <c r="N26" s="214"/>
      <c r="O26" s="214"/>
      <c r="P26" s="214"/>
      <c r="Q26" s="214"/>
      <c r="R26" s="214"/>
      <c r="S26" s="214">
        <v>9696490.333333334</v>
      </c>
      <c r="T26" s="214"/>
      <c r="U26" s="214"/>
      <c r="V26" s="214"/>
      <c r="W26" s="214"/>
      <c r="X26" s="214"/>
      <c r="Y26" s="214"/>
      <c r="Z26" s="214"/>
      <c r="AA26" s="214"/>
      <c r="AB26" s="214">
        <v>14742130.666666664</v>
      </c>
      <c r="AC26" s="214"/>
      <c r="AD26" s="214"/>
      <c r="AE26" s="214"/>
      <c r="AF26" s="214"/>
      <c r="AG26" s="214"/>
      <c r="AH26" s="214">
        <v>8803491.7355084848</v>
      </c>
      <c r="AI26" s="214">
        <v>944817.29105430027</v>
      </c>
      <c r="AJ26" s="214"/>
      <c r="AK26" s="214">
        <v>35015136.519419931</v>
      </c>
    </row>
    <row r="27" spans="1:37" x14ac:dyDescent="0.25">
      <c r="A27" s="77">
        <v>2030</v>
      </c>
      <c r="B27" s="214"/>
      <c r="C27" s="214"/>
      <c r="D27" s="214"/>
      <c r="E27" s="214">
        <v>276235.24667465733</v>
      </c>
      <c r="F27" s="214"/>
      <c r="G27" s="214">
        <v>2260.7320151745844</v>
      </c>
      <c r="H27" s="214"/>
      <c r="I27" s="214"/>
      <c r="J27" s="214"/>
      <c r="K27" s="214"/>
      <c r="L27" s="214"/>
      <c r="M27" s="214"/>
      <c r="N27" s="214"/>
      <c r="O27" s="214"/>
      <c r="P27" s="214"/>
      <c r="Q27" s="214"/>
      <c r="R27" s="214"/>
      <c r="S27" s="214">
        <v>3476571.4710004977</v>
      </c>
      <c r="T27" s="214"/>
      <c r="U27" s="214"/>
      <c r="V27" s="214"/>
      <c r="W27" s="214"/>
      <c r="X27" s="214"/>
      <c r="Y27" s="214"/>
      <c r="Z27" s="214"/>
      <c r="AA27" s="214"/>
      <c r="AB27" s="214">
        <v>4161678.0412606872</v>
      </c>
      <c r="AC27" s="214"/>
      <c r="AD27" s="214"/>
      <c r="AE27" s="214"/>
      <c r="AF27" s="214"/>
      <c r="AG27" s="214"/>
      <c r="AH27" s="214">
        <v>23357523.299669795</v>
      </c>
      <c r="AI27" s="214">
        <v>925665.22791706468</v>
      </c>
      <c r="AJ27" s="214"/>
      <c r="AK27" s="214">
        <v>32199934.018537875</v>
      </c>
    </row>
    <row r="28" spans="1:37" x14ac:dyDescent="0.25">
      <c r="A28" s="77">
        <v>2050</v>
      </c>
      <c r="B28" s="214"/>
      <c r="C28" s="214"/>
      <c r="D28" s="214"/>
      <c r="E28" s="214">
        <v>108999.52356496397</v>
      </c>
      <c r="F28" s="214"/>
      <c r="G28" s="214">
        <v>933.86301198509727</v>
      </c>
      <c r="H28" s="214"/>
      <c r="I28" s="214"/>
      <c r="J28" s="214"/>
      <c r="K28" s="214"/>
      <c r="L28" s="214"/>
      <c r="M28" s="214"/>
      <c r="N28" s="214"/>
      <c r="O28" s="214"/>
      <c r="P28" s="214"/>
      <c r="Q28" s="214"/>
      <c r="R28" s="214"/>
      <c r="S28" s="214">
        <v>1364056.2909282311</v>
      </c>
      <c r="T28" s="214"/>
      <c r="U28" s="214"/>
      <c r="V28" s="214"/>
      <c r="W28" s="214"/>
      <c r="X28" s="214"/>
      <c r="Y28" s="214"/>
      <c r="Z28" s="214"/>
      <c r="AA28" s="214"/>
      <c r="AB28" s="214">
        <v>1487114.0288295147</v>
      </c>
      <c r="AC28" s="214"/>
      <c r="AD28" s="214"/>
      <c r="AE28" s="214"/>
      <c r="AF28" s="214"/>
      <c r="AG28" s="214"/>
      <c r="AH28" s="214">
        <v>26291745.297047496</v>
      </c>
      <c r="AI28" s="214">
        <v>764553.83032718813</v>
      </c>
      <c r="AJ28" s="214"/>
      <c r="AK28" s="214">
        <v>30017402.833709378</v>
      </c>
    </row>
    <row r="29" spans="1:37" x14ac:dyDescent="0.25">
      <c r="A29" s="76" t="s">
        <v>237</v>
      </c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14"/>
      <c r="P29" s="214"/>
      <c r="Q29" s="214"/>
      <c r="R29" s="214"/>
      <c r="S29" s="214"/>
      <c r="T29" s="214"/>
      <c r="U29" s="214"/>
      <c r="V29" s="214"/>
      <c r="W29" s="214"/>
      <c r="X29" s="214">
        <v>2047762.7026900621</v>
      </c>
      <c r="Y29" s="214"/>
      <c r="Z29" s="214"/>
      <c r="AA29" s="214"/>
      <c r="AB29" s="214"/>
      <c r="AC29" s="214"/>
      <c r="AD29" s="214"/>
      <c r="AE29" s="214"/>
      <c r="AF29" s="214"/>
      <c r="AG29" s="214"/>
      <c r="AH29" s="214"/>
      <c r="AI29" s="214"/>
      <c r="AJ29" s="214"/>
      <c r="AK29" s="214">
        <v>2047762.7026900621</v>
      </c>
    </row>
    <row r="30" spans="1:37" x14ac:dyDescent="0.25">
      <c r="A30" s="77">
        <v>2019</v>
      </c>
      <c r="B30" s="214"/>
      <c r="C30" s="214"/>
      <c r="D30" s="214"/>
      <c r="E30" s="214"/>
      <c r="F30" s="214"/>
      <c r="G30" s="214"/>
      <c r="H30" s="214"/>
      <c r="I30" s="214"/>
      <c r="J30" s="214"/>
      <c r="K30" s="214"/>
      <c r="L30" s="214"/>
      <c r="M30" s="214"/>
      <c r="N30" s="214"/>
      <c r="O30" s="214"/>
      <c r="P30" s="214"/>
      <c r="Q30" s="214"/>
      <c r="R30" s="214"/>
      <c r="S30" s="214"/>
      <c r="T30" s="214"/>
      <c r="U30" s="214"/>
      <c r="V30" s="214"/>
      <c r="W30" s="214"/>
      <c r="X30" s="214">
        <v>678325.22851124685</v>
      </c>
      <c r="Y30" s="214"/>
      <c r="Z30" s="214"/>
      <c r="AA30" s="214"/>
      <c r="AB30" s="214"/>
      <c r="AC30" s="214"/>
      <c r="AD30" s="214"/>
      <c r="AE30" s="214"/>
      <c r="AF30" s="214"/>
      <c r="AG30" s="214"/>
      <c r="AH30" s="214"/>
      <c r="AI30" s="214"/>
      <c r="AJ30" s="214"/>
      <c r="AK30" s="214">
        <v>678325.22851124685</v>
      </c>
    </row>
    <row r="31" spans="1:37" x14ac:dyDescent="0.25">
      <c r="A31" s="77">
        <v>2030</v>
      </c>
      <c r="B31" s="214"/>
      <c r="C31" s="214"/>
      <c r="D31" s="214"/>
      <c r="E31" s="214"/>
      <c r="F31" s="214"/>
      <c r="G31" s="214"/>
      <c r="H31" s="214"/>
      <c r="I31" s="214"/>
      <c r="J31" s="214"/>
      <c r="K31" s="214"/>
      <c r="L31" s="214"/>
      <c r="M31" s="214"/>
      <c r="N31" s="214"/>
      <c r="O31" s="214"/>
      <c r="P31" s="214"/>
      <c r="Q31" s="214"/>
      <c r="R31" s="214"/>
      <c r="S31" s="214"/>
      <c r="T31" s="214"/>
      <c r="U31" s="214"/>
      <c r="V31" s="214"/>
      <c r="W31" s="214"/>
      <c r="X31" s="214">
        <v>697432.39568518498</v>
      </c>
      <c r="Y31" s="214"/>
      <c r="Z31" s="214"/>
      <c r="AA31" s="214"/>
      <c r="AB31" s="214"/>
      <c r="AC31" s="214"/>
      <c r="AD31" s="214"/>
      <c r="AE31" s="214"/>
      <c r="AF31" s="214"/>
      <c r="AG31" s="214"/>
      <c r="AH31" s="214"/>
      <c r="AI31" s="214"/>
      <c r="AJ31" s="214"/>
      <c r="AK31" s="214">
        <v>697432.39568518498</v>
      </c>
    </row>
    <row r="32" spans="1:37" x14ac:dyDescent="0.25">
      <c r="A32" s="77">
        <v>2050</v>
      </c>
      <c r="B32" s="214"/>
      <c r="C32" s="214"/>
      <c r="D32" s="214"/>
      <c r="E32" s="214"/>
      <c r="F32" s="214"/>
      <c r="G32" s="214"/>
      <c r="H32" s="214"/>
      <c r="I32" s="214"/>
      <c r="J32" s="214"/>
      <c r="K32" s="214"/>
      <c r="L32" s="214"/>
      <c r="M32" s="214"/>
      <c r="N32" s="214"/>
      <c r="O32" s="214"/>
      <c r="P32" s="214"/>
      <c r="Q32" s="214"/>
      <c r="R32" s="214"/>
      <c r="S32" s="214"/>
      <c r="T32" s="214"/>
      <c r="U32" s="214"/>
      <c r="V32" s="214"/>
      <c r="W32" s="214"/>
      <c r="X32" s="214">
        <v>672005.07849363028</v>
      </c>
      <c r="Y32" s="214"/>
      <c r="Z32" s="214"/>
      <c r="AA32" s="214"/>
      <c r="AB32" s="214"/>
      <c r="AC32" s="214"/>
      <c r="AD32" s="214"/>
      <c r="AE32" s="214"/>
      <c r="AF32" s="214"/>
      <c r="AG32" s="214"/>
      <c r="AH32" s="214"/>
      <c r="AI32" s="214"/>
      <c r="AJ32" s="214"/>
      <c r="AK32" s="214">
        <v>672005.07849363028</v>
      </c>
    </row>
    <row r="33" spans="1:37" x14ac:dyDescent="0.25">
      <c r="A33" s="76" t="s">
        <v>61</v>
      </c>
      <c r="B33" s="214">
        <v>182574.19618217932</v>
      </c>
      <c r="C33" s="214">
        <v>210294.99956339563</v>
      </c>
      <c r="D33" s="214">
        <v>1462905.7868523435</v>
      </c>
      <c r="E33" s="214">
        <v>6746430.2214969648</v>
      </c>
      <c r="F33" s="214">
        <v>281468.55244752642</v>
      </c>
      <c r="G33" s="214">
        <v>27264.558180549313</v>
      </c>
      <c r="H33" s="214">
        <v>197788.71253069426</v>
      </c>
      <c r="I33" s="214">
        <v>1445379.0531089196</v>
      </c>
      <c r="J33" s="214">
        <v>428226</v>
      </c>
      <c r="K33" s="214">
        <v>39986232.403271481</v>
      </c>
      <c r="L33" s="214">
        <v>1513844.376677237</v>
      </c>
      <c r="M33" s="214">
        <v>11875898.550724771</v>
      </c>
      <c r="N33" s="214">
        <v>2948427</v>
      </c>
      <c r="O33" s="214">
        <v>15742917.328426423</v>
      </c>
      <c r="P33" s="214">
        <v>995654</v>
      </c>
      <c r="Q33" s="214">
        <v>692260.49385742994</v>
      </c>
      <c r="R33" s="214">
        <v>20831141.6449682</v>
      </c>
      <c r="S33" s="214">
        <v>41596848.793284312</v>
      </c>
      <c r="T33" s="214">
        <v>4941932.4897397971</v>
      </c>
      <c r="U33" s="214">
        <v>18774649.92003949</v>
      </c>
      <c r="V33" s="214">
        <v>2647325.8446415998</v>
      </c>
      <c r="W33" s="214">
        <v>336392.95646566537</v>
      </c>
      <c r="X33" s="214">
        <v>2047762.7026900621</v>
      </c>
      <c r="Y33" s="214">
        <v>2771242.2859726176</v>
      </c>
      <c r="Z33" s="214">
        <v>128513.61084429733</v>
      </c>
      <c r="AA33" s="214">
        <v>15017210.496861221</v>
      </c>
      <c r="AB33" s="214">
        <v>49174852.4533379</v>
      </c>
      <c r="AC33" s="214">
        <v>682979.63888483576</v>
      </c>
      <c r="AD33" s="214">
        <v>603171.33247569925</v>
      </c>
      <c r="AE33" s="214">
        <v>8800578.9441841338</v>
      </c>
      <c r="AF33" s="214">
        <v>698062.56799516035</v>
      </c>
      <c r="AG33" s="214">
        <v>655284.06486081984</v>
      </c>
      <c r="AH33" s="214">
        <v>58452760.332225777</v>
      </c>
      <c r="AI33" s="214">
        <v>2635036.3492985531</v>
      </c>
      <c r="AJ33" s="214">
        <v>2457092.6309540803</v>
      </c>
      <c r="AK33" s="214">
        <v>317990405.29304415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0" width="11.28515625" bestFit="1" customWidth="1"/>
    <col min="11" max="11" width="13.140625" bestFit="1" customWidth="1"/>
    <col min="12" max="12" width="10.140625" bestFit="1" customWidth="1"/>
    <col min="13" max="13" width="8.85546875" bestFit="1" customWidth="1"/>
    <col min="14" max="14" width="14.5703125" bestFit="1" customWidth="1"/>
    <col min="15" max="15" width="9.28515625" bestFit="1" customWidth="1"/>
    <col min="16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5" t="s">
        <v>278</v>
      </c>
      <c r="B2" s="76">
        <v>1</v>
      </c>
    </row>
    <row r="4" spans="1:10" x14ac:dyDescent="0.25">
      <c r="A4" s="75" t="s">
        <v>305</v>
      </c>
      <c r="B4" s="75" t="s">
        <v>62</v>
      </c>
    </row>
    <row r="5" spans="1:10" x14ac:dyDescent="0.25">
      <c r="A5" s="75" t="s">
        <v>60</v>
      </c>
      <c r="B5" t="s">
        <v>102</v>
      </c>
      <c r="C5" t="s">
        <v>6</v>
      </c>
      <c r="D5" t="s">
        <v>103</v>
      </c>
      <c r="E5" t="s">
        <v>115</v>
      </c>
      <c r="F5" t="s">
        <v>14</v>
      </c>
      <c r="G5" t="s">
        <v>158</v>
      </c>
      <c r="H5" t="s">
        <v>54</v>
      </c>
      <c r="I5" t="s">
        <v>159</v>
      </c>
      <c r="J5" t="s">
        <v>61</v>
      </c>
    </row>
    <row r="6" spans="1:10" x14ac:dyDescent="0.25">
      <c r="A6" s="76">
        <v>2019</v>
      </c>
      <c r="B6" s="74">
        <v>370459.67448149773</v>
      </c>
      <c r="C6" s="74">
        <v>203936.60569913458</v>
      </c>
      <c r="D6" s="74">
        <v>282332.03034110228</v>
      </c>
      <c r="E6" s="74">
        <v>944817.29105430027</v>
      </c>
      <c r="F6" s="74">
        <v>0</v>
      </c>
      <c r="G6" s="74">
        <v>142742</v>
      </c>
      <c r="H6" s="74">
        <v>420628.93071698514</v>
      </c>
      <c r="I6" s="74">
        <v>5421074.2654714445</v>
      </c>
      <c r="J6" s="74">
        <v>7785990.7977644643</v>
      </c>
    </row>
    <row r="7" spans="1:10" x14ac:dyDescent="0.25">
      <c r="A7" s="76">
        <v>2030</v>
      </c>
      <c r="B7" s="74">
        <v>0</v>
      </c>
      <c r="C7" s="74">
        <v>214730.89604157759</v>
      </c>
      <c r="D7" s="74">
        <v>0</v>
      </c>
      <c r="E7" s="74">
        <v>925665.22791706468</v>
      </c>
      <c r="F7" s="74">
        <v>0</v>
      </c>
      <c r="G7" s="74">
        <v>142742</v>
      </c>
      <c r="H7" s="74">
        <v>438365.53046636889</v>
      </c>
      <c r="I7" s="74">
        <v>5284803.7857603254</v>
      </c>
      <c r="J7" s="74">
        <v>7006307.4401853364</v>
      </c>
    </row>
    <row r="8" spans="1:10" x14ac:dyDescent="0.25">
      <c r="A8" s="76">
        <v>2050</v>
      </c>
      <c r="B8" s="74">
        <v>0</v>
      </c>
      <c r="C8" s="74">
        <v>242414.90437786453</v>
      </c>
      <c r="D8" s="74">
        <v>0</v>
      </c>
      <c r="E8" s="74">
        <v>764553.83032718813</v>
      </c>
      <c r="F8" s="74">
        <v>6687.6021110492293</v>
      </c>
      <c r="G8" s="74">
        <v>142742</v>
      </c>
      <c r="H8" s="74">
        <v>460568.82999267662</v>
      </c>
      <c r="I8" s="74">
        <v>5037039.2771946527</v>
      </c>
      <c r="J8" s="74">
        <v>6654006.4440034311</v>
      </c>
    </row>
    <row r="9" spans="1:10" x14ac:dyDescent="0.25">
      <c r="A9" s="76" t="s">
        <v>61</v>
      </c>
      <c r="B9" s="74">
        <v>370459.67448149773</v>
      </c>
      <c r="C9" s="74">
        <v>661082.40611857676</v>
      </c>
      <c r="D9" s="74">
        <v>282332.03034110228</v>
      </c>
      <c r="E9" s="74">
        <v>2635036.3492985531</v>
      </c>
      <c r="F9" s="74">
        <v>6687.6021110492293</v>
      </c>
      <c r="G9" s="74">
        <v>428226</v>
      </c>
      <c r="H9" s="74">
        <v>1319563.2911760306</v>
      </c>
      <c r="I9" s="74">
        <v>15742917.328426423</v>
      </c>
      <c r="J9" s="74">
        <v>21446304.681953229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A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bestFit="1" customWidth="1"/>
    <col min="2" max="2" width="16.28515625" bestFit="1" customWidth="1"/>
    <col min="3" max="3" width="9.140625" bestFit="1" customWidth="1"/>
    <col min="4" max="4" width="11" bestFit="1" customWidth="1"/>
    <col min="5" max="5" width="11.5703125" bestFit="1" customWidth="1"/>
    <col min="6" max="6" width="11.140625" bestFit="1" customWidth="1"/>
    <col min="7" max="7" width="9.85546875" bestFit="1" customWidth="1"/>
    <col min="8" max="8" width="11" bestFit="1" customWidth="1"/>
    <col min="9" max="9" width="13.140625" bestFit="1" customWidth="1"/>
    <col min="10" max="11" width="9.85546875" bestFit="1" customWidth="1"/>
    <col min="12" max="12" width="13.85546875" bestFit="1" customWidth="1"/>
    <col min="13" max="13" width="9.85546875" bestFit="1" customWidth="1"/>
    <col min="14" max="14" width="16" bestFit="1" customWidth="1"/>
    <col min="15" max="15" width="10" bestFit="1" customWidth="1"/>
    <col min="16" max="16" width="8.7109375" bestFit="1" customWidth="1"/>
    <col min="17" max="17" width="11" bestFit="1" customWidth="1"/>
    <col min="18" max="18" width="9.85546875" bestFit="1" customWidth="1"/>
    <col min="19" max="19" width="21" bestFit="1" customWidth="1"/>
    <col min="20" max="20" width="20.7109375" bestFit="1" customWidth="1"/>
    <col min="21" max="21" width="9.85546875" bestFit="1" customWidth="1"/>
    <col min="22" max="22" width="5.140625" bestFit="1" customWidth="1"/>
    <col min="23" max="23" width="16" bestFit="1" customWidth="1"/>
    <col min="24" max="25" width="9.85546875" bestFit="1" customWidth="1"/>
    <col min="26" max="26" width="9.28515625" bestFit="1" customWidth="1"/>
    <col min="27" max="27" width="12" bestFit="1" customWidth="1"/>
    <col min="28" max="28" width="10.140625" bestFit="1" customWidth="1"/>
    <col min="29" max="31" width="11.28515625" bestFit="1" customWidth="1"/>
    <col min="32" max="32" width="10.140625" bestFit="1" customWidth="1"/>
    <col min="33" max="33" width="12.140625" bestFit="1" customWidth="1"/>
    <col min="34" max="34" width="8.8554687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10.42578125" bestFit="1" customWidth="1"/>
    <col min="40" max="40" width="12.28515625" bestFit="1" customWidth="1"/>
    <col min="41" max="41" width="14.5703125" bestFit="1" customWidth="1"/>
    <col min="42" max="43" width="9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2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27" x14ac:dyDescent="0.25">
      <c r="A2" s="75" t="s">
        <v>300</v>
      </c>
      <c r="B2" s="76">
        <v>1</v>
      </c>
    </row>
    <row r="4" spans="1:27" x14ac:dyDescent="0.25">
      <c r="A4" s="75" t="s">
        <v>252</v>
      </c>
      <c r="B4" s="75" t="s">
        <v>62</v>
      </c>
    </row>
    <row r="5" spans="1:27" x14ac:dyDescent="0.25">
      <c r="A5" s="75" t="s">
        <v>60</v>
      </c>
      <c r="B5" t="s">
        <v>15</v>
      </c>
      <c r="C5" t="s">
        <v>49</v>
      </c>
      <c r="D5" t="s">
        <v>110</v>
      </c>
      <c r="E5" t="s">
        <v>101</v>
      </c>
      <c r="F5" t="s">
        <v>96</v>
      </c>
      <c r="G5" t="s">
        <v>113</v>
      </c>
      <c r="H5" t="s">
        <v>51</v>
      </c>
      <c r="I5" t="s">
        <v>103</v>
      </c>
      <c r="J5" t="s">
        <v>12</v>
      </c>
      <c r="K5" t="s">
        <v>48</v>
      </c>
      <c r="L5" t="s">
        <v>108</v>
      </c>
      <c r="M5" t="s">
        <v>53</v>
      </c>
      <c r="N5" t="s">
        <v>116</v>
      </c>
      <c r="O5" t="s">
        <v>106</v>
      </c>
      <c r="P5" t="s">
        <v>14</v>
      </c>
      <c r="Q5" t="s">
        <v>117</v>
      </c>
      <c r="R5" t="s">
        <v>52</v>
      </c>
      <c r="S5" t="s">
        <v>121</v>
      </c>
      <c r="T5" t="s">
        <v>107</v>
      </c>
      <c r="U5" t="s">
        <v>13</v>
      </c>
      <c r="V5" t="s">
        <v>99</v>
      </c>
      <c r="W5" t="s">
        <v>140</v>
      </c>
      <c r="X5" t="s">
        <v>56</v>
      </c>
      <c r="Y5" t="s">
        <v>55</v>
      </c>
      <c r="Z5" t="s">
        <v>238</v>
      </c>
      <c r="AA5" t="s">
        <v>61</v>
      </c>
    </row>
    <row r="6" spans="1:27" x14ac:dyDescent="0.25">
      <c r="A6" s="76">
        <v>2019</v>
      </c>
      <c r="B6" s="94">
        <v>176596.89940199585</v>
      </c>
      <c r="C6" s="94">
        <v>212954.7645341866</v>
      </c>
      <c r="D6" s="94">
        <v>3230529.0722415126</v>
      </c>
      <c r="E6" s="94">
        <v>1352218.0071428574</v>
      </c>
      <c r="F6" s="94">
        <v>138275.28002889914</v>
      </c>
      <c r="G6" s="94">
        <v>1508282.669250763</v>
      </c>
      <c r="H6" s="94">
        <v>4087571.5535632996</v>
      </c>
      <c r="I6" s="94"/>
      <c r="J6" s="94">
        <v>2041731.0676095125</v>
      </c>
      <c r="K6" s="94">
        <v>1976968.2090253732</v>
      </c>
      <c r="L6" s="94">
        <v>51892.132620096323</v>
      </c>
      <c r="M6" s="94">
        <v>1274488.0820395502</v>
      </c>
      <c r="N6" s="94">
        <v>2536783.2413289398</v>
      </c>
      <c r="O6" s="94">
        <v>880.09999999999991</v>
      </c>
      <c r="P6" s="94">
        <v>8064.2063400965635</v>
      </c>
      <c r="Q6" s="94">
        <v>5269000</v>
      </c>
      <c r="R6" s="94">
        <v>1637775.5474174484</v>
      </c>
      <c r="S6" s="94">
        <v>217010.36743552322</v>
      </c>
      <c r="T6" s="94">
        <v>105946.31157195524</v>
      </c>
      <c r="U6" s="94">
        <v>1382651.4311789067</v>
      </c>
      <c r="V6" s="94">
        <v>76.5</v>
      </c>
      <c r="W6" s="94">
        <v>4368323.901678659</v>
      </c>
      <c r="X6" s="94">
        <v>912099.45136908058</v>
      </c>
      <c r="Y6" s="94">
        <v>2006067.2488276002</v>
      </c>
      <c r="Z6" s="94">
        <v>98784.738662362797</v>
      </c>
      <c r="AA6" s="94">
        <v>34594970.783268616</v>
      </c>
    </row>
    <row r="7" spans="1:27" x14ac:dyDescent="0.25">
      <c r="A7" s="76">
        <v>2030</v>
      </c>
      <c r="B7" s="94">
        <v>170946.30461315686</v>
      </c>
      <c r="C7" s="94">
        <v>221734.27469450119</v>
      </c>
      <c r="D7" s="94">
        <v>5592870.5868648645</v>
      </c>
      <c r="E7" s="94">
        <v>453442.76340934308</v>
      </c>
      <c r="F7" s="94">
        <v>131018.05015567706</v>
      </c>
      <c r="G7" s="94">
        <v>1536609.9114825001</v>
      </c>
      <c r="H7" s="94">
        <v>4574065.475491859</v>
      </c>
      <c r="I7" s="94">
        <v>718058.01774869044</v>
      </c>
      <c r="J7" s="94">
        <v>2074886.4977874923</v>
      </c>
      <c r="K7" s="94">
        <v>2389282.9756574854</v>
      </c>
      <c r="L7" s="94">
        <v>77227.032746996076</v>
      </c>
      <c r="M7" s="94">
        <v>2001163.0190917293</v>
      </c>
      <c r="N7" s="94">
        <v>2468531.1111667752</v>
      </c>
      <c r="O7" s="94">
        <v>880.09999999999991</v>
      </c>
      <c r="P7" s="94">
        <v>1709.9716434609509</v>
      </c>
      <c r="Q7" s="94">
        <v>5216592.6341052745</v>
      </c>
      <c r="R7" s="94">
        <v>1794004.4501021868</v>
      </c>
      <c r="S7" s="94">
        <v>208732.58409629596</v>
      </c>
      <c r="T7" s="94">
        <v>99849.781295313049</v>
      </c>
      <c r="U7" s="94">
        <v>1294298.8490218334</v>
      </c>
      <c r="V7" s="94">
        <v>382.5</v>
      </c>
      <c r="W7" s="94">
        <v>1829491.2720672335</v>
      </c>
      <c r="X7" s="94">
        <v>933739.34333929513</v>
      </c>
      <c r="Y7" s="94">
        <v>2055003.2426024945</v>
      </c>
      <c r="Z7" s="94">
        <v>114380.74240720889</v>
      </c>
      <c r="AA7" s="94">
        <v>35958901.491591685</v>
      </c>
    </row>
    <row r="8" spans="1:27" x14ac:dyDescent="0.25">
      <c r="A8" s="76">
        <v>2050</v>
      </c>
      <c r="B8" s="94">
        <v>162317.36767727343</v>
      </c>
      <c r="C8" s="94">
        <v>210893.10462341903</v>
      </c>
      <c r="D8" s="94">
        <v>7026345.0921613742</v>
      </c>
      <c r="E8" s="94">
        <v>178923.74622928078</v>
      </c>
      <c r="F8" s="94">
        <v>119570.06432731522</v>
      </c>
      <c r="G8" s="94">
        <v>1433074.1712037951</v>
      </c>
      <c r="H8" s="94">
        <v>2982756.1787720933</v>
      </c>
      <c r="I8" s="94">
        <v>700822.02997791977</v>
      </c>
      <c r="J8" s="94">
        <v>1912897.876041021</v>
      </c>
      <c r="K8" s="94">
        <v>2313891.3389375592</v>
      </c>
      <c r="L8" s="94">
        <v>122753.48159481354</v>
      </c>
      <c r="M8" s="94">
        <v>1964071.9525106091</v>
      </c>
      <c r="N8" s="94">
        <v>2368708.1871831375</v>
      </c>
      <c r="O8" s="94">
        <v>880.09999999999991</v>
      </c>
      <c r="P8" s="94"/>
      <c r="Q8" s="94">
        <v>5119693.0284815514</v>
      </c>
      <c r="R8" s="94">
        <v>1830597.0172306281</v>
      </c>
      <c r="S8" s="94">
        <v>193960.34098460112</v>
      </c>
      <c r="T8" s="94">
        <v>89083.545536354475</v>
      </c>
      <c r="U8" s="94">
        <v>1143799.9939275736</v>
      </c>
      <c r="V8" s="94">
        <v>382.5</v>
      </c>
      <c r="W8" s="94">
        <v>762211.40896216873</v>
      </c>
      <c r="X8" s="94">
        <v>886511.28127233672</v>
      </c>
      <c r="Y8" s="94">
        <v>1955120.5101390816</v>
      </c>
      <c r="Z8" s="94">
        <v>112653.30228029896</v>
      </c>
      <c r="AA8" s="94">
        <v>33591917.6200542</v>
      </c>
    </row>
    <row r="9" spans="1:27" x14ac:dyDescent="0.25">
      <c r="A9" s="76" t="s">
        <v>61</v>
      </c>
      <c r="B9" s="94">
        <v>509860.57169242611</v>
      </c>
      <c r="C9" s="94">
        <v>645582.14385210676</v>
      </c>
      <c r="D9" s="94">
        <v>15849744.751267752</v>
      </c>
      <c r="E9" s="94">
        <v>1984584.5167814812</v>
      </c>
      <c r="F9" s="94">
        <v>388863.39451189141</v>
      </c>
      <c r="G9" s="94">
        <v>4477966.7519370578</v>
      </c>
      <c r="H9" s="94">
        <v>11644393.207827253</v>
      </c>
      <c r="I9" s="94">
        <v>1418880.0477266102</v>
      </c>
      <c r="J9" s="94">
        <v>6029515.4414380258</v>
      </c>
      <c r="K9" s="94">
        <v>6680142.5236204183</v>
      </c>
      <c r="L9" s="94">
        <v>251872.64696190594</v>
      </c>
      <c r="M9" s="94">
        <v>5239723.0536418883</v>
      </c>
      <c r="N9" s="94">
        <v>7374022.539678853</v>
      </c>
      <c r="O9" s="94">
        <v>2640.2999999999997</v>
      </c>
      <c r="P9" s="94">
        <v>9774.1779835575144</v>
      </c>
      <c r="Q9" s="94">
        <v>15605285.662586827</v>
      </c>
      <c r="R9" s="94">
        <v>5262377.0147502627</v>
      </c>
      <c r="S9" s="94">
        <v>619703.29251642036</v>
      </c>
      <c r="T9" s="94">
        <v>294879.63840362278</v>
      </c>
      <c r="U9" s="94">
        <v>3820750.2741283141</v>
      </c>
      <c r="V9" s="94">
        <v>841.5</v>
      </c>
      <c r="W9" s="94">
        <v>6960026.5827080617</v>
      </c>
      <c r="X9" s="94">
        <v>2732350.0759807127</v>
      </c>
      <c r="Y9" s="94">
        <v>6016191.0015691761</v>
      </c>
      <c r="Z9" s="94">
        <v>325818.78334987065</v>
      </c>
      <c r="AA9" s="94">
        <v>104145789.89491449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D34" sqref="D34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5" t="s">
        <v>62</v>
      </c>
    </row>
    <row r="4" spans="1:11" x14ac:dyDescent="0.25">
      <c r="A4" s="75" t="s">
        <v>60</v>
      </c>
      <c r="B4" t="s">
        <v>230</v>
      </c>
      <c r="C4" t="s">
        <v>158</v>
      </c>
      <c r="D4" t="s">
        <v>224</v>
      </c>
      <c r="E4" t="s">
        <v>227</v>
      </c>
      <c r="F4" t="s">
        <v>226</v>
      </c>
      <c r="G4" t="s">
        <v>222</v>
      </c>
      <c r="H4" t="s">
        <v>312</v>
      </c>
      <c r="I4" t="s">
        <v>231</v>
      </c>
      <c r="J4" t="s">
        <v>225</v>
      </c>
      <c r="K4" t="s">
        <v>61</v>
      </c>
    </row>
    <row r="5" spans="1:11" x14ac:dyDescent="0.25">
      <c r="A5" s="76" t="s">
        <v>285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</row>
    <row r="6" spans="1:11" x14ac:dyDescent="0.25">
      <c r="A6" s="77">
        <v>2019</v>
      </c>
      <c r="B6" s="212">
        <v>17.543930524502301</v>
      </c>
      <c r="C6" s="212">
        <v>0</v>
      </c>
      <c r="D6" s="212">
        <v>0</v>
      </c>
      <c r="E6" s="212">
        <v>19.591464268115235</v>
      </c>
      <c r="F6" s="212">
        <v>0</v>
      </c>
      <c r="G6" s="212">
        <v>0</v>
      </c>
      <c r="H6" s="212">
        <v>0</v>
      </c>
      <c r="I6" s="212">
        <v>3.9505661308495017</v>
      </c>
      <c r="J6" s="212">
        <v>47.491430804576645</v>
      </c>
      <c r="K6" s="212">
        <v>88.577391728043679</v>
      </c>
    </row>
    <row r="7" spans="1:11" x14ac:dyDescent="0.25">
      <c r="A7" s="77">
        <v>2030</v>
      </c>
      <c r="B7" s="212">
        <v>14.678649289287103</v>
      </c>
      <c r="C7" s="212">
        <v>0</v>
      </c>
      <c r="D7" s="212">
        <v>20.46888379301523</v>
      </c>
      <c r="E7" s="212">
        <v>43.745095635723615</v>
      </c>
      <c r="F7" s="212">
        <v>1.1331835E-3</v>
      </c>
      <c r="G7" s="212">
        <v>0.9767157123837249</v>
      </c>
      <c r="H7" s="212">
        <v>0</v>
      </c>
      <c r="I7" s="212">
        <v>7.8112428316740701</v>
      </c>
      <c r="J7" s="212">
        <v>45.382683089213458</v>
      </c>
      <c r="K7" s="212">
        <v>133.06440353479718</v>
      </c>
    </row>
    <row r="8" spans="1:11" x14ac:dyDescent="0.25">
      <c r="A8" s="77">
        <v>2050</v>
      </c>
      <c r="B8" s="212">
        <v>10.068588212156007</v>
      </c>
      <c r="C8" s="212">
        <v>0</v>
      </c>
      <c r="D8" s="212">
        <v>17.507230362576006</v>
      </c>
      <c r="E8" s="212">
        <v>48.680669859134994</v>
      </c>
      <c r="F8" s="212">
        <v>1.1331835E-3</v>
      </c>
      <c r="G8" s="212">
        <v>0.38540174937787086</v>
      </c>
      <c r="H8" s="212">
        <v>0</v>
      </c>
      <c r="I8" s="212">
        <v>7.5264568791286592</v>
      </c>
      <c r="J8" s="212">
        <v>45.77603591800802</v>
      </c>
      <c r="K8" s="212">
        <v>129.94551616388156</v>
      </c>
    </row>
    <row r="9" spans="1:11" x14ac:dyDescent="0.25">
      <c r="A9" s="76" t="s">
        <v>243</v>
      </c>
      <c r="B9" s="212"/>
      <c r="C9" s="212"/>
      <c r="D9" s="212"/>
      <c r="E9" s="212"/>
      <c r="F9" s="212"/>
      <c r="G9" s="212"/>
      <c r="H9" s="212"/>
      <c r="I9" s="212"/>
      <c r="J9" s="212"/>
      <c r="K9" s="212"/>
    </row>
    <row r="10" spans="1:11" x14ac:dyDescent="0.25">
      <c r="A10" s="77">
        <v>2019</v>
      </c>
      <c r="B10" s="212">
        <v>7.483154704207001</v>
      </c>
      <c r="C10" s="212">
        <v>2.1694819870080004</v>
      </c>
      <c r="D10" s="212">
        <v>1.420171986175</v>
      </c>
      <c r="E10" s="212">
        <v>0.45076703431999982</v>
      </c>
      <c r="F10" s="212">
        <v>0</v>
      </c>
      <c r="G10" s="212">
        <v>5.0922829580050024</v>
      </c>
      <c r="H10" s="212">
        <v>0</v>
      </c>
      <c r="I10" s="212">
        <v>0</v>
      </c>
      <c r="J10" s="212">
        <v>0</v>
      </c>
      <c r="K10" s="212">
        <v>16.615858669715003</v>
      </c>
    </row>
    <row r="11" spans="1:11" x14ac:dyDescent="0.25">
      <c r="A11" s="77">
        <v>2030</v>
      </c>
      <c r="B11" s="212">
        <v>4.0123558190228108</v>
      </c>
      <c r="C11" s="212">
        <v>2.1694819870080004</v>
      </c>
      <c r="D11" s="212">
        <v>0</v>
      </c>
      <c r="E11" s="212">
        <v>0</v>
      </c>
      <c r="F11" s="212">
        <v>0</v>
      </c>
      <c r="G11" s="212">
        <v>15.376338739383602</v>
      </c>
      <c r="H11" s="212">
        <v>0</v>
      </c>
      <c r="I11" s="212">
        <v>0</v>
      </c>
      <c r="J11" s="212">
        <v>0</v>
      </c>
      <c r="K11" s="212">
        <v>21.558176545414412</v>
      </c>
    </row>
    <row r="12" spans="1:11" x14ac:dyDescent="0.25">
      <c r="A12" s="77">
        <v>2050</v>
      </c>
      <c r="B12" s="212">
        <v>5.0872686366759083</v>
      </c>
      <c r="C12" s="212">
        <v>2.1694819870080004</v>
      </c>
      <c r="D12" s="212">
        <v>0</v>
      </c>
      <c r="E12" s="212">
        <v>0</v>
      </c>
      <c r="F12" s="212">
        <v>0</v>
      </c>
      <c r="G12" s="212">
        <v>17.565716583876835</v>
      </c>
      <c r="H12" s="212">
        <v>0</v>
      </c>
      <c r="I12" s="212">
        <v>0</v>
      </c>
      <c r="J12" s="212">
        <v>0</v>
      </c>
      <c r="K12" s="212">
        <v>24.822467207560742</v>
      </c>
    </row>
    <row r="13" spans="1:11" x14ac:dyDescent="0.25">
      <c r="A13" s="76" t="s">
        <v>286</v>
      </c>
      <c r="B13" s="212">
        <v>42.29116802594541</v>
      </c>
      <c r="C13" s="212">
        <v>0</v>
      </c>
      <c r="D13" s="212">
        <v>37.976114155591233</v>
      </c>
      <c r="E13" s="212">
        <v>112.01722976297384</v>
      </c>
      <c r="F13" s="212">
        <v>2.266367E-3</v>
      </c>
      <c r="G13" s="212">
        <v>1.3621174617615956</v>
      </c>
      <c r="H13" s="212">
        <v>0</v>
      </c>
      <c r="I13" s="212">
        <v>19.288265841652233</v>
      </c>
      <c r="J13" s="212">
        <v>138.65014981179814</v>
      </c>
      <c r="K13" s="212">
        <v>351.58731142672241</v>
      </c>
    </row>
    <row r="14" spans="1:11" x14ac:dyDescent="0.25">
      <c r="A14" s="76" t="s">
        <v>244</v>
      </c>
      <c r="B14" s="212">
        <v>16.582779159905719</v>
      </c>
      <c r="C14" s="212">
        <v>6.5084459610240017</v>
      </c>
      <c r="D14" s="212">
        <v>1.420171986175</v>
      </c>
      <c r="E14" s="212">
        <v>0.45076703431999982</v>
      </c>
      <c r="F14" s="212">
        <v>0</v>
      </c>
      <c r="G14" s="212">
        <v>38.034338281265441</v>
      </c>
      <c r="H14" s="212">
        <v>0</v>
      </c>
      <c r="I14" s="212">
        <v>0</v>
      </c>
      <c r="J14" s="212">
        <v>0</v>
      </c>
      <c r="K14" s="212">
        <v>62.996502422690156</v>
      </c>
    </row>
  </sheetData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5" t="s">
        <v>239</v>
      </c>
      <c r="B1" s="75" t="s">
        <v>62</v>
      </c>
    </row>
    <row r="2" spans="1:9" x14ac:dyDescent="0.25">
      <c r="A2" s="75" t="s">
        <v>60</v>
      </c>
      <c r="B2" t="s">
        <v>230</v>
      </c>
      <c r="C2" t="s">
        <v>158</v>
      </c>
      <c r="D2" t="s">
        <v>224</v>
      </c>
      <c r="E2" t="s">
        <v>227</v>
      </c>
      <c r="F2" t="s">
        <v>226</v>
      </c>
      <c r="G2" t="s">
        <v>222</v>
      </c>
      <c r="H2" t="s">
        <v>225</v>
      </c>
      <c r="I2" t="s">
        <v>61</v>
      </c>
    </row>
    <row r="3" spans="1:9" x14ac:dyDescent="0.25">
      <c r="A3" s="76">
        <v>2019</v>
      </c>
      <c r="B3" s="213">
        <v>1077304.94</v>
      </c>
      <c r="C3" s="213">
        <v>128467.8</v>
      </c>
      <c r="D3" s="213">
        <v>128726.35999999999</v>
      </c>
      <c r="E3" s="213">
        <v>1676887.9013836056</v>
      </c>
      <c r="F3" s="213">
        <v>0</v>
      </c>
      <c r="G3" s="213">
        <v>704016.11583333346</v>
      </c>
      <c r="H3" s="213">
        <v>1575935.1462763192</v>
      </c>
      <c r="I3" s="213">
        <v>5291338.2634932585</v>
      </c>
    </row>
    <row r="4" spans="1:9" x14ac:dyDescent="0.25">
      <c r="A4" s="76">
        <v>2030</v>
      </c>
      <c r="B4" s="213">
        <v>1137423.5648385542</v>
      </c>
      <c r="C4" s="213">
        <v>128467.8</v>
      </c>
      <c r="D4" s="213">
        <v>2239888.1288856766</v>
      </c>
      <c r="E4" s="213">
        <v>3665250.2773501943</v>
      </c>
      <c r="F4" s="213">
        <v>189.39</v>
      </c>
      <c r="G4" s="213">
        <v>2210080.3180264877</v>
      </c>
      <c r="H4" s="213">
        <v>1503974.5536280596</v>
      </c>
      <c r="I4" s="213">
        <v>10885274.032728972</v>
      </c>
    </row>
    <row r="5" spans="1:9" x14ac:dyDescent="0.25">
      <c r="A5" s="76">
        <v>2050</v>
      </c>
      <c r="B5" s="213">
        <v>1150052.3061987155</v>
      </c>
      <c r="C5" s="213">
        <v>128467.8</v>
      </c>
      <c r="D5" s="213">
        <v>1790512.7192554944</v>
      </c>
      <c r="E5" s="213">
        <v>4069006.9406604851</v>
      </c>
      <c r="F5" s="213">
        <v>189.39</v>
      </c>
      <c r="G5" s="213">
        <v>2433815.2686092323</v>
      </c>
      <c r="H5" s="213">
        <v>1523026.0725507722</v>
      </c>
      <c r="I5" s="213">
        <v>11095070.497274699</v>
      </c>
    </row>
    <row r="6" spans="1:9" x14ac:dyDescent="0.25">
      <c r="A6" s="76" t="s">
        <v>61</v>
      </c>
      <c r="B6" s="213">
        <v>3364780.8110372694</v>
      </c>
      <c r="C6" s="213">
        <v>385403.4</v>
      </c>
      <c r="D6" s="213">
        <v>4159127.2081411709</v>
      </c>
      <c r="E6" s="213">
        <v>9411145.1193942837</v>
      </c>
      <c r="F6" s="213">
        <v>378.78</v>
      </c>
      <c r="G6" s="213">
        <v>5347911.7024690537</v>
      </c>
      <c r="H6" s="213">
        <v>4602935.7724551503</v>
      </c>
      <c r="I6" s="213">
        <v>27271682.793496929</v>
      </c>
    </row>
  </sheetData>
  <pageMargins left="0.7" right="0.7" top="0.75" bottom="0.75" header="0.3" footer="0.3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4.710937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5" t="s">
        <v>198</v>
      </c>
      <c r="B1" s="75" t="s">
        <v>62</v>
      </c>
    </row>
    <row r="2" spans="1:10" x14ac:dyDescent="0.25">
      <c r="A2" s="75" t="s">
        <v>60</v>
      </c>
      <c r="B2" t="s">
        <v>111</v>
      </c>
      <c r="C2" t="s">
        <v>200</v>
      </c>
      <c r="D2" t="s">
        <v>193</v>
      </c>
      <c r="E2" t="s">
        <v>194</v>
      </c>
      <c r="F2" t="s">
        <v>10</v>
      </c>
      <c r="G2" t="s">
        <v>261</v>
      </c>
      <c r="H2" t="s">
        <v>310</v>
      </c>
      <c r="I2" t="s">
        <v>332</v>
      </c>
      <c r="J2" t="s">
        <v>61</v>
      </c>
    </row>
    <row r="3" spans="1:10" x14ac:dyDescent="0.25">
      <c r="A3" s="76">
        <v>2019</v>
      </c>
      <c r="B3" s="94">
        <v>13910380.018766819</v>
      </c>
      <c r="C3" s="94">
        <v>-158.43719999999996</v>
      </c>
      <c r="D3" s="94">
        <v>5519261.9007367166</v>
      </c>
      <c r="E3" s="94">
        <v>9725344.026449265</v>
      </c>
      <c r="F3" s="94">
        <v>-562410</v>
      </c>
      <c r="G3" s="94">
        <v>-165207.21089505972</v>
      </c>
      <c r="H3" s="94">
        <v>0</v>
      </c>
      <c r="I3" s="94">
        <v>-606450.26032409817</v>
      </c>
      <c r="J3" s="94">
        <v>27820760.037533641</v>
      </c>
    </row>
    <row r="4" spans="1:10" x14ac:dyDescent="0.25">
      <c r="A4" s="76">
        <v>2030</v>
      </c>
      <c r="B4" s="94">
        <v>11635959.929105373</v>
      </c>
      <c r="C4" s="94">
        <v>-158.43719999999996</v>
      </c>
      <c r="D4" s="94">
        <v>5458126.7080017729</v>
      </c>
      <c r="E4" s="94">
        <v>8758493.8205350302</v>
      </c>
      <c r="F4" s="94">
        <v>-1506235.598111971</v>
      </c>
      <c r="G4" s="94">
        <v>-465812.99708206637</v>
      </c>
      <c r="H4" s="94">
        <v>0</v>
      </c>
      <c r="I4" s="94">
        <v>-608453.5670373945</v>
      </c>
      <c r="J4" s="94">
        <v>23271919.858210742</v>
      </c>
    </row>
    <row r="5" spans="1:10" x14ac:dyDescent="0.25">
      <c r="A5" s="76">
        <v>2050</v>
      </c>
      <c r="B5" s="94">
        <v>5982305.027657412</v>
      </c>
      <c r="C5" s="94">
        <v>-158.43719999999996</v>
      </c>
      <c r="D5" s="94">
        <v>5346052.9408816844</v>
      </c>
      <c r="E5" s="94">
        <v>5988081.1767114392</v>
      </c>
      <c r="F5" s="94">
        <v>-3453383.6897283746</v>
      </c>
      <c r="G5" s="94">
        <v>-531599.37200353772</v>
      </c>
      <c r="H5" s="94">
        <v>0</v>
      </c>
      <c r="I5" s="94">
        <v>-1366687.5910038012</v>
      </c>
      <c r="J5" s="94">
        <v>11964610.055314822</v>
      </c>
    </row>
    <row r="6" spans="1:10" x14ac:dyDescent="0.25">
      <c r="A6" s="76" t="s">
        <v>61</v>
      </c>
      <c r="B6" s="94">
        <v>31528644.975529604</v>
      </c>
      <c r="C6" s="94">
        <v>-475.31159999999988</v>
      </c>
      <c r="D6" s="94">
        <v>16323441.549620174</v>
      </c>
      <c r="E6" s="94">
        <v>24471919.023695737</v>
      </c>
      <c r="F6" s="94">
        <v>-5522029.2878403459</v>
      </c>
      <c r="G6" s="94">
        <v>-1162619.579980664</v>
      </c>
      <c r="H6" s="94">
        <v>0</v>
      </c>
      <c r="I6" s="94">
        <v>-2581591.4183652941</v>
      </c>
      <c r="J6" s="94">
        <v>63057289.951059207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4">
        <f ca="1">SUMIF('Resultater - Vestdanmark'!$F$3:$F$509,'CO2-udledning'!$D$2,'Resultater - Vestdanmark'!H$3:H$509)</f>
        <v>11941424.383000549</v>
      </c>
      <c r="D2" s="94" t="s">
        <v>111</v>
      </c>
      <c r="E2" s="94" t="s">
        <v>111</v>
      </c>
    </row>
    <row r="3" spans="1:9" x14ac:dyDescent="0.25">
      <c r="A3" t="s">
        <v>23</v>
      </c>
      <c r="B3">
        <f t="shared" si="0"/>
        <v>2019</v>
      </c>
      <c r="C3" s="94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4" t="s">
        <v>167</v>
      </c>
      <c r="H3" s="94" t="s">
        <v>168</v>
      </c>
      <c r="I3" s="94" t="s">
        <v>169</v>
      </c>
    </row>
    <row r="4" spans="1:9" x14ac:dyDescent="0.25">
      <c r="A4" t="s">
        <v>23</v>
      </c>
      <c r="B4">
        <f t="shared" si="0"/>
        <v>2019</v>
      </c>
      <c r="C4" s="94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4170153.6479513268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>
        <f t="shared" si="0"/>
        <v>2019</v>
      </c>
      <c r="C5" s="94">
        <f>SUMIFS('Resultater - Vestdanmark'!H$3:H$496,'Resultater - Vestdanmark'!$F$3:$F$496,'CO2-udledning'!$D$2,'Resultater - Vestdanmark'!$C$3:$C$496,'CO2-udledning'!$F5)</f>
        <v>1273957.4753938417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>
        <f t="shared" si="0"/>
        <v>2019</v>
      </c>
      <c r="C6" s="94">
        <f>SUMIFS('Resultater - Vestdanmark'!H$3:H$496,'Resultater - Vestdanmark'!$F$3:$F$496,'CO2-udledning'!$D$2,'Resultater - Vestdanmark'!$C$3:$C$496,'CO2-udledning'!$F6)</f>
        <v>2482763.8616224034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>
        <f t="shared" si="0"/>
        <v>2019</v>
      </c>
      <c r="C7" s="94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>
        <f t="shared" si="0"/>
        <v>2019</v>
      </c>
      <c r="C8" s="94">
        <f>SUMIFS('Resultater - Vestdanmark'!H$3:H$496,'Resultater - Vestdanmark'!$F$3:$F$496,'CO2-udledning'!$D$2,'Resultater - Vestdanmark'!$A$3:$A$496,'CO2-udledning'!$G8)</f>
        <v>-435064.52162306459</v>
      </c>
      <c r="D8" t="s">
        <v>10</v>
      </c>
      <c r="E8" t="s">
        <v>10</v>
      </c>
      <c r="G8" t="s">
        <v>197</v>
      </c>
    </row>
    <row r="9" spans="1:9" x14ac:dyDescent="0.25">
      <c r="A9" t="s">
        <v>23</v>
      </c>
      <c r="B9">
        <f t="shared" si="0"/>
        <v>2019</v>
      </c>
      <c r="C9" s="94">
        <f>SUMIFS('Resultater - Vestdanmark'!H$3:H$496,'Resultater - Vestdanmark'!$F$3:$F$496,'CO2-udledning'!$D$2,'Resultater - Vestdanmark'!$A$3:$A$496,'CO2-udledning'!$G9)</f>
        <v>-469132.82551179174</v>
      </c>
      <c r="D9" t="s">
        <v>331</v>
      </c>
      <c r="E9" t="s">
        <v>332</v>
      </c>
      <c r="G9" t="s">
        <v>330</v>
      </c>
    </row>
    <row r="10" spans="1:9" x14ac:dyDescent="0.25">
      <c r="A10" t="s">
        <v>23</v>
      </c>
      <c r="B10">
        <f t="shared" si="0"/>
        <v>2019</v>
      </c>
      <c r="C10" s="94">
        <f ca="1">SUMIFS('Resultater - Vestdanmark'!H$3:H$496,'Resultater - Vestdanmark'!$F$3:$F$496,'CO2-udledning'!$D$2,'Resultater - Vestdanmark'!$A$3:$A$496,'CO2-udledning'!$G10)</f>
        <v>-151930.36566196129</v>
      </c>
      <c r="D10" t="s">
        <v>261</v>
      </c>
      <c r="E10" t="s">
        <v>261</v>
      </c>
      <c r="G10" t="s">
        <v>261</v>
      </c>
    </row>
    <row r="11" spans="1:9" x14ac:dyDescent="0.25">
      <c r="A11" t="s">
        <v>23</v>
      </c>
      <c r="B11">
        <f t="shared" si="0"/>
        <v>2019</v>
      </c>
      <c r="C11" s="94">
        <f ca="1">SUMIFS('Resultater - Vestdanmark'!H$3:H$496,'Resultater - Vestdanmark'!$F$3:$F$496,'CO2-udledning'!$D$2,'Resultater - Vestdanmark'!$A$3:$A$496,'CO2-udledning'!$G11)</f>
        <v>0</v>
      </c>
      <c r="D11" t="s">
        <v>310</v>
      </c>
      <c r="E11" t="s">
        <v>310</v>
      </c>
      <c r="G11" t="s">
        <v>310</v>
      </c>
    </row>
    <row r="12" spans="1:9" x14ac:dyDescent="0.25">
      <c r="A12" t="s">
        <v>23</v>
      </c>
      <c r="B12">
        <f t="shared" ref="B12:B21" si="1">År2</f>
        <v>2030</v>
      </c>
      <c r="C12" s="94">
        <f ca="1">SUMIF('Resultater - Vestdanmark'!$F$3:$F$509,'CO2-udledning'!$D$2,'Resultater - Vestdanmark'!I$3:I$509)</f>
        <v>9301808.9563893583</v>
      </c>
      <c r="D12" s="94" t="str">
        <f>IF(D2&lt;&gt;"",D2,"")</f>
        <v>CO2 - atmosfære</v>
      </c>
      <c r="E12" s="94" t="str">
        <f>E2</f>
        <v>CO2 - atmosfære</v>
      </c>
      <c r="F12" s="94" t="str">
        <f t="shared" ref="F12:I12" si="2">IF(F2&lt;&gt;"",F2,"")</f>
        <v/>
      </c>
      <c r="G12" s="94" t="str">
        <f t="shared" si="2"/>
        <v/>
      </c>
      <c r="H12" s="94" t="str">
        <f t="shared" si="2"/>
        <v/>
      </c>
      <c r="I12" s="94" t="str">
        <f t="shared" si="2"/>
        <v/>
      </c>
    </row>
    <row r="13" spans="1:9" x14ac:dyDescent="0.25">
      <c r="A13" t="s">
        <v>23</v>
      </c>
      <c r="B13">
        <f t="shared" si="1"/>
        <v>2030</v>
      </c>
      <c r="C13" s="94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5015258.8213962922</v>
      </c>
      <c r="D13" s="94" t="str">
        <f t="shared" ref="D13:I13" si="3">IF(D3&lt;&gt;"",D3,"")</f>
        <v>Landbrug</v>
      </c>
      <c r="E13" s="94" t="str">
        <f t="shared" ref="E13:E61" si="4">E3</f>
        <v>Husdyr</v>
      </c>
      <c r="F13" s="94" t="str">
        <f t="shared" si="3"/>
        <v/>
      </c>
      <c r="G13" s="94" t="str">
        <f t="shared" si="3"/>
        <v>Grisestald</v>
      </c>
      <c r="H13" s="94" t="str">
        <f t="shared" si="3"/>
        <v>Kostald</v>
      </c>
      <c r="I13" s="94" t="str">
        <f t="shared" si="3"/>
        <v>Fjerkræbrug</v>
      </c>
    </row>
    <row r="14" spans="1:9" x14ac:dyDescent="0.25">
      <c r="A14" t="s">
        <v>23</v>
      </c>
      <c r="B14">
        <f t="shared" si="1"/>
        <v>2030</v>
      </c>
      <c r="C14" s="94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3926047.2332474049</v>
      </c>
      <c r="D14" s="94" t="str">
        <f t="shared" ref="D14:I14" si="5">IF(D4&lt;&gt;"",D4,"")</f>
        <v>Landbrug</v>
      </c>
      <c r="E14" s="94" t="str">
        <f t="shared" si="4"/>
        <v>Marker</v>
      </c>
      <c r="F14" s="94" t="str">
        <f t="shared" si="5"/>
        <v>JB1-10</v>
      </c>
      <c r="G14" s="94" t="str">
        <f t="shared" si="5"/>
        <v/>
      </c>
      <c r="H14" s="94" t="str">
        <f t="shared" si="5"/>
        <v/>
      </c>
      <c r="I14" s="94" t="str">
        <f t="shared" si="5"/>
        <v/>
      </c>
    </row>
    <row r="15" spans="1:9" x14ac:dyDescent="0.25">
      <c r="A15" t="s">
        <v>23</v>
      </c>
      <c r="B15">
        <f t="shared" si="1"/>
        <v>2030</v>
      </c>
      <c r="C15" s="94">
        <f>SUMIFS('Resultater - Vestdanmark'!I$3:I$496,'Resultater - Vestdanmark'!$F$3:$F$496,'CO2-udledning'!$D$2,'Resultater - Vestdanmark'!$C$3:$C$496,'CO2-udledning'!$F5)</f>
        <v>1202420.0951645882</v>
      </c>
      <c r="D15" s="94" t="str">
        <f t="shared" ref="D15:I15" si="6">IF(D5&lt;&gt;"",D5,"")</f>
        <v>Landbrug</v>
      </c>
      <c r="E15" s="94" t="str">
        <f t="shared" si="4"/>
        <v>Marker</v>
      </c>
      <c r="F15" s="94" t="str">
        <f t="shared" si="6"/>
        <v>OC6</v>
      </c>
      <c r="G15" s="94" t="str">
        <f t="shared" si="6"/>
        <v/>
      </c>
      <c r="H15" s="94" t="str">
        <f t="shared" si="6"/>
        <v/>
      </c>
      <c r="I15" s="94" t="str">
        <f t="shared" si="6"/>
        <v/>
      </c>
    </row>
    <row r="16" spans="1:9" x14ac:dyDescent="0.25">
      <c r="A16" t="s">
        <v>23</v>
      </c>
      <c r="B16">
        <f t="shared" si="1"/>
        <v>2030</v>
      </c>
      <c r="C16" s="94">
        <f>SUMIFS('Resultater - Vestdanmark'!I$3:I$496,'Resultater - Vestdanmark'!$F$3:$F$496,'CO2-udledning'!$D$2,'Resultater - Vestdanmark'!$C$3:$C$496,'CO2-udledning'!$F6)</f>
        <v>1839084.3419425203</v>
      </c>
      <c r="D16" s="94" t="str">
        <f t="shared" ref="D16:I16" si="7">IF(D6&lt;&gt;"",D6,"")</f>
        <v>Landbrug</v>
      </c>
      <c r="E16" s="94" t="str">
        <f t="shared" si="4"/>
        <v>Marker</v>
      </c>
      <c r="F16" s="94" t="str">
        <f t="shared" si="7"/>
        <v>OC12</v>
      </c>
      <c r="G16" s="94" t="str">
        <f t="shared" si="7"/>
        <v/>
      </c>
      <c r="H16" s="94" t="str">
        <f t="shared" si="7"/>
        <v/>
      </c>
      <c r="I16" s="94" t="str">
        <f t="shared" si="7"/>
        <v/>
      </c>
    </row>
    <row r="17" spans="1:9" x14ac:dyDescent="0.25">
      <c r="A17" t="s">
        <v>23</v>
      </c>
      <c r="B17">
        <f t="shared" si="1"/>
        <v>2030</v>
      </c>
      <c r="C17" s="94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-158.24317477886137</v>
      </c>
      <c r="D17" s="94" t="str">
        <f t="shared" ref="D17:I17" si="8">IF(D7&lt;&gt;"",D7,"")</f>
        <v>Hav</v>
      </c>
      <c r="E17" s="94" t="str">
        <f t="shared" si="4"/>
        <v>Hav</v>
      </c>
      <c r="F17" s="94" t="str">
        <f t="shared" si="8"/>
        <v/>
      </c>
      <c r="G17" s="94" t="str">
        <f t="shared" si="8"/>
        <v>Muslingefarm</v>
      </c>
      <c r="H17" s="94" t="str">
        <f t="shared" si="8"/>
        <v>Tangfarm</v>
      </c>
      <c r="I17" s="94" t="str">
        <f t="shared" si="8"/>
        <v/>
      </c>
    </row>
    <row r="18" spans="1:9" x14ac:dyDescent="0.25">
      <c r="A18" t="s">
        <v>23</v>
      </c>
      <c r="B18">
        <f t="shared" si="1"/>
        <v>2030</v>
      </c>
      <c r="C18" s="94">
        <f ca="1">SUMIFS('Resultater - Vestdanmark'!I$3:I$496,'Resultater - Vestdanmark'!$F$3:$F$496,'CO2-udledning'!$D$2,'Resultater - Vestdanmark'!$A$3:$A$496,'CO2-udledning'!$G8)</f>
        <v>-1763766.4824510801</v>
      </c>
      <c r="D18" s="94" t="str">
        <f t="shared" ref="D18:I18" si="9">IF(D8&lt;&gt;"",D8,"")</f>
        <v>Skov</v>
      </c>
      <c r="E18" s="94" t="str">
        <f t="shared" si="4"/>
        <v>Skov</v>
      </c>
      <c r="F18" s="94" t="str">
        <f t="shared" si="9"/>
        <v/>
      </c>
      <c r="G18" s="94" t="str">
        <f t="shared" si="9"/>
        <v>Skovproduktion</v>
      </c>
      <c r="H18" s="94" t="str">
        <f t="shared" si="9"/>
        <v/>
      </c>
      <c r="I18" s="94" t="str">
        <f t="shared" si="9"/>
        <v/>
      </c>
    </row>
    <row r="19" spans="1:9" x14ac:dyDescent="0.25">
      <c r="A19" t="s">
        <v>23</v>
      </c>
      <c r="B19">
        <f t="shared" si="1"/>
        <v>2030</v>
      </c>
      <c r="C19" s="94">
        <f ca="1">SUMIFS('Resultater - Vestdanmark'!I$3:I$496,'Resultater - Vestdanmark'!$F$3:$F$496,'CO2-udledning'!$D$2,'Resultater - Vestdanmark'!$A$3:$A$496,'CO2-udledning'!$G9)</f>
        <v>-491740.36233297375</v>
      </c>
      <c r="D19" t="s">
        <v>331</v>
      </c>
      <c r="E19" s="94" t="str">
        <f t="shared" si="4"/>
        <v>Træprodukter</v>
      </c>
      <c r="G19" t="s">
        <v>330</v>
      </c>
      <c r="H19" s="94"/>
      <c r="I19" s="94"/>
    </row>
    <row r="20" spans="1:9" x14ac:dyDescent="0.25">
      <c r="A20" t="s">
        <v>23</v>
      </c>
      <c r="B20">
        <f t="shared" si="1"/>
        <v>2030</v>
      </c>
      <c r="C20" s="94">
        <f>SUMIFS('Resultater - Vestdanmark'!I$3:I$496,'Resultater - Vestdanmark'!$F$3:$F$496,'CO2-udledning'!$D$2,'Resultater - Vestdanmark'!$A$3:$A$496,'CO2-udledning'!$G10)</f>
        <v>-425336.4474026151</v>
      </c>
      <c r="D20" s="94" t="str">
        <f t="shared" ref="D20:I20" si="10">IF(D10&lt;&gt;"",D10,"")</f>
        <v>Biogasanlæg</v>
      </c>
      <c r="E20" s="94" t="str">
        <f t="shared" si="4"/>
        <v>Biogasanlæg</v>
      </c>
      <c r="F20" s="94" t="str">
        <f t="shared" si="10"/>
        <v/>
      </c>
      <c r="G20" s="94" t="str">
        <f t="shared" si="10"/>
        <v>Biogasanlæg</v>
      </c>
      <c r="H20" s="94" t="str">
        <f t="shared" si="10"/>
        <v/>
      </c>
      <c r="I20" s="94" t="str">
        <f t="shared" si="10"/>
        <v/>
      </c>
    </row>
    <row r="21" spans="1:9" x14ac:dyDescent="0.25">
      <c r="A21" t="s">
        <v>23</v>
      </c>
      <c r="B21">
        <f t="shared" si="1"/>
        <v>2030</v>
      </c>
      <c r="C21" s="94">
        <f ca="1">SUMIFS('Resultater - Vestdanmark'!I$3:I$496,'Resultater - Vestdanmark'!$F$3:$F$496,'CO2-udledning'!$D$2,'Resultater - Vestdanmark'!$A$3:$A$496,'CO2-udledning'!$G11)</f>
        <v>0</v>
      </c>
      <c r="D21" s="94" t="str">
        <f t="shared" ref="D21:I21" si="11">IF(D11&lt;&gt;"",D11,"")</f>
        <v>Pyrolyseproces</v>
      </c>
      <c r="E21" s="94" t="str">
        <f t="shared" si="4"/>
        <v>Pyrolyseproces</v>
      </c>
      <c r="F21" s="94" t="str">
        <f t="shared" si="11"/>
        <v/>
      </c>
      <c r="G21" s="94" t="str">
        <f t="shared" si="11"/>
        <v>Pyrolyseproces</v>
      </c>
      <c r="H21" s="94" t="str">
        <f t="shared" si="11"/>
        <v/>
      </c>
      <c r="I21" s="94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4">
        <f ca="1">SUMIF('Resultater - Vestdanmark'!$F$3:$F$509,'CO2-udledning'!$D$2,'Resultater - Vestdanmark'!J$3:J$509)</f>
        <v>5315852.3188031418</v>
      </c>
      <c r="D22" s="94" t="str">
        <f t="shared" ref="D22:I22" si="13">IF(D12&lt;&gt;"",D12,"")</f>
        <v>CO2 - atmosfære</v>
      </c>
      <c r="E22" s="94" t="str">
        <f t="shared" si="4"/>
        <v>CO2 - atmosfære</v>
      </c>
      <c r="F22" s="94" t="str">
        <f t="shared" si="13"/>
        <v/>
      </c>
      <c r="G22" s="94" t="str">
        <f t="shared" si="13"/>
        <v/>
      </c>
      <c r="H22" s="94" t="str">
        <f t="shared" si="13"/>
        <v/>
      </c>
      <c r="I22" s="94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4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4915706.8925452614</v>
      </c>
      <c r="D23" s="94" t="str">
        <f t="shared" ref="D23:I23" si="14">IF(D13&lt;&gt;"",D13,"")</f>
        <v>Landbrug</v>
      </c>
      <c r="E23" s="94" t="str">
        <f t="shared" si="4"/>
        <v>Husdyr</v>
      </c>
      <c r="F23" s="94" t="str">
        <f t="shared" si="14"/>
        <v/>
      </c>
      <c r="G23" s="94" t="str">
        <f t="shared" si="14"/>
        <v>Grisestald</v>
      </c>
      <c r="H23" s="94" t="str">
        <f t="shared" si="14"/>
        <v>Kostald</v>
      </c>
      <c r="I23" s="94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4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3681930.3741319757</v>
      </c>
      <c r="D24" s="94" t="str">
        <f t="shared" ref="D24:I24" si="15">IF(D14&lt;&gt;"",D14,"")</f>
        <v>Landbrug</v>
      </c>
      <c r="E24" s="94" t="str">
        <f t="shared" si="4"/>
        <v>Marker</v>
      </c>
      <c r="F24" s="94" t="str">
        <f t="shared" si="15"/>
        <v>JB1-10</v>
      </c>
      <c r="G24" s="94" t="str">
        <f t="shared" si="15"/>
        <v/>
      </c>
      <c r="H24" s="94" t="str">
        <f t="shared" si="15"/>
        <v/>
      </c>
      <c r="I24" s="94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4">
        <f>SUMIFS('Resultater - Vestdanmark'!J$3:J$496,'Resultater - Vestdanmark'!$F$3:$F$496,'CO2-udledning'!$D$2,'Resultater - Vestdanmark'!$C$3:$C$496,'CO2-udledning'!$F5)</f>
        <v>998027.58022386348</v>
      </c>
      <c r="D25" s="94" t="str">
        <f t="shared" ref="D25:I25" si="16">IF(D15&lt;&gt;"",D15,"")</f>
        <v>Landbrug</v>
      </c>
      <c r="E25" s="94" t="str">
        <f t="shared" si="4"/>
        <v>Marker</v>
      </c>
      <c r="F25" s="94" t="str">
        <f t="shared" si="16"/>
        <v>OC6</v>
      </c>
      <c r="G25" s="94" t="str">
        <f t="shared" si="16"/>
        <v/>
      </c>
      <c r="H25" s="94" t="str">
        <f t="shared" si="16"/>
        <v/>
      </c>
      <c r="I25" s="94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4">
        <f>SUMIFS('Resultater - Vestdanmark'!J$3:J$496,'Resultater - Vestdanmark'!$F$3:$F$496,'CO2-udledning'!$D$2,'Resultater - Vestdanmark'!$C$3:$C$496,'CO2-udledning'!$F6)</f>
        <v>0</v>
      </c>
      <c r="D26" s="94" t="str">
        <f t="shared" ref="D26:I26" si="17">IF(D16&lt;&gt;"",D16,"")</f>
        <v>Landbrug</v>
      </c>
      <c r="E26" s="94" t="str">
        <f t="shared" si="4"/>
        <v>Marker</v>
      </c>
      <c r="F26" s="94" t="str">
        <f t="shared" si="17"/>
        <v>OC12</v>
      </c>
      <c r="G26" s="94" t="str">
        <f t="shared" si="17"/>
        <v/>
      </c>
      <c r="H26" s="94" t="str">
        <f t="shared" si="17"/>
        <v/>
      </c>
      <c r="I26" s="94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4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-158.24317477886137</v>
      </c>
      <c r="D27" s="94" t="str">
        <f t="shared" ref="D27:I27" si="18">IF(D17&lt;&gt;"",D17,"")</f>
        <v>Hav</v>
      </c>
      <c r="E27" s="94" t="str">
        <f t="shared" si="4"/>
        <v>Hav</v>
      </c>
      <c r="F27" s="94" t="str">
        <f t="shared" si="18"/>
        <v/>
      </c>
      <c r="G27" s="94" t="str">
        <f t="shared" si="18"/>
        <v>Muslingefarm</v>
      </c>
      <c r="H27" s="94" t="str">
        <f t="shared" si="18"/>
        <v>Tangfarm</v>
      </c>
      <c r="I27" s="94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4">
        <f ca="1">SUMIFS('Resultater - Vestdanmark'!J$3:J$496,'Resultater - Vestdanmark'!$F$3:$F$496,'CO2-udledning'!$D$2,'Resultater - Vestdanmark'!$A$3:$A$496,'CO2-udledning'!$G8)</f>
        <v>-2570873.911416363</v>
      </c>
      <c r="D28" s="94" t="str">
        <f t="shared" ref="D28:I28" si="19">IF(D18&lt;&gt;"",D18,"")</f>
        <v>Skov</v>
      </c>
      <c r="E28" s="94" t="str">
        <f t="shared" si="4"/>
        <v>Skov</v>
      </c>
      <c r="F28" s="94" t="str">
        <f t="shared" si="19"/>
        <v/>
      </c>
      <c r="G28" s="94" t="str">
        <f t="shared" si="19"/>
        <v>Skovproduktion</v>
      </c>
      <c r="H28" s="94" t="str">
        <f t="shared" si="19"/>
        <v/>
      </c>
      <c r="I28" s="94" t="str">
        <f t="shared" si="19"/>
        <v/>
      </c>
    </row>
    <row r="29" spans="1:9" x14ac:dyDescent="0.25">
      <c r="A29" t="s">
        <v>23</v>
      </c>
      <c r="B29">
        <f t="shared" si="12"/>
        <v>2050</v>
      </c>
      <c r="C29" s="94">
        <f ca="1">SUMIFS('Resultater - Vestdanmark'!J$3:J$496,'Resultater - Vestdanmark'!$F$3:$F$496,'CO2-udledning'!$D$2,'Resultater - Vestdanmark'!$A$3:$A$496,'CO2-udledning'!$G9)</f>
        <v>-1222711.8086435611</v>
      </c>
      <c r="D29" t="s">
        <v>331</v>
      </c>
      <c r="E29" s="94" t="str">
        <f t="shared" si="4"/>
        <v>Træprodukter</v>
      </c>
      <c r="G29" t="s">
        <v>330</v>
      </c>
      <c r="H29" s="94"/>
      <c r="I29" s="94"/>
    </row>
    <row r="30" spans="1:9" x14ac:dyDescent="0.25">
      <c r="A30" t="s">
        <v>23</v>
      </c>
      <c r="B30">
        <f t="shared" si="12"/>
        <v>2050</v>
      </c>
      <c r="C30" s="94">
        <f>SUMIFS('Resultater - Vestdanmark'!J$3:J$496,'Resultater - Vestdanmark'!$F$3:$F$496,'CO2-udledning'!$D$2,'Resultater - Vestdanmark'!$A$3:$A$496,'CO2-udledning'!$G10)</f>
        <v>-486068.56486325985</v>
      </c>
      <c r="D30" s="94" t="str">
        <f t="shared" ref="D30:I30" si="20">IF(D20&lt;&gt;"",D20,"")</f>
        <v>Biogasanlæg</v>
      </c>
      <c r="E30" s="94" t="str">
        <f t="shared" si="4"/>
        <v>Biogasanlæg</v>
      </c>
      <c r="F30" s="94" t="str">
        <f t="shared" si="20"/>
        <v/>
      </c>
      <c r="G30" s="94" t="str">
        <f t="shared" si="20"/>
        <v>Biogasanlæg</v>
      </c>
      <c r="H30" s="94" t="str">
        <f t="shared" si="20"/>
        <v/>
      </c>
      <c r="I30" s="94" t="str">
        <f t="shared" si="20"/>
        <v/>
      </c>
    </row>
    <row r="31" spans="1:9" x14ac:dyDescent="0.25">
      <c r="A31" t="s">
        <v>23</v>
      </c>
      <c r="B31">
        <f t="shared" si="12"/>
        <v>2050</v>
      </c>
      <c r="C31" s="94">
        <f ca="1">SUMIFS('Resultater - Vestdanmark'!J$3:J$496,'Resultater - Vestdanmark'!$F$3:$F$496,'CO2-udledning'!$D$2,'Resultater - Vestdanmark'!$A$3:$A$496,'CO2-udledning'!$G11)</f>
        <v>0</v>
      </c>
      <c r="D31" s="94" t="str">
        <f t="shared" ref="D31:I31" si="21">IF(D21&lt;&gt;"",D21,"")</f>
        <v>Pyrolyseproces</v>
      </c>
      <c r="E31" s="94" t="str">
        <f t="shared" si="4"/>
        <v>Pyrolyseproces</v>
      </c>
      <c r="F31" s="94" t="str">
        <f t="shared" si="21"/>
        <v/>
      </c>
      <c r="G31" s="94" t="str">
        <f t="shared" si="21"/>
        <v>Pyrolyseproces</v>
      </c>
      <c r="H31" s="94" t="str">
        <f t="shared" si="21"/>
        <v/>
      </c>
      <c r="I31" s="94" t="str">
        <f t="shared" si="21"/>
        <v/>
      </c>
    </row>
    <row r="32" spans="1:9" x14ac:dyDescent="0.25">
      <c r="A32" t="s">
        <v>24</v>
      </c>
      <c r="B32">
        <f t="shared" ref="B32:B41" si="22">År1</f>
        <v>2019</v>
      </c>
      <c r="C32" s="94">
        <f ca="1">SUMIF('Resultater - Østdanmark'!$F$3:$F$509,'CO2-udledning'!$D$2,'Resultater - Østdanmark'!H$3:H$509)</f>
        <v>1968955.6357662694</v>
      </c>
      <c r="D32" s="94" t="str">
        <f t="shared" ref="D32:I32" si="23">IF(D22&lt;&gt;"",D22,"")</f>
        <v>CO2 - atmosfære</v>
      </c>
      <c r="E32" s="94" t="str">
        <f t="shared" si="4"/>
        <v>CO2 - atmosfære</v>
      </c>
      <c r="F32" s="94" t="str">
        <f t="shared" si="23"/>
        <v/>
      </c>
      <c r="G32" s="94" t="str">
        <f t="shared" si="23"/>
        <v/>
      </c>
      <c r="H32" s="94" t="str">
        <f t="shared" si="23"/>
        <v/>
      </c>
      <c r="I32" s="94" t="str">
        <f t="shared" si="23"/>
        <v/>
      </c>
    </row>
    <row r="33" spans="1:9" x14ac:dyDescent="0.25">
      <c r="A33" t="s">
        <v>24</v>
      </c>
      <c r="B33">
        <f t="shared" si="22"/>
        <v>2019</v>
      </c>
      <c r="C33" s="94">
        <f ca="1"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4" t="str">
        <f t="shared" ref="D33:I33" si="24">IF(D23&lt;&gt;"",D23,"")</f>
        <v>Landbrug</v>
      </c>
      <c r="E33" s="94" t="str">
        <f t="shared" si="4"/>
        <v>Husdyr</v>
      </c>
      <c r="F33" s="94" t="str">
        <f t="shared" si="24"/>
        <v/>
      </c>
      <c r="G33" s="94" t="str">
        <f t="shared" si="24"/>
        <v>Grisestald</v>
      </c>
      <c r="H33" s="94" t="str">
        <f t="shared" si="24"/>
        <v>Kostald</v>
      </c>
      <c r="I33" s="94" t="str">
        <f t="shared" si="24"/>
        <v>Fjerkræbrug</v>
      </c>
    </row>
    <row r="34" spans="1:9" x14ac:dyDescent="0.25">
      <c r="A34" t="s">
        <v>24</v>
      </c>
      <c r="B34">
        <f t="shared" si="22"/>
        <v>2019</v>
      </c>
      <c r="C34" s="74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1230850.7571772484</v>
      </c>
      <c r="D34" s="94" t="str">
        <f t="shared" ref="D34:I34" si="25">IF(D24&lt;&gt;"",D24,"")</f>
        <v>Landbrug</v>
      </c>
      <c r="E34" s="94" t="str">
        <f t="shared" si="4"/>
        <v>Marker</v>
      </c>
      <c r="F34" s="94" t="str">
        <f t="shared" si="25"/>
        <v>JB1-10</v>
      </c>
      <c r="G34" s="94" t="str">
        <f t="shared" si="25"/>
        <v/>
      </c>
      <c r="H34" s="94" t="str">
        <f t="shared" si="25"/>
        <v/>
      </c>
      <c r="I34" s="94" t="str">
        <f t="shared" si="25"/>
        <v/>
      </c>
    </row>
    <row r="35" spans="1:9" x14ac:dyDescent="0.25">
      <c r="A35" t="s">
        <v>24</v>
      </c>
      <c r="B35">
        <f t="shared" si="22"/>
        <v>2019</v>
      </c>
      <c r="C35" s="74">
        <f>SUMIFS('Resultater - Østdanmark'!H$3:H$496,'Resultater - Østdanmark'!$F$3:$F$496,'CO2-udledning'!$D$2,'Resultater - Østdanmark'!$C$3:$C$496,'CO2-udledning'!$F5)</f>
        <v>193386.46389020365</v>
      </c>
      <c r="D35" s="94" t="str">
        <f t="shared" ref="D35:I35" si="26">IF(D25&lt;&gt;"",D25,"")</f>
        <v>Landbrug</v>
      </c>
      <c r="E35" s="94" t="str">
        <f t="shared" si="4"/>
        <v>Marker</v>
      </c>
      <c r="F35" s="94" t="str">
        <f t="shared" si="26"/>
        <v>OC6</v>
      </c>
      <c r="G35" s="94" t="str">
        <f t="shared" si="26"/>
        <v/>
      </c>
      <c r="H35" s="94" t="str">
        <f t="shared" si="26"/>
        <v/>
      </c>
      <c r="I35" s="94" t="str">
        <f t="shared" si="26"/>
        <v/>
      </c>
    </row>
    <row r="36" spans="1:9" x14ac:dyDescent="0.25">
      <c r="A36" t="s">
        <v>24</v>
      </c>
      <c r="B36">
        <f t="shared" si="22"/>
        <v>2019</v>
      </c>
      <c r="C36" s="74">
        <f>SUMIFS('Resultater - Østdanmark'!H$3:H$496,'Resultater - Østdanmark'!$F$3:$F$496,'CO2-udledning'!$D$2,'Resultater - Østdanmark'!$C$3:$C$496,'CO2-udledning'!$F6)</f>
        <v>374231.82041424053</v>
      </c>
      <c r="D36" s="94" t="str">
        <f t="shared" ref="D36:I36" si="27">IF(D26&lt;&gt;"",D26,"")</f>
        <v>Landbrug</v>
      </c>
      <c r="E36" s="94" t="str">
        <f t="shared" si="4"/>
        <v>Marker</v>
      </c>
      <c r="F36" s="94" t="str">
        <f t="shared" si="27"/>
        <v>OC12</v>
      </c>
      <c r="G36" s="94" t="str">
        <f t="shared" si="27"/>
        <v/>
      </c>
      <c r="H36" s="94" t="str">
        <f t="shared" si="27"/>
        <v/>
      </c>
      <c r="I36" s="94" t="str">
        <f t="shared" si="27"/>
        <v/>
      </c>
    </row>
    <row r="37" spans="1:9" x14ac:dyDescent="0.25">
      <c r="A37" t="s">
        <v>24</v>
      </c>
      <c r="B37">
        <f t="shared" si="22"/>
        <v>2019</v>
      </c>
      <c r="C37" s="94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4" t="str">
        <f t="shared" ref="D37:I37" si="28">IF(D27&lt;&gt;"",D27,"")</f>
        <v>Hav</v>
      </c>
      <c r="E37" s="94" t="str">
        <f t="shared" si="4"/>
        <v>Hav</v>
      </c>
      <c r="F37" s="94" t="str">
        <f t="shared" si="28"/>
        <v/>
      </c>
      <c r="G37" s="94" t="str">
        <f t="shared" si="28"/>
        <v>Muslingefarm</v>
      </c>
      <c r="H37" s="94" t="str">
        <f t="shared" si="28"/>
        <v>Tangfarm</v>
      </c>
      <c r="I37" s="94" t="str">
        <f t="shared" si="28"/>
        <v/>
      </c>
    </row>
    <row r="38" spans="1:9" x14ac:dyDescent="0.25">
      <c r="A38" t="s">
        <v>24</v>
      </c>
      <c r="B38">
        <f t="shared" si="22"/>
        <v>2019</v>
      </c>
      <c r="C38" s="94">
        <f ca="1">SUMIFS('Resultater - Østdanmark'!H$3:H$496,'Resultater - Østdanmark'!$F$3:$F$496,'CO2-udledning'!$D$2,'Resultater - Østdanmark'!$A$3:$A$496,'CO2-udledning'!$G38)</f>
        <v>-127345.4783769354</v>
      </c>
      <c r="D38" s="94" t="str">
        <f t="shared" ref="D38:I38" si="29">IF(D28&lt;&gt;"",D28,"")</f>
        <v>Skov</v>
      </c>
      <c r="E38" s="94" t="str">
        <f t="shared" si="4"/>
        <v>Skov</v>
      </c>
      <c r="F38" s="94" t="str">
        <f t="shared" si="29"/>
        <v/>
      </c>
      <c r="G38" s="94" t="str">
        <f t="shared" si="29"/>
        <v>Skovproduktion</v>
      </c>
      <c r="H38" s="94" t="str">
        <f t="shared" si="29"/>
        <v/>
      </c>
      <c r="I38" s="94" t="str">
        <f t="shared" si="29"/>
        <v/>
      </c>
    </row>
    <row r="39" spans="1:9" x14ac:dyDescent="0.25">
      <c r="A39" t="s">
        <v>24</v>
      </c>
      <c r="B39">
        <f t="shared" si="22"/>
        <v>2019</v>
      </c>
      <c r="C39" s="94">
        <f ca="1">SUMIFS('Resultater - Østdanmark'!H$3:H$496,'Resultater - Østdanmark'!$F$3:$F$496,'CO2-udledning'!$D$2,'Resultater - Østdanmark'!$A$3:$A$496,'CO2-udledning'!$G39)</f>
        <v>-137317.43481230648</v>
      </c>
      <c r="D39" t="s">
        <v>331</v>
      </c>
      <c r="E39" s="94" t="str">
        <f t="shared" si="4"/>
        <v>Træprodukter</v>
      </c>
      <c r="G39" t="s">
        <v>330</v>
      </c>
      <c r="H39" s="94"/>
      <c r="I39" s="94"/>
    </row>
    <row r="40" spans="1:9" x14ac:dyDescent="0.25">
      <c r="A40" t="s">
        <v>24</v>
      </c>
      <c r="B40">
        <f t="shared" si="22"/>
        <v>2019</v>
      </c>
      <c r="C40" s="94">
        <f ca="1">SUMIFS('Resultater - Østdanmark'!H$3:H$496,'Resultater - Østdanmark'!$F$3:$F$496,'CO2-udledning'!$D$2,'Resultater - Østdanmark'!$A$3:$A$496,'CO2-udledning'!$G40)</f>
        <v>-13276.84523309844</v>
      </c>
      <c r="D40" s="94" t="str">
        <f t="shared" ref="D40:I40" si="30">IF(D30&lt;&gt;"",D30,"")</f>
        <v>Biogasanlæg</v>
      </c>
      <c r="E40" s="94" t="str">
        <f t="shared" si="4"/>
        <v>Biogasanlæg</v>
      </c>
      <c r="F40" s="94" t="str">
        <f t="shared" si="30"/>
        <v/>
      </c>
      <c r="G40" s="94" t="str">
        <f t="shared" si="30"/>
        <v>Biogasanlæg</v>
      </c>
      <c r="H40" s="94" t="str">
        <f t="shared" si="30"/>
        <v/>
      </c>
      <c r="I40" s="94" t="str">
        <f t="shared" si="30"/>
        <v/>
      </c>
    </row>
    <row r="41" spans="1:9" x14ac:dyDescent="0.25">
      <c r="A41" t="s">
        <v>24</v>
      </c>
      <c r="B41">
        <f t="shared" si="22"/>
        <v>2019</v>
      </c>
      <c r="C41" s="94">
        <f ca="1">SUMIFS('Resultater - Østdanmark'!H$3:H$496,'Resultater - Østdanmark'!$F$3:$F$496,'CO2-udledning'!$D$2,'Resultater - Østdanmark'!$A$3:$A$496,'CO2-udledning'!$G41)</f>
        <v>0</v>
      </c>
      <c r="D41" s="94" t="str">
        <f t="shared" ref="D41:I41" si="31">IF(D31&lt;&gt;"",D31,"")</f>
        <v>Pyrolyseproces</v>
      </c>
      <c r="E41" s="94" t="str">
        <f t="shared" si="4"/>
        <v>Pyrolyseproces</v>
      </c>
      <c r="F41" s="94" t="str">
        <f t="shared" si="31"/>
        <v/>
      </c>
      <c r="G41" s="94" t="str">
        <f t="shared" si="31"/>
        <v>Pyrolyseproces</v>
      </c>
      <c r="H41" s="94" t="str">
        <f t="shared" si="31"/>
        <v/>
      </c>
      <c r="I41" s="94" t="str">
        <f t="shared" si="31"/>
        <v/>
      </c>
    </row>
    <row r="42" spans="1:9" x14ac:dyDescent="0.25">
      <c r="A42" t="s">
        <v>24</v>
      </c>
      <c r="B42">
        <f t="shared" ref="B42:B51" si="32">År2</f>
        <v>2030</v>
      </c>
      <c r="C42" s="94">
        <f ca="1">SUMIF('Resultater - Østdanmark'!$F$3:$F$509,'CO2-udledning'!$D$2,'Resultater - Østdanmark'!I$3:I$509)</f>
        <v>1559926.6741279515</v>
      </c>
      <c r="D42" s="94" t="str">
        <f t="shared" ref="D42:I42" si="33">IF(D32&lt;&gt;"",D32,"")</f>
        <v>CO2 - atmosfære</v>
      </c>
      <c r="E42" s="94" t="str">
        <f t="shared" si="4"/>
        <v>CO2 - atmosfære</v>
      </c>
      <c r="F42" s="94" t="str">
        <f t="shared" si="33"/>
        <v/>
      </c>
      <c r="G42" s="94" t="str">
        <f t="shared" si="33"/>
        <v/>
      </c>
      <c r="H42" s="94" t="str">
        <f t="shared" si="33"/>
        <v/>
      </c>
      <c r="I42" s="94" t="str">
        <f t="shared" si="33"/>
        <v/>
      </c>
    </row>
    <row r="43" spans="1:9" x14ac:dyDescent="0.25">
      <c r="A43" t="s">
        <v>24</v>
      </c>
      <c r="B43">
        <f t="shared" si="32"/>
        <v>2030</v>
      </c>
      <c r="C43" s="94">
        <f ca="1"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442867.88660548098</v>
      </c>
      <c r="D43" s="94" t="str">
        <f t="shared" ref="D43:I43" si="34">IF(D33&lt;&gt;"",D33,"")</f>
        <v>Landbrug</v>
      </c>
      <c r="E43" s="94" t="str">
        <f t="shared" si="4"/>
        <v>Husdyr</v>
      </c>
      <c r="F43" s="94" t="str">
        <f t="shared" si="34"/>
        <v/>
      </c>
      <c r="G43" s="94" t="str">
        <f t="shared" si="34"/>
        <v>Grisestald</v>
      </c>
      <c r="H43" s="94" t="str">
        <f t="shared" si="34"/>
        <v>Kostald</v>
      </c>
      <c r="I43" s="94" t="str">
        <f t="shared" si="34"/>
        <v>Fjerkræbrug</v>
      </c>
    </row>
    <row r="44" spans="1:9" x14ac:dyDescent="0.25">
      <c r="A44" t="s">
        <v>24</v>
      </c>
      <c r="B44">
        <f t="shared" si="32"/>
        <v>2030</v>
      </c>
      <c r="C44" s="74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1193699.424823981</v>
      </c>
      <c r="D44" s="94" t="str">
        <f t="shared" ref="D44:I44" si="35">IF(D34&lt;&gt;"",D34,"")</f>
        <v>Landbrug</v>
      </c>
      <c r="E44" s="94" t="str">
        <f t="shared" si="4"/>
        <v>Marker</v>
      </c>
      <c r="F44" s="94" t="str">
        <f t="shared" si="35"/>
        <v>JB1-10</v>
      </c>
      <c r="G44" s="94" t="str">
        <f t="shared" si="35"/>
        <v/>
      </c>
      <c r="H44" s="94" t="str">
        <f t="shared" si="35"/>
        <v/>
      </c>
      <c r="I44" s="94" t="str">
        <f t="shared" si="35"/>
        <v/>
      </c>
    </row>
    <row r="45" spans="1:9" x14ac:dyDescent="0.25">
      <c r="A45" t="s">
        <v>24</v>
      </c>
      <c r="B45">
        <f t="shared" si="32"/>
        <v>2030</v>
      </c>
      <c r="C45" s="74">
        <f>SUMIFS('Resultater - Østdanmark'!I$3:I$496,'Resultater - Østdanmark'!$F$3:$F$496,'CO2-udledning'!$D$2,'Resultater - Østdanmark'!$C$3:$C$496,'CO2-udledning'!$F5)</f>
        <v>182621.40301891766</v>
      </c>
      <c r="D45" s="94" t="str">
        <f t="shared" ref="D45:I45" si="36">IF(D35&lt;&gt;"",D35,"")</f>
        <v>Landbrug</v>
      </c>
      <c r="E45" s="94" t="str">
        <f t="shared" si="4"/>
        <v>Marker</v>
      </c>
      <c r="F45" s="94" t="str">
        <f t="shared" si="36"/>
        <v>OC6</v>
      </c>
      <c r="G45" s="94" t="str">
        <f t="shared" si="36"/>
        <v/>
      </c>
      <c r="H45" s="94" t="str">
        <f t="shared" si="36"/>
        <v/>
      </c>
      <c r="I45" s="94" t="str">
        <f t="shared" si="36"/>
        <v/>
      </c>
    </row>
    <row r="46" spans="1:9" x14ac:dyDescent="0.25">
      <c r="A46" t="s">
        <v>24</v>
      </c>
      <c r="B46">
        <f t="shared" si="32"/>
        <v>2030</v>
      </c>
      <c r="C46" s="74">
        <f>SUMIFS('Resultater - Østdanmark'!I$3:I$496,'Resultater - Østdanmark'!$F$3:$F$496,'CO2-udledning'!$D$2,'Resultater - Østdanmark'!$C$3:$C$496,'CO2-udledning'!$F6)</f>
        <v>279204.42809339461</v>
      </c>
      <c r="D46" s="94" t="str">
        <f t="shared" ref="D46:I46" si="37">IF(D36&lt;&gt;"",D36,"")</f>
        <v>Landbrug</v>
      </c>
      <c r="E46" s="94" t="str">
        <f t="shared" si="4"/>
        <v>Marker</v>
      </c>
      <c r="F46" s="94" t="str">
        <f t="shared" si="37"/>
        <v>OC12</v>
      </c>
      <c r="G46" s="94" t="str">
        <f t="shared" si="37"/>
        <v/>
      </c>
      <c r="H46" s="94" t="str">
        <f t="shared" si="37"/>
        <v/>
      </c>
      <c r="I46" s="94" t="str">
        <f t="shared" si="37"/>
        <v/>
      </c>
    </row>
    <row r="47" spans="1:9" x14ac:dyDescent="0.25">
      <c r="A47" t="s">
        <v>24</v>
      </c>
      <c r="B47">
        <f t="shared" si="32"/>
        <v>2030</v>
      </c>
      <c r="C47" s="94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-0.19402522113858015</v>
      </c>
      <c r="D47" s="94" t="str">
        <f t="shared" ref="D47:I47" si="38">IF(D37&lt;&gt;"",D37,"")</f>
        <v>Hav</v>
      </c>
      <c r="E47" s="94" t="str">
        <f t="shared" si="4"/>
        <v>Hav</v>
      </c>
      <c r="F47" s="94" t="str">
        <f t="shared" si="38"/>
        <v/>
      </c>
      <c r="G47" s="94" t="str">
        <f t="shared" si="38"/>
        <v>Muslingefarm</v>
      </c>
      <c r="H47" s="94" t="str">
        <f t="shared" si="38"/>
        <v>Tangfarm</v>
      </c>
      <c r="I47" s="94" t="str">
        <f t="shared" si="38"/>
        <v/>
      </c>
    </row>
    <row r="48" spans="1:9" x14ac:dyDescent="0.25">
      <c r="A48" t="s">
        <v>24</v>
      </c>
      <c r="B48">
        <f t="shared" si="32"/>
        <v>2030</v>
      </c>
      <c r="C48" s="94">
        <f ca="1">SUMIFS('Resultater - Østdanmark'!I$3:I$496,'Resultater - Østdanmark'!$F$3:$F$496,'CO2-udledning'!$D$2,'Resultater - Østdanmark'!$A$3:$A$496,'CO2-udledning'!$G38)</f>
        <v>-359567.40233777399</v>
      </c>
      <c r="D48" s="94" t="str">
        <f t="shared" ref="D48:I48" si="39">IF(D38&lt;&gt;"",D38,"")</f>
        <v>Skov</v>
      </c>
      <c r="E48" s="94" t="str">
        <f t="shared" si="4"/>
        <v>Skov</v>
      </c>
      <c r="F48" s="94" t="str">
        <f t="shared" si="39"/>
        <v/>
      </c>
      <c r="G48" s="94" t="str">
        <f t="shared" si="39"/>
        <v>Skovproduktion</v>
      </c>
      <c r="H48" s="94" t="str">
        <f t="shared" si="39"/>
        <v/>
      </c>
      <c r="I48" s="94" t="str">
        <f t="shared" si="39"/>
        <v/>
      </c>
    </row>
    <row r="49" spans="1:9" x14ac:dyDescent="0.25">
      <c r="A49" t="s">
        <v>24</v>
      </c>
      <c r="B49">
        <f t="shared" si="32"/>
        <v>2030</v>
      </c>
      <c r="C49" s="94">
        <f ca="1">SUMIFS('Resultater - Østdanmark'!I$3:I$496,'Resultater - Østdanmark'!$F$3:$F$496,'CO2-udledning'!$D$2,'Resultater - Østdanmark'!$A$3:$A$496,'CO2-udledning'!$G39)</f>
        <v>-138422.3223713756</v>
      </c>
      <c r="D49" t="s">
        <v>331</v>
      </c>
      <c r="E49" s="94" t="str">
        <f t="shared" si="4"/>
        <v>Træprodukter</v>
      </c>
      <c r="G49" t="s">
        <v>330</v>
      </c>
      <c r="H49" s="94"/>
      <c r="I49" s="94"/>
    </row>
    <row r="50" spans="1:9" x14ac:dyDescent="0.25">
      <c r="A50" t="s">
        <v>24</v>
      </c>
      <c r="B50">
        <f t="shared" si="32"/>
        <v>2030</v>
      </c>
      <c r="C50" s="94">
        <f ca="1">SUMIFS('Resultater - Østdanmark'!I$3:I$496,'Resultater - Østdanmark'!$F$3:$F$496,'CO2-udledning'!$D$2,'Resultater - Østdanmark'!$A$3:$A$496,'CO2-udledning'!$G40)</f>
        <v>-40476.549679451244</v>
      </c>
      <c r="D50" s="94" t="str">
        <f t="shared" ref="D50:I50" si="40">IF(D40&lt;&gt;"",D40,"")</f>
        <v>Biogasanlæg</v>
      </c>
      <c r="E50" s="94" t="str">
        <f t="shared" si="4"/>
        <v>Biogasanlæg</v>
      </c>
      <c r="F50" s="94" t="str">
        <f t="shared" si="40"/>
        <v/>
      </c>
      <c r="G50" s="94" t="str">
        <f t="shared" si="40"/>
        <v>Biogasanlæg</v>
      </c>
      <c r="H50" s="94" t="str">
        <f t="shared" si="40"/>
        <v/>
      </c>
      <c r="I50" s="94" t="str">
        <f t="shared" si="40"/>
        <v/>
      </c>
    </row>
    <row r="51" spans="1:9" x14ac:dyDescent="0.25">
      <c r="A51" t="s">
        <v>24</v>
      </c>
      <c r="B51">
        <f t="shared" si="32"/>
        <v>2030</v>
      </c>
      <c r="C51" s="94">
        <f ca="1">SUMIFS('Resultater - Østdanmark'!I$3:I$496,'Resultater - Østdanmark'!$F$3:$F$496,'CO2-udledning'!$D$2,'Resultater - Østdanmark'!$A$3:$A$496,'CO2-udledning'!$G41)</f>
        <v>0</v>
      </c>
      <c r="D51" s="94" t="str">
        <f t="shared" ref="D51:I51" si="41">IF(D41&lt;&gt;"",D41,"")</f>
        <v>Pyrolyseproces</v>
      </c>
      <c r="E51" s="94" t="str">
        <f t="shared" si="4"/>
        <v>Pyrolyseproces</v>
      </c>
      <c r="F51" s="94" t="str">
        <f t="shared" si="41"/>
        <v/>
      </c>
      <c r="G51" s="94" t="str">
        <f t="shared" si="41"/>
        <v>Pyrolyseproces</v>
      </c>
      <c r="H51" s="94" t="str">
        <f t="shared" si="41"/>
        <v/>
      </c>
      <c r="I51" s="94" t="str">
        <f t="shared" si="41"/>
        <v/>
      </c>
    </row>
    <row r="52" spans="1:9" x14ac:dyDescent="0.25">
      <c r="A52" t="s">
        <v>24</v>
      </c>
      <c r="B52">
        <f t="shared" ref="B52:B61" si="42">År3</f>
        <v>2050</v>
      </c>
      <c r="C52" s="94">
        <f ca="1">SUMIF('Resultater - Østdanmark'!$F$3:$F$509,'CO2-udledning'!$D$2,'Resultater - Østdanmark'!J$3:J$509)</f>
        <v>908738.07003553002</v>
      </c>
      <c r="D52" s="94" t="str">
        <f t="shared" ref="D52:I52" si="43">IF(D42&lt;&gt;"",D42,"")</f>
        <v>CO2 - atmosfære</v>
      </c>
      <c r="E52" s="94" t="str">
        <f t="shared" si="4"/>
        <v>CO2 - atmosfære</v>
      </c>
      <c r="F52" s="94" t="str">
        <f t="shared" si="43"/>
        <v/>
      </c>
      <c r="G52" s="94" t="str">
        <f t="shared" si="43"/>
        <v/>
      </c>
      <c r="H52" s="94" t="str">
        <f t="shared" si="43"/>
        <v/>
      </c>
      <c r="I52" s="94" t="str">
        <f t="shared" si="43"/>
        <v/>
      </c>
    </row>
    <row r="53" spans="1:9" x14ac:dyDescent="0.25">
      <c r="A53" t="s">
        <v>24</v>
      </c>
      <c r="B53">
        <f t="shared" si="42"/>
        <v>2050</v>
      </c>
      <c r="C53" s="94">
        <f ca="1"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430346.04833642254</v>
      </c>
      <c r="D53" s="94" t="str">
        <f t="shared" ref="D53:I53" si="44">IF(D43&lt;&gt;"",D43,"")</f>
        <v>Landbrug</v>
      </c>
      <c r="E53" s="94" t="str">
        <f t="shared" si="4"/>
        <v>Husdyr</v>
      </c>
      <c r="F53" s="94" t="str">
        <f t="shared" si="44"/>
        <v/>
      </c>
      <c r="G53" s="94" t="str">
        <f t="shared" si="44"/>
        <v>Grisestald</v>
      </c>
      <c r="H53" s="94" t="str">
        <f t="shared" si="44"/>
        <v>Kostald</v>
      </c>
      <c r="I53" s="94" t="str">
        <f t="shared" si="44"/>
        <v>Fjerkræbrug</v>
      </c>
    </row>
    <row r="54" spans="1:9" x14ac:dyDescent="0.25">
      <c r="A54" t="s">
        <v>24</v>
      </c>
      <c r="B54">
        <f t="shared" si="42"/>
        <v>2050</v>
      </c>
      <c r="C54" s="74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1156544.5871639531</v>
      </c>
      <c r="D54" s="94" t="str">
        <f t="shared" ref="D54:I54" si="45">IF(D44&lt;&gt;"",D44,"")</f>
        <v>Landbrug</v>
      </c>
      <c r="E54" s="94" t="str">
        <f t="shared" si="4"/>
        <v>Marker</v>
      </c>
      <c r="F54" s="94" t="str">
        <f t="shared" si="45"/>
        <v>JB1-10</v>
      </c>
      <c r="G54" s="94" t="str">
        <f t="shared" si="45"/>
        <v/>
      </c>
      <c r="H54" s="94" t="str">
        <f t="shared" si="45"/>
        <v/>
      </c>
      <c r="I54" s="94" t="str">
        <f t="shared" si="45"/>
        <v/>
      </c>
    </row>
    <row r="55" spans="1:9" x14ac:dyDescent="0.25">
      <c r="A55" t="s">
        <v>24</v>
      </c>
      <c r="B55">
        <f t="shared" si="42"/>
        <v>2050</v>
      </c>
      <c r="C55" s="74">
        <f>SUMIFS('Resultater - Østdanmark'!J$3:J$496,'Resultater - Østdanmark'!$F$3:$F$496,'CO2-udledning'!$D$2,'Resultater - Østdanmark'!$C$3:$C$496,'CO2-udledning'!$F5)</f>
        <v>151578.63519164603</v>
      </c>
      <c r="D55" s="94" t="str">
        <f t="shared" ref="D55:I55" si="46">IF(D45&lt;&gt;"",D45,"")</f>
        <v>Landbrug</v>
      </c>
      <c r="E55" s="94" t="str">
        <f t="shared" si="4"/>
        <v>Marker</v>
      </c>
      <c r="F55" s="94" t="str">
        <f t="shared" si="46"/>
        <v>OC6</v>
      </c>
      <c r="G55" s="94" t="str">
        <f t="shared" si="46"/>
        <v/>
      </c>
      <c r="H55" s="94" t="str">
        <f t="shared" si="46"/>
        <v/>
      </c>
      <c r="I55" s="94" t="str">
        <f t="shared" si="46"/>
        <v/>
      </c>
    </row>
    <row r="56" spans="1:9" x14ac:dyDescent="0.25">
      <c r="A56" t="s">
        <v>24</v>
      </c>
      <c r="B56">
        <f t="shared" si="42"/>
        <v>2050</v>
      </c>
      <c r="C56" s="74">
        <f>SUMIFS('Resultater - Østdanmark'!J$3:J$496,'Resultater - Østdanmark'!$F$3:$F$496,'CO2-udledning'!$D$2,'Resultater - Østdanmark'!$C$3:$C$496,'CO2-udledning'!$F6)</f>
        <v>0</v>
      </c>
      <c r="D56" s="94" t="str">
        <f t="shared" ref="D56:I56" si="47">IF(D46&lt;&gt;"",D46,"")</f>
        <v>Landbrug</v>
      </c>
      <c r="E56" s="94" t="str">
        <f t="shared" si="4"/>
        <v>Marker</v>
      </c>
      <c r="F56" s="94" t="str">
        <f t="shared" si="47"/>
        <v>OC12</v>
      </c>
      <c r="G56" s="94" t="str">
        <f t="shared" si="47"/>
        <v/>
      </c>
      <c r="H56" s="94" t="str">
        <f t="shared" si="47"/>
        <v/>
      </c>
      <c r="I56" s="94" t="str">
        <f t="shared" si="47"/>
        <v/>
      </c>
    </row>
    <row r="57" spans="1:9" x14ac:dyDescent="0.25">
      <c r="A57" t="s">
        <v>24</v>
      </c>
      <c r="B57">
        <f t="shared" si="42"/>
        <v>2050</v>
      </c>
      <c r="C57" s="94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-0.19402522113858015</v>
      </c>
      <c r="D57" s="94" t="str">
        <f t="shared" ref="D57:I57" si="48">IF(D47&lt;&gt;"",D47,"")</f>
        <v>Hav</v>
      </c>
      <c r="E57" s="94" t="str">
        <f t="shared" si="4"/>
        <v>Hav</v>
      </c>
      <c r="F57" s="94" t="str">
        <f t="shared" si="48"/>
        <v/>
      </c>
      <c r="G57" s="94" t="str">
        <f t="shared" si="48"/>
        <v>Muslingefarm</v>
      </c>
      <c r="H57" s="94" t="str">
        <f t="shared" si="48"/>
        <v>Tangfarm</v>
      </c>
      <c r="I57" s="94" t="str">
        <f t="shared" si="48"/>
        <v/>
      </c>
    </row>
    <row r="58" spans="1:9" x14ac:dyDescent="0.25">
      <c r="A58" t="s">
        <v>24</v>
      </c>
      <c r="B58">
        <f t="shared" si="42"/>
        <v>2050</v>
      </c>
      <c r="C58" s="94">
        <f ca="1">SUMIFS('Resultater - Østdanmark'!J$3:J$496,'Resultater - Østdanmark'!$F$3:$F$496,'CO2-udledning'!$D$2,'Resultater - Østdanmark'!$A$3:$A$496,'CO2-udledning'!$G38)</f>
        <v>-517621.37809074466</v>
      </c>
      <c r="D58" s="94" t="str">
        <f t="shared" ref="D58:I58" si="49">IF(D48&lt;&gt;"",D48,"")</f>
        <v>Skov</v>
      </c>
      <c r="E58" s="94" t="str">
        <f t="shared" si="4"/>
        <v>Skov</v>
      </c>
      <c r="F58" s="94" t="str">
        <f t="shared" si="49"/>
        <v/>
      </c>
      <c r="G58" s="94" t="str">
        <f t="shared" si="49"/>
        <v>Skovproduktion</v>
      </c>
      <c r="H58" s="94" t="str">
        <f t="shared" si="49"/>
        <v/>
      </c>
      <c r="I58" s="94" t="str">
        <f t="shared" si="49"/>
        <v/>
      </c>
    </row>
    <row r="59" spans="1:9" x14ac:dyDescent="0.25">
      <c r="A59" t="s">
        <v>24</v>
      </c>
      <c r="B59">
        <f t="shared" si="42"/>
        <v>2050</v>
      </c>
      <c r="C59" s="94">
        <f ca="1">SUMIFS('Resultater - Østdanmark'!J$3:J$496,'Resultater - Østdanmark'!$F$3:$F$496,'CO2-udledning'!$D$2,'Resultater - Østdanmark'!$A$3:$A$496,'CO2-udledning'!$G39)</f>
        <v>-266578.82140024804</v>
      </c>
      <c r="D59" t="s">
        <v>331</v>
      </c>
      <c r="E59" s="94" t="str">
        <f t="shared" si="4"/>
        <v>Træprodukter</v>
      </c>
      <c r="G59" t="s">
        <v>330</v>
      </c>
      <c r="H59" s="94"/>
      <c r="I59" s="94"/>
    </row>
    <row r="60" spans="1:9" x14ac:dyDescent="0.25">
      <c r="A60" t="s">
        <v>24</v>
      </c>
      <c r="B60">
        <f t="shared" si="42"/>
        <v>2050</v>
      </c>
      <c r="C60" s="94">
        <f ca="1">SUMIFS('Resultater - Østdanmark'!J$3:J$496,'Resultater - Østdanmark'!$F$3:$F$496,'CO2-udledning'!$D$2,'Resultater - Østdanmark'!$A$3:$A$496,'CO2-udledning'!$G40)</f>
        <v>-45530.807140277917</v>
      </c>
      <c r="D60" s="94" t="str">
        <f t="shared" ref="D60:I60" si="50">IF(D50&lt;&gt;"",D50,"")</f>
        <v>Biogasanlæg</v>
      </c>
      <c r="E60" s="94" t="str">
        <f t="shared" si="4"/>
        <v>Biogasanlæg</v>
      </c>
      <c r="F60" s="94" t="str">
        <f t="shared" si="50"/>
        <v/>
      </c>
      <c r="G60" s="94" t="str">
        <f t="shared" si="50"/>
        <v>Biogasanlæg</v>
      </c>
      <c r="H60" s="94" t="str">
        <f t="shared" si="50"/>
        <v/>
      </c>
      <c r="I60" s="94" t="str">
        <f t="shared" si="50"/>
        <v/>
      </c>
    </row>
    <row r="61" spans="1:9" x14ac:dyDescent="0.25">
      <c r="A61" t="s">
        <v>24</v>
      </c>
      <c r="B61">
        <f t="shared" si="42"/>
        <v>2050</v>
      </c>
      <c r="C61" s="94">
        <f ca="1">SUMIFS('Resultater - Østdanmark'!J$3:J$496,'Resultater - Østdanmark'!$F$3:$F$496,'CO2-udledning'!$D$2,'Resultater - Østdanmark'!$A$3:$A$496,'CO2-udledning'!$G41)</f>
        <v>0</v>
      </c>
      <c r="D61" s="94" t="str">
        <f t="shared" ref="D61:I61" si="51">IF(D51&lt;&gt;"",D51,"")</f>
        <v>Pyrolyseproces</v>
      </c>
      <c r="E61" s="94" t="str">
        <f t="shared" si="4"/>
        <v>Pyrolyseproces</v>
      </c>
      <c r="F61" s="94" t="str">
        <f t="shared" si="51"/>
        <v/>
      </c>
      <c r="G61" s="94" t="str">
        <f t="shared" si="51"/>
        <v>Pyrolyseproces</v>
      </c>
      <c r="H61" s="94" t="str">
        <f t="shared" si="51"/>
        <v/>
      </c>
      <c r="I61" s="94" t="str">
        <f t="shared" si="51"/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5" t="s">
        <v>64</v>
      </c>
      <c r="B1" t="s">
        <v>80</v>
      </c>
    </row>
    <row r="3" spans="1:15" x14ac:dyDescent="0.25">
      <c r="A3" s="75" t="s">
        <v>126</v>
      </c>
      <c r="B3" s="75" t="s">
        <v>62</v>
      </c>
    </row>
    <row r="4" spans="1:15" x14ac:dyDescent="0.25">
      <c r="A4" s="75" t="s">
        <v>60</v>
      </c>
      <c r="B4" t="s">
        <v>49</v>
      </c>
      <c r="C4" t="s">
        <v>113</v>
      </c>
      <c r="D4" t="s">
        <v>54</v>
      </c>
      <c r="E4" t="s">
        <v>51</v>
      </c>
      <c r="F4" t="s">
        <v>6</v>
      </c>
      <c r="G4" t="s">
        <v>56</v>
      </c>
      <c r="H4" t="s">
        <v>12</v>
      </c>
      <c r="I4" t="s">
        <v>48</v>
      </c>
      <c r="J4" t="s">
        <v>53</v>
      </c>
      <c r="K4" t="s">
        <v>55</v>
      </c>
      <c r="L4" t="s">
        <v>95</v>
      </c>
      <c r="M4" t="s">
        <v>50</v>
      </c>
      <c r="N4" t="s">
        <v>52</v>
      </c>
      <c r="O4" t="s">
        <v>61</v>
      </c>
    </row>
    <row r="5" spans="1:15" x14ac:dyDescent="0.25">
      <c r="A5" s="76">
        <v>2019</v>
      </c>
      <c r="B5" s="94">
        <v>285369.85676311865</v>
      </c>
      <c r="C5" s="94">
        <v>1508282.669250763</v>
      </c>
      <c r="D5" s="94">
        <v>41728.949017214291</v>
      </c>
      <c r="E5" s="94">
        <v>17913006.538833313</v>
      </c>
      <c r="F5" s="94">
        <v>280322.43675931642</v>
      </c>
      <c r="G5" s="94">
        <v>912099.45136908058</v>
      </c>
      <c r="H5" s="94">
        <v>2263176.157376945</v>
      </c>
      <c r="I5" s="94">
        <v>9112085.8491583709</v>
      </c>
      <c r="J5" s="94">
        <v>7955921.1296188012</v>
      </c>
      <c r="K5" s="94">
        <v>2006067.2488276002</v>
      </c>
      <c r="L5" s="94">
        <v>209867.13867694439</v>
      </c>
      <c r="M5" s="94">
        <v>678325.22851124685</v>
      </c>
      <c r="N5" s="94">
        <v>2610834.0419031042</v>
      </c>
      <c r="O5" s="94">
        <v>45777086.696065806</v>
      </c>
    </row>
    <row r="6" spans="1:15" x14ac:dyDescent="0.25">
      <c r="A6" s="76">
        <v>2030</v>
      </c>
      <c r="B6" s="94">
        <v>292329.05624825694</v>
      </c>
      <c r="C6" s="94">
        <v>1536609.9114825001</v>
      </c>
      <c r="D6" s="94">
        <v>42881.706564856053</v>
      </c>
      <c r="E6" s="94">
        <v>17968444.792239871</v>
      </c>
      <c r="F6" s="94">
        <v>289312.26274375798</v>
      </c>
      <c r="G6" s="94">
        <v>933739.34333929513</v>
      </c>
      <c r="H6" s="94">
        <v>2305378.5955234999</v>
      </c>
      <c r="I6" s="94">
        <v>9376361.2933862042</v>
      </c>
      <c r="J6" s="94">
        <v>8192913.6512023881</v>
      </c>
      <c r="K6" s="94">
        <v>2055003.2426024945</v>
      </c>
      <c r="L6" s="94">
        <v>209871.78410050535</v>
      </c>
      <c r="M6" s="94">
        <v>697432.39568518498</v>
      </c>
      <c r="N6" s="94">
        <v>2714678.0595324179</v>
      </c>
      <c r="O6" s="94">
        <v>46614956.09465123</v>
      </c>
    </row>
    <row r="7" spans="1:15" x14ac:dyDescent="0.25">
      <c r="A7" s="76">
        <v>2050</v>
      </c>
      <c r="B7" s="94">
        <v>278178.23040412681</v>
      </c>
      <c r="C7" s="94">
        <v>1433074.1712037951</v>
      </c>
      <c r="D7" s="94">
        <v>41205.106350818656</v>
      </c>
      <c r="E7" s="94">
        <v>15749174.280025551</v>
      </c>
      <c r="F7" s="94">
        <v>283127.27105558576</v>
      </c>
      <c r="G7" s="94">
        <v>886511.28127233672</v>
      </c>
      <c r="H7" s="94">
        <v>2153221.1823950112</v>
      </c>
      <c r="I7" s="94">
        <v>9022837.0260440428</v>
      </c>
      <c r="J7" s="94">
        <v>7865538.192860188</v>
      </c>
      <c r="K7" s="94">
        <v>1955120.5101390816</v>
      </c>
      <c r="L7" s="94">
        <v>183432.40969824954</v>
      </c>
      <c r="M7" s="94">
        <v>672005.07849363028</v>
      </c>
      <c r="N7" s="94">
        <v>2708107.1992873591</v>
      </c>
      <c r="O7" s="94">
        <v>43231531.939229786</v>
      </c>
    </row>
    <row r="8" spans="1:15" x14ac:dyDescent="0.25">
      <c r="A8" s="76" t="s">
        <v>61</v>
      </c>
      <c r="B8" s="94">
        <v>855877.14341550239</v>
      </c>
      <c r="C8" s="94">
        <v>4477966.7519370578</v>
      </c>
      <c r="D8" s="94">
        <v>125815.761932889</v>
      </c>
      <c r="E8" s="94">
        <v>51630625.611098729</v>
      </c>
      <c r="F8" s="94">
        <v>852761.9705586601</v>
      </c>
      <c r="G8" s="94">
        <v>2732350.0759807127</v>
      </c>
      <c r="H8" s="94">
        <v>6721775.9352954561</v>
      </c>
      <c r="I8" s="94">
        <v>27511284.168588616</v>
      </c>
      <c r="J8" s="94">
        <v>24014372.973681375</v>
      </c>
      <c r="K8" s="94">
        <v>6016191.0015691761</v>
      </c>
      <c r="L8" s="94">
        <v>603171.33247569925</v>
      </c>
      <c r="M8" s="94">
        <v>2047762.7026900621</v>
      </c>
      <c r="N8" s="94">
        <v>8033619.3007228803</v>
      </c>
      <c r="O8" s="94">
        <v>135623574.72994682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11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11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11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11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11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11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11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11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11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11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11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11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11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11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6817251.4877199903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11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256967.2608743826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11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483154.34823584778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11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15403110.332344905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11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184520.48089490147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11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2125074.3565515019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11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376249.55505520181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11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7594626.6483157035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11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25759.973477026811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11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1598902.7990471825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11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873813.69022327301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11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760896.82850784401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11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166331.75376550294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11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6657445.6000957079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11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250215.04217969507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11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471962.43365815014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11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13682245.34995167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11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182765.86123576926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11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2034058.7589381256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11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370630.07456563454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11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7480186.4136029035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11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24926.840286441191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11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1547190.8284741363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11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813451.18685438076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11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736287.78133601486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11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146472.78733520172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11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11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11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11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11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11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11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11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11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11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11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11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11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11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2330116.0777529324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11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27645.478247687679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11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197398.48186472419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11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2170758.634422774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11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97912.17273786338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11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119105.39823782785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11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2293231.7704404793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11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376638.24462752714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11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16156.88402898128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11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404887.87519347097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11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631209.68805750727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11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149103.32939023938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11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39167.06519291555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11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2365391.4259483349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11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27963.188224431749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11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200042.64483548011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11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2066928.9300738815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11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100361.40981981652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11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119162.42345688539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11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2337477.1247217245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11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385351.77925728471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11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16278.266064377463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11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407929.68166494544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11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619622.98434941436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11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150223.49993632184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11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36959.622363047813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5" t="s">
        <v>192</v>
      </c>
      <c r="B4" s="75" t="s">
        <v>62</v>
      </c>
    </row>
    <row r="5" spans="1:4" x14ac:dyDescent="0.25">
      <c r="A5" s="75" t="s">
        <v>60</v>
      </c>
      <c r="B5" t="s">
        <v>119</v>
      </c>
      <c r="C5" t="s">
        <v>118</v>
      </c>
      <c r="D5" t="s">
        <v>61</v>
      </c>
    </row>
    <row r="6" spans="1:4" x14ac:dyDescent="0.25">
      <c r="A6" s="76">
        <v>2019</v>
      </c>
      <c r="B6" s="213">
        <v>3010292.0648196544</v>
      </c>
      <c r="C6" s="213">
        <v>827707.93518034508</v>
      </c>
      <c r="D6" s="213">
        <v>3837999.9999999995</v>
      </c>
    </row>
    <row r="7" spans="1:4" x14ac:dyDescent="0.25">
      <c r="A7" s="76">
        <v>2030</v>
      </c>
      <c r="B7" s="213">
        <v>2864790.7596825948</v>
      </c>
      <c r="C7" s="213">
        <v>788679.64758670493</v>
      </c>
      <c r="D7" s="213">
        <v>3653470.4072693</v>
      </c>
    </row>
    <row r="8" spans="1:4" x14ac:dyDescent="0.25">
      <c r="A8" s="76">
        <v>2050</v>
      </c>
      <c r="B8" s="213">
        <v>2925496.1196818841</v>
      </c>
      <c r="C8" s="213">
        <v>840705.04818703001</v>
      </c>
      <c r="D8" s="213">
        <v>3766201.1678689141</v>
      </c>
    </row>
    <row r="9" spans="1:4" x14ac:dyDescent="0.25">
      <c r="A9" s="76" t="s">
        <v>61</v>
      </c>
      <c r="B9" s="213">
        <v>8800578.9441841338</v>
      </c>
      <c r="C9" s="213">
        <v>2457092.6309540803</v>
      </c>
      <c r="D9" s="213">
        <v>11257671.575138213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5.8554687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5" t="s">
        <v>192</v>
      </c>
      <c r="B4" s="75" t="s">
        <v>62</v>
      </c>
    </row>
    <row r="5" spans="1:4" x14ac:dyDescent="0.25">
      <c r="A5" s="75" t="s">
        <v>60</v>
      </c>
      <c r="B5" t="s">
        <v>106</v>
      </c>
      <c r="C5" t="s">
        <v>99</v>
      </c>
      <c r="D5" t="s">
        <v>61</v>
      </c>
    </row>
    <row r="6" spans="1:4" x14ac:dyDescent="0.25">
      <c r="A6" s="76">
        <v>2019</v>
      </c>
      <c r="B6" s="213">
        <v>880.09999999999991</v>
      </c>
      <c r="C6" s="213">
        <v>76.5</v>
      </c>
      <c r="D6" s="213">
        <v>956.59999999999991</v>
      </c>
    </row>
    <row r="7" spans="1:4" x14ac:dyDescent="0.25">
      <c r="A7" s="76">
        <v>2030</v>
      </c>
      <c r="B7" s="213">
        <v>880.09999999999991</v>
      </c>
      <c r="C7" s="213">
        <v>382.5</v>
      </c>
      <c r="D7" s="213">
        <v>1262.5999999999999</v>
      </c>
    </row>
    <row r="8" spans="1:4" x14ac:dyDescent="0.25">
      <c r="A8" s="76">
        <v>2050</v>
      </c>
      <c r="B8" s="213">
        <v>880.09999999999991</v>
      </c>
      <c r="C8" s="213">
        <v>382.5</v>
      </c>
      <c r="D8" s="213">
        <v>1262.5999999999999</v>
      </c>
    </row>
    <row r="9" spans="1:4" x14ac:dyDescent="0.25">
      <c r="A9" s="76" t="s">
        <v>61</v>
      </c>
      <c r="B9" s="213">
        <v>2640.2999999999997</v>
      </c>
      <c r="C9" s="213">
        <v>841.5</v>
      </c>
      <c r="D9" s="213">
        <v>3481.7999999999997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5" t="s">
        <v>64</v>
      </c>
      <c r="B1" t="s">
        <v>80</v>
      </c>
    </row>
    <row r="3" spans="1:7" x14ac:dyDescent="0.25">
      <c r="A3" s="75" t="s">
        <v>79</v>
      </c>
      <c r="B3" s="75" t="s">
        <v>62</v>
      </c>
    </row>
    <row r="4" spans="1:7" x14ac:dyDescent="0.25">
      <c r="A4" s="75" t="s">
        <v>60</v>
      </c>
      <c r="B4" t="s">
        <v>11</v>
      </c>
      <c r="C4" t="s">
        <v>32</v>
      </c>
      <c r="D4" t="s">
        <v>9</v>
      </c>
      <c r="E4" t="s">
        <v>33</v>
      </c>
      <c r="F4" t="s">
        <v>10</v>
      </c>
      <c r="G4" t="s">
        <v>61</v>
      </c>
    </row>
    <row r="5" spans="1:7" x14ac:dyDescent="0.25">
      <c r="A5" s="76">
        <v>2019</v>
      </c>
      <c r="B5" s="213">
        <v>66640</v>
      </c>
      <c r="C5" s="213">
        <v>592120</v>
      </c>
      <c r="D5" s="213">
        <v>2578669.9999999995</v>
      </c>
      <c r="E5" s="213">
        <v>505590.00000000006</v>
      </c>
      <c r="F5" s="213">
        <v>562410</v>
      </c>
      <c r="G5" s="213">
        <v>4305430</v>
      </c>
    </row>
    <row r="6" spans="1:7" x14ac:dyDescent="0.25">
      <c r="A6" s="76">
        <v>2030</v>
      </c>
      <c r="B6" s="213">
        <v>66640</v>
      </c>
      <c r="C6" s="213">
        <v>592120</v>
      </c>
      <c r="D6" s="213">
        <v>2487929.2592592589</v>
      </c>
      <c r="E6" s="213">
        <v>531515.92592592596</v>
      </c>
      <c r="F6" s="213">
        <v>627224.81481481483</v>
      </c>
      <c r="G6" s="213">
        <v>4305430</v>
      </c>
    </row>
    <row r="7" spans="1:7" x14ac:dyDescent="0.25">
      <c r="A7" s="76">
        <v>2050</v>
      </c>
      <c r="B7" s="213">
        <v>66640</v>
      </c>
      <c r="C7" s="213">
        <v>592120</v>
      </c>
      <c r="D7" s="213">
        <v>2228670</v>
      </c>
      <c r="E7" s="213">
        <v>605590</v>
      </c>
      <c r="F7" s="213">
        <v>812410</v>
      </c>
      <c r="G7" s="213">
        <v>4305430</v>
      </c>
    </row>
    <row r="8" spans="1:7" x14ac:dyDescent="0.25">
      <c r="A8" s="76" t="s">
        <v>61</v>
      </c>
      <c r="B8" s="213">
        <v>199920</v>
      </c>
      <c r="C8" s="213">
        <v>1776360</v>
      </c>
      <c r="D8" s="213">
        <v>7295269.2592592584</v>
      </c>
      <c r="E8" s="213">
        <v>1642695.9259259261</v>
      </c>
      <c r="F8" s="213">
        <v>2002044.8148148148</v>
      </c>
      <c r="G8" s="213">
        <v>12916290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5" t="s">
        <v>63</v>
      </c>
      <c r="B1" t="s">
        <v>80</v>
      </c>
    </row>
    <row r="2" spans="1:16" x14ac:dyDescent="0.25">
      <c r="A2" s="75" t="s">
        <v>64</v>
      </c>
      <c r="B2" t="s">
        <v>80</v>
      </c>
    </row>
    <row r="4" spans="1:16" x14ac:dyDescent="0.25">
      <c r="A4" s="75" t="s">
        <v>87</v>
      </c>
      <c r="B4" s="75" t="s">
        <v>62</v>
      </c>
    </row>
    <row r="5" spans="1:16" x14ac:dyDescent="0.25">
      <c r="A5" s="75" t="s">
        <v>60</v>
      </c>
      <c r="B5" t="s">
        <v>49</v>
      </c>
      <c r="C5" t="s">
        <v>54</v>
      </c>
      <c r="D5" t="s">
        <v>51</v>
      </c>
      <c r="E5" t="s">
        <v>6</v>
      </c>
      <c r="F5" t="s">
        <v>56</v>
      </c>
      <c r="G5" t="s">
        <v>12</v>
      </c>
      <c r="H5" t="s">
        <v>48</v>
      </c>
      <c r="I5" t="s">
        <v>53</v>
      </c>
      <c r="J5" t="s">
        <v>55</v>
      </c>
      <c r="K5" t="s">
        <v>50</v>
      </c>
      <c r="L5" t="s">
        <v>52</v>
      </c>
      <c r="M5" t="s">
        <v>38</v>
      </c>
      <c r="N5" t="s">
        <v>95</v>
      </c>
      <c r="O5" t="s">
        <v>113</v>
      </c>
      <c r="P5" t="s">
        <v>61</v>
      </c>
    </row>
    <row r="6" spans="1:16" x14ac:dyDescent="0.25">
      <c r="A6" s="76">
        <v>2019</v>
      </c>
      <c r="B6" s="213">
        <v>76936.491003913645</v>
      </c>
      <c r="C6" s="213">
        <v>5112.5796318426765</v>
      </c>
      <c r="D6" s="213">
        <v>288510.97448626079</v>
      </c>
      <c r="E6" s="213">
        <v>12737.861407364735</v>
      </c>
      <c r="F6" s="213">
        <v>18955.494408534123</v>
      </c>
      <c r="G6" s="213">
        <v>55123.467536910946</v>
      </c>
      <c r="H6" s="213">
        <v>1338020.0537015593</v>
      </c>
      <c r="I6" s="213">
        <v>180387.32565123856</v>
      </c>
      <c r="J6" s="213">
        <v>69972.60108508839</v>
      </c>
      <c r="K6" s="213">
        <v>161391.51776080468</v>
      </c>
      <c r="L6" s="213">
        <v>33713.005264576917</v>
      </c>
      <c r="M6" s="213">
        <v>221142.47330260737</v>
      </c>
      <c r="N6" s="213">
        <v>8583.1535453348897</v>
      </c>
      <c r="O6" s="213">
        <v>108083.00121396239</v>
      </c>
      <c r="P6" s="213">
        <v>2578669.9999999995</v>
      </c>
    </row>
    <row r="7" spans="1:16" x14ac:dyDescent="0.25">
      <c r="A7" s="76">
        <v>2030</v>
      </c>
      <c r="B7" s="213">
        <v>74465.960662957616</v>
      </c>
      <c r="C7" s="213">
        <v>4965.7278060180488</v>
      </c>
      <c r="D7" s="213">
        <v>274118.94849419035</v>
      </c>
      <c r="E7" s="213">
        <v>12403.430241602413</v>
      </c>
      <c r="F7" s="213">
        <v>18343.468531193015</v>
      </c>
      <c r="G7" s="213">
        <v>53126.188735828859</v>
      </c>
      <c r="H7" s="213">
        <v>1297917.718029706</v>
      </c>
      <c r="I7" s="213">
        <v>174456.26406747426</v>
      </c>
      <c r="J7" s="213">
        <v>67756.15488584133</v>
      </c>
      <c r="K7" s="213">
        <v>156813.07759481133</v>
      </c>
      <c r="L7" s="213">
        <v>33091.703230921303</v>
      </c>
      <c r="M7" s="213">
        <v>207998.55904521749</v>
      </c>
      <c r="N7" s="213">
        <v>8158.5416009002738</v>
      </c>
      <c r="O7" s="213">
        <v>104313.51633259642</v>
      </c>
      <c r="P7" s="213">
        <v>2487929.2592592584</v>
      </c>
    </row>
    <row r="8" spans="1:16" x14ac:dyDescent="0.25">
      <c r="A8" s="76">
        <v>2050</v>
      </c>
      <c r="B8" s="213">
        <v>67401.823042054006</v>
      </c>
      <c r="C8" s="213">
        <v>4544.0123810345967</v>
      </c>
      <c r="D8" s="213">
        <v>232820.24745657752</v>
      </c>
      <c r="E8" s="213">
        <v>11446.944760904047</v>
      </c>
      <c r="F8" s="213">
        <v>16591.471711632348</v>
      </c>
      <c r="G8" s="213">
        <v>47414.837867163187</v>
      </c>
      <c r="H8" s="213">
        <v>1183051.5320061678</v>
      </c>
      <c r="I8" s="213">
        <v>157504.132423776</v>
      </c>
      <c r="J8" s="213">
        <v>61408.179534528455</v>
      </c>
      <c r="K8" s="213">
        <v>143705.68991029685</v>
      </c>
      <c r="L8" s="213">
        <v>31310.50853367247</v>
      </c>
      <c r="M8" s="213">
        <v>171131.79922201723</v>
      </c>
      <c r="N8" s="213">
        <v>6935.410038090351</v>
      </c>
      <c r="O8" s="213">
        <v>93403.411112084825</v>
      </c>
      <c r="P8" s="213">
        <v>2228669.9999999995</v>
      </c>
    </row>
    <row r="9" spans="1:16" x14ac:dyDescent="0.25">
      <c r="A9" s="76" t="s">
        <v>61</v>
      </c>
      <c r="B9" s="213">
        <v>218804.27470892528</v>
      </c>
      <c r="C9" s="213">
        <v>14622.319818895321</v>
      </c>
      <c r="D9" s="213">
        <v>795450.17043702863</v>
      </c>
      <c r="E9" s="213">
        <v>36588.236409871199</v>
      </c>
      <c r="F9" s="213">
        <v>53890.434651359479</v>
      </c>
      <c r="G9" s="213">
        <v>155664.49413990299</v>
      </c>
      <c r="H9" s="213">
        <v>3818989.3037374332</v>
      </c>
      <c r="I9" s="213">
        <v>512347.72214248881</v>
      </c>
      <c r="J9" s="213">
        <v>199136.93550545818</v>
      </c>
      <c r="K9" s="213">
        <v>461910.28526591288</v>
      </c>
      <c r="L9" s="213">
        <v>98115.217029170701</v>
      </c>
      <c r="M9" s="213">
        <v>600272.83156984206</v>
      </c>
      <c r="N9" s="213">
        <v>23677.105184325515</v>
      </c>
      <c r="O9" s="213">
        <v>305799.92865864362</v>
      </c>
      <c r="P9" s="213">
        <v>7295269.2592592575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4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4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4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4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4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4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4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4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4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4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4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4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4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4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4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4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4">
        <f>Arealanvendelse!M26</f>
        <v>1745357.6205952798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4">
        <f>Arealanvendelse!M27</f>
        <v>543583.04014158307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4">
        <f>Arealanvendelse!M28</f>
        <v>317835.5825103767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4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4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4">
        <f>Arealanvendelse!N26</f>
        <v>82351.182880658438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4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4">
        <f>Arealanvendelse!N28</f>
        <v>58288.817119341562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4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4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4">
        <f>Arealanvendelse!O26</f>
        <v>50308.863648834013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4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4">
        <f>Arealanvendelse!O28</f>
        <v>61682.247462277082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4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4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4">
        <f>Arealanvendelse!P26</f>
        <v>1636839.1020767612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4">
        <f>Arealanvendelse!P27</f>
        <v>652101.55866010161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4">
        <f>Arealanvendelse!P28</f>
        <v>317835.5825103767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4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4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4">
        <f>Arealanvendelse!Q26</f>
        <v>68352.776296296302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4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4">
        <f>Arealanvendelse!Q28</f>
        <v>72287.223703703698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4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4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4">
        <f>Arealanvendelse!R26</f>
        <v>0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4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4">
        <f>Arealanvendelse!R28</f>
        <v>111991.11111111109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4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4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4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4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4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4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4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4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4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4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4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4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4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4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4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4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4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4">
        <f>Arealanvendelse!M36</f>
        <v>529578.37940472004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4">
        <f>Arealanvendelse!M37</f>
        <v>143826.95985841687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4">
        <f>Arealanvendelse!M38</f>
        <v>75488.417489623345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4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4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4">
        <f>Arealanvendelse!N36</f>
        <v>12507.261563786009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4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4">
        <f>Arealanvendelse!N38</f>
        <v>8852.7384362139928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4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4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4">
        <f>Arealanvendelse!O36</f>
        <v>7640.7659807956097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4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4">
        <f>Arealanvendelse!O38</f>
        <v>9368.122908093279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4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4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4">
        <f>Arealanvendelse!P36</f>
        <v>513096.89792323852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4">
        <f>Arealanvendelse!P37</f>
        <v>160308.44133989836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4">
        <f>Arealanvendelse!P38</f>
        <v>75488.417489623345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4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4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4">
        <f>Arealanvendelse!Q36</f>
        <v>10381.223703703705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4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4">
        <f>Arealanvendelse!Q38</f>
        <v>10978.776296296297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4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4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4">
        <f>Arealanvendelse!R36</f>
        <v>0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4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4">
        <f>Arealanvendelse!R38</f>
        <v>17008.888888888891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4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t="str">
        <f t="shared" ref="E2:E33" si="0">Jordbund1</f>
        <v>JB1-10</v>
      </c>
      <c r="F2" t="str">
        <f>IF(I2&lt;&gt;0,"Halm",IF(B2&lt;&gt;"Permanent græs",B2,"Græs"))</f>
        <v>Halm</v>
      </c>
      <c r="G2" s="74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4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4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t="str">
        <f t="shared" si="0"/>
        <v>JB1-10</v>
      </c>
      <c r="F3" t="str">
        <f t="shared" ref="F3:F71" si="1">IF(I3&lt;&gt;0,"Halm",IF(B3&lt;&gt;"Permanent græs",B3,"Græs"))</f>
        <v>Halm</v>
      </c>
      <c r="G3" s="74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4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4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t="str">
        <f t="shared" si="0"/>
        <v>JB1-10</v>
      </c>
      <c r="F4" t="str">
        <f t="shared" si="1"/>
        <v>Halm</v>
      </c>
      <c r="G4" s="74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4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4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t="str">
        <f t="shared" si="0"/>
        <v>JB1-10</v>
      </c>
      <c r="F5" t="str">
        <f t="shared" si="1"/>
        <v>Græs</v>
      </c>
      <c r="G5" s="74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4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4">
        <f>'Landbrugsareal - resultat'!D24</f>
        <v>9723529.5356878359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t="str">
        <f t="shared" si="0"/>
        <v>JB1-10</v>
      </c>
      <c r="F6" t="str">
        <f t="shared" si="1"/>
        <v>Grøntsager</v>
      </c>
      <c r="G6" s="74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4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4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t="str">
        <f t="shared" si="0"/>
        <v>JB1-10</v>
      </c>
      <c r="F7" t="str">
        <f t="shared" si="1"/>
        <v>Kartofler</v>
      </c>
      <c r="G7" s="74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4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4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t="str">
        <f t="shared" si="0"/>
        <v>JB1-10</v>
      </c>
      <c r="F8" t="str">
        <f t="shared" si="1"/>
        <v>Roer</v>
      </c>
      <c r="G8" s="74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4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4">
        <f>'Landbrugsareal - resultat'!E24</f>
        <v>8686398.2742639016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t="str">
        <f t="shared" si="0"/>
        <v>JB1-10</v>
      </c>
      <c r="F9" t="str">
        <f t="shared" si="1"/>
        <v>Majs</v>
      </c>
      <c r="G9" s="74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4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4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t="str">
        <f t="shared" si="0"/>
        <v>JB1-10</v>
      </c>
      <c r="F10" t="str">
        <f t="shared" si="1"/>
        <v>Frugt</v>
      </c>
      <c r="G10" s="74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4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4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t="str">
        <f t="shared" si="0"/>
        <v>JB1-10</v>
      </c>
      <c r="F11" t="str">
        <f t="shared" si="1"/>
        <v>Øvrige</v>
      </c>
      <c r="G11" s="74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4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4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t="str">
        <f t="shared" si="0"/>
        <v>JB1-10</v>
      </c>
      <c r="F12" t="str">
        <f t="shared" si="1"/>
        <v>Halm</v>
      </c>
      <c r="G12" s="74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4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4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t="str">
        <f t="shared" si="0"/>
        <v>JB1-10</v>
      </c>
      <c r="F13" t="str">
        <f t="shared" si="1"/>
        <v>Juletræer</v>
      </c>
      <c r="G13" s="74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4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4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t="str">
        <f t="shared" si="0"/>
        <v>JB1-10</v>
      </c>
      <c r="F14" t="str">
        <f>IF(I14&lt;&gt;0,"Halm",IF(B14&lt;&gt;"Permanent græs",B14,"Græs"))</f>
        <v>Pil &amp; poppel</v>
      </c>
      <c r="G14" s="74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4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4">
        <f>'Landbrugsareal - resultat'!G24</f>
        <v>637730.00302184175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t="str">
        <f t="shared" si="0"/>
        <v>JB1-10</v>
      </c>
      <c r="F15" t="str">
        <f t="shared" si="1"/>
        <v>Græs</v>
      </c>
      <c r="G15" s="74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4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4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t="str">
        <f t="shared" si="0"/>
        <v>JB1-10</v>
      </c>
      <c r="F16" t="str">
        <f t="shared" si="1"/>
        <v>Halm</v>
      </c>
      <c r="G16" s="74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786251.64561562939</v>
      </c>
      <c r="H16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5511624.0357655622</v>
      </c>
      <c r="I16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2594872.5960384272</v>
      </c>
      <c r="J16" s="74">
        <f t="shared" si="2"/>
        <v>2594872.5960384272</v>
      </c>
      <c r="L16" t="s">
        <v>23</v>
      </c>
      <c r="M16" t="s">
        <v>4</v>
      </c>
      <c r="N16">
        <v>2030</v>
      </c>
      <c r="O16" t="s">
        <v>8</v>
      </c>
      <c r="P16" s="74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t="str">
        <f t="shared" si="0"/>
        <v>JB1-10</v>
      </c>
      <c r="F17" t="str">
        <f t="shared" si="1"/>
        <v>Halm</v>
      </c>
      <c r="G17" s="74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54323.317600394141</v>
      </c>
      <c r="H17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209688.0059375214</v>
      </c>
      <c r="I17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89792.967301125114</v>
      </c>
      <c r="J17" s="74">
        <f t="shared" si="2"/>
        <v>89792.967301125114</v>
      </c>
      <c r="L17" t="s">
        <v>23</v>
      </c>
      <c r="M17" t="s">
        <v>22</v>
      </c>
      <c r="N17">
        <v>2050</v>
      </c>
      <c r="O17" t="s">
        <v>8</v>
      </c>
      <c r="P17" s="74">
        <f>'Landbrugsareal - resultat'!H24</f>
        <v>981800.42573609971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t="str">
        <f t="shared" si="0"/>
        <v>JB1-10</v>
      </c>
      <c r="F18" t="str">
        <f t="shared" si="1"/>
        <v>Halm</v>
      </c>
      <c r="G18" s="74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91352.326133104434</v>
      </c>
      <c r="H1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401950.23498565954</v>
      </c>
      <c r="I1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309662.46103295212</v>
      </c>
      <c r="J18" s="74">
        <f t="shared" si="2"/>
        <v>309662.46103295212</v>
      </c>
      <c r="L18" t="s">
        <v>23</v>
      </c>
      <c r="M18" t="s">
        <v>3</v>
      </c>
      <c r="N18">
        <v>2050</v>
      </c>
      <c r="O18" t="s">
        <v>8</v>
      </c>
      <c r="P18" s="74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t="str">
        <f t="shared" si="0"/>
        <v>JB1-10</v>
      </c>
      <c r="F19" t="str">
        <f t="shared" si="1"/>
        <v>Græs</v>
      </c>
      <c r="G19" s="74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174180.15423615053</v>
      </c>
      <c r="H1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8642819.2531977892</v>
      </c>
      <c r="I1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4">
        <f t="shared" si="2"/>
        <v>8642819.2531977892</v>
      </c>
      <c r="L19" t="s">
        <v>23</v>
      </c>
      <c r="M19" t="s">
        <v>4</v>
      </c>
      <c r="N19">
        <v>2050</v>
      </c>
      <c r="O19" t="s">
        <v>8</v>
      </c>
      <c r="P19" s="74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t="str">
        <f t="shared" si="0"/>
        <v>JB1-10</v>
      </c>
      <c r="F20" t="str">
        <f t="shared" si="1"/>
        <v>Grøntsager</v>
      </c>
      <c r="G20" s="74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6740.3758420333515</v>
      </c>
      <c r="H20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139862.79872219203</v>
      </c>
      <c r="I20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4">
        <f t="shared" si="2"/>
        <v>139862.79872219203</v>
      </c>
      <c r="L20" t="s">
        <v>24</v>
      </c>
      <c r="M20" t="s">
        <v>22</v>
      </c>
      <c r="N20">
        <v>2019</v>
      </c>
      <c r="O20" t="s">
        <v>7</v>
      </c>
      <c r="P20" s="74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t="str">
        <f t="shared" si="0"/>
        <v>JB1-10</v>
      </c>
      <c r="F21" t="str">
        <f t="shared" si="1"/>
        <v>Kartofler</v>
      </c>
      <c r="G21" s="74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40153.274688259204</v>
      </c>
      <c r="H2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1705345.6927124688</v>
      </c>
      <c r="I2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4">
        <f t="shared" si="2"/>
        <v>1705345.6927124688</v>
      </c>
      <c r="L21" t="s">
        <v>24</v>
      </c>
      <c r="M21" t="s">
        <v>3</v>
      </c>
      <c r="N21">
        <v>2019</v>
      </c>
      <c r="O21" t="s">
        <v>7</v>
      </c>
      <c r="P21" s="74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t="str">
        <f t="shared" si="0"/>
        <v>JB1-10</v>
      </c>
      <c r="F22" t="str">
        <f t="shared" si="1"/>
        <v>Roer</v>
      </c>
      <c r="G22" s="74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3919.7965291746114</v>
      </c>
      <c r="H22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318498.09410188929</v>
      </c>
      <c r="I22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4">
        <f t="shared" si="2"/>
        <v>318498.09410188929</v>
      </c>
      <c r="L22" t="s">
        <v>24</v>
      </c>
      <c r="M22" t="s">
        <v>4</v>
      </c>
      <c r="N22">
        <v>2019</v>
      </c>
      <c r="O22" t="s">
        <v>7</v>
      </c>
      <c r="P22" s="74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t="str">
        <f t="shared" si="0"/>
        <v>JB1-10</v>
      </c>
      <c r="F23" t="str">
        <f t="shared" si="1"/>
        <v>Majs</v>
      </c>
      <c r="G23" s="74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134231.88545223227</v>
      </c>
      <c r="H23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5974661.221478859</v>
      </c>
      <c r="I23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4">
        <f t="shared" si="2"/>
        <v>5974661.221478859</v>
      </c>
      <c r="L23" t="s">
        <v>24</v>
      </c>
      <c r="M23" t="s">
        <v>22</v>
      </c>
      <c r="N23">
        <v>2030</v>
      </c>
      <c r="O23" t="s">
        <v>7</v>
      </c>
      <c r="P23" s="74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t="str">
        <f t="shared" si="0"/>
        <v>JB1-10</v>
      </c>
      <c r="F24" t="str">
        <f t="shared" si="1"/>
        <v>Frugt</v>
      </c>
      <c r="G24" s="74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2466.5479728921132</v>
      </c>
      <c r="H24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20940.992289854043</v>
      </c>
      <c r="I24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4">
        <f t="shared" si="2"/>
        <v>20940.992289854043</v>
      </c>
      <c r="L24" t="s">
        <v>24</v>
      </c>
      <c r="M24" t="s">
        <v>3</v>
      </c>
      <c r="N24">
        <v>2030</v>
      </c>
      <c r="O24" t="s">
        <v>7</v>
      </c>
      <c r="P24" s="74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t="str">
        <f t="shared" si="0"/>
        <v>JB1-10</v>
      </c>
      <c r="F25" t="str">
        <f t="shared" si="1"/>
        <v>Øvrige</v>
      </c>
      <c r="G25" s="74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43623.12423114085</v>
      </c>
      <c r="H25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1299792.1452416659</v>
      </c>
      <c r="I25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4">
        <f t="shared" si="2"/>
        <v>1299792.1452416659</v>
      </c>
      <c r="L25" t="s">
        <v>24</v>
      </c>
      <c r="M25" t="s">
        <v>4</v>
      </c>
      <c r="N25">
        <v>2030</v>
      </c>
      <c r="O25" t="s">
        <v>7</v>
      </c>
      <c r="P25" s="74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t="str">
        <f t="shared" si="0"/>
        <v>JB1-10</v>
      </c>
      <c r="F26" t="str">
        <f t="shared" si="1"/>
        <v>Halm</v>
      </c>
      <c r="G26" s="74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45887.690139647355</v>
      </c>
      <c r="H26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655682.81498021167</v>
      </c>
      <c r="I26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157119.45103815253</v>
      </c>
      <c r="J26" s="74">
        <f t="shared" si="2"/>
        <v>157119.45103815253</v>
      </c>
      <c r="L26" t="s">
        <v>24</v>
      </c>
      <c r="M26" t="s">
        <v>22</v>
      </c>
      <c r="N26">
        <v>2050</v>
      </c>
      <c r="O26" t="s">
        <v>7</v>
      </c>
      <c r="P26" s="74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t="str">
        <f t="shared" si="0"/>
        <v>JB1-10</v>
      </c>
      <c r="F27" t="str">
        <f t="shared" si="1"/>
        <v>Juletræer</v>
      </c>
      <c r="G27" s="74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12371.079988391533</v>
      </c>
      <c r="H27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618553.99941957672</v>
      </c>
      <c r="I27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4">
        <f t="shared" si="2"/>
        <v>618553.99941957672</v>
      </c>
      <c r="L27" t="s">
        <v>24</v>
      </c>
      <c r="M27" t="s">
        <v>3</v>
      </c>
      <c r="N27">
        <v>2050</v>
      </c>
      <c r="O27" t="s">
        <v>7</v>
      </c>
      <c r="P27" s="74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t="str">
        <f t="shared" si="0"/>
        <v>JB1-10</v>
      </c>
      <c r="F28" t="str">
        <f t="shared" ref="F28" si="4">IF(I28&lt;&gt;0,"Halm",IF(B28&lt;&gt;"Permanent græs",B28,"Græs"))</f>
        <v>Pil &amp; poppel</v>
      </c>
      <c r="G28" s="74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4550.4801442597754</v>
      </c>
      <c r="H2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110987.32059170185</v>
      </c>
      <c r="I2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4">
        <f t="shared" ref="J28" si="5">IF(I28&lt;&gt;0,I28,H28)</f>
        <v>110987.32059170185</v>
      </c>
      <c r="L28" t="s">
        <v>24</v>
      </c>
      <c r="M28" t="s">
        <v>4</v>
      </c>
      <c r="N28">
        <v>2050</v>
      </c>
      <c r="O28" t="s">
        <v>7</v>
      </c>
      <c r="P28" s="74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t="str">
        <f t="shared" si="0"/>
        <v>JB1-10</v>
      </c>
      <c r="F29" t="str">
        <f t="shared" si="1"/>
        <v>Græs</v>
      </c>
      <c r="G29" s="74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109682.64324160751</v>
      </c>
      <c r="H2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1512523.6503017677</v>
      </c>
      <c r="I2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4">
        <f t="shared" si="2"/>
        <v>1512523.6503017677</v>
      </c>
      <c r="L29" t="s">
        <v>24</v>
      </c>
      <c r="M29" t="s">
        <v>22</v>
      </c>
      <c r="N29">
        <v>2019</v>
      </c>
      <c r="O29" t="s">
        <v>8</v>
      </c>
      <c r="P29" s="74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t="str">
        <f t="shared" si="0"/>
        <v>JB1-10</v>
      </c>
      <c r="F30" t="str">
        <f t="shared" si="1"/>
        <v>Halm</v>
      </c>
      <c r="G30" s="74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703268.18873094791</v>
      </c>
      <c r="H30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4929910.0030039446</v>
      </c>
      <c r="I30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2806351.2692099959</v>
      </c>
      <c r="J30" s="74">
        <f t="shared" si="2"/>
        <v>2806351.2692099959</v>
      </c>
      <c r="L30" t="s">
        <v>24</v>
      </c>
      <c r="M30" t="s">
        <v>3</v>
      </c>
      <c r="N30">
        <v>2019</v>
      </c>
      <c r="O30" t="s">
        <v>8</v>
      </c>
      <c r="P30" s="74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t="str">
        <f t="shared" si="0"/>
        <v>JB1-10</v>
      </c>
      <c r="F31" t="str">
        <f t="shared" si="1"/>
        <v>Halm</v>
      </c>
      <c r="G31" s="74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48589.864819642906</v>
      </c>
      <c r="H3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187556.87820382163</v>
      </c>
      <c r="I3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97110.97498056601</v>
      </c>
      <c r="J31" s="74">
        <f t="shared" si="2"/>
        <v>97110.97498056601</v>
      </c>
      <c r="L31" t="s">
        <v>24</v>
      </c>
      <c r="M31" t="s">
        <v>4</v>
      </c>
      <c r="N31">
        <v>2019</v>
      </c>
      <c r="O31" t="s">
        <v>8</v>
      </c>
      <c r="P31" s="74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t="str">
        <f t="shared" si="0"/>
        <v>JB1-10</v>
      </c>
      <c r="F32" t="str">
        <f t="shared" si="1"/>
        <v>Halm</v>
      </c>
      <c r="G32" s="74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81710.716021056694</v>
      </c>
      <c r="H32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359527.15049264947</v>
      </c>
      <c r="I32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334899.54068390297</v>
      </c>
      <c r="J32" s="74">
        <f t="shared" si="2"/>
        <v>334899.54068390297</v>
      </c>
      <c r="L32" t="s">
        <v>24</v>
      </c>
      <c r="M32" t="s">
        <v>22</v>
      </c>
      <c r="N32">
        <v>2030</v>
      </c>
      <c r="O32" t="s">
        <v>8</v>
      </c>
      <c r="P32" s="74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t="str">
        <f t="shared" si="0"/>
        <v>JB1-10</v>
      </c>
      <c r="F33" t="str">
        <f t="shared" si="1"/>
        <v>Græs</v>
      </c>
      <c r="G33" s="74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155796.63618588899</v>
      </c>
      <c r="H33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7730629.0875438116</v>
      </c>
      <c r="I33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4">
        <f t="shared" si="2"/>
        <v>7730629.0875438116</v>
      </c>
      <c r="L33" t="s">
        <v>24</v>
      </c>
      <c r="M33" t="s">
        <v>3</v>
      </c>
      <c r="N33">
        <v>2030</v>
      </c>
      <c r="O33" t="s">
        <v>8</v>
      </c>
      <c r="P33" s="74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t="str">
        <f t="shared" ref="E34:E65" si="6">Jordbund1</f>
        <v>JB1-10</v>
      </c>
      <c r="F34" t="str">
        <f t="shared" si="1"/>
        <v>Grøntsager</v>
      </c>
      <c r="G34" s="74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6028.9755019603408</v>
      </c>
      <c r="H34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125101.24166567708</v>
      </c>
      <c r="I34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4">
        <f t="shared" si="2"/>
        <v>125101.24166567708</v>
      </c>
      <c r="L34" t="s">
        <v>24</v>
      </c>
      <c r="M34" t="s">
        <v>4</v>
      </c>
      <c r="N34">
        <v>2030</v>
      </c>
      <c r="O34" t="s">
        <v>8</v>
      </c>
      <c r="P34" s="74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t="str">
        <f t="shared" si="6"/>
        <v>JB1-10</v>
      </c>
      <c r="F35" t="str">
        <f t="shared" si="1"/>
        <v>Kartofler</v>
      </c>
      <c r="G35" s="74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35915.372538925141</v>
      </c>
      <c r="H35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1525358.1765605931</v>
      </c>
      <c r="I35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4">
        <f t="shared" si="2"/>
        <v>1525358.1765605931</v>
      </c>
      <c r="L35" t="s">
        <v>24</v>
      </c>
      <c r="M35" t="s">
        <v>22</v>
      </c>
      <c r="N35">
        <v>2050</v>
      </c>
      <c r="O35" t="s">
        <v>8</v>
      </c>
      <c r="P35" s="74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t="str">
        <f t="shared" si="6"/>
        <v>JB1-10</v>
      </c>
      <c r="F36" t="str">
        <f t="shared" si="1"/>
        <v>Roer</v>
      </c>
      <c r="G36" s="74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3506.0889482883485</v>
      </c>
      <c r="H36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284882.80946987716</v>
      </c>
      <c r="I36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4">
        <f t="shared" si="2"/>
        <v>284882.80946987716</v>
      </c>
      <c r="L36" t="s">
        <v>24</v>
      </c>
      <c r="M36" t="s">
        <v>3</v>
      </c>
      <c r="N36">
        <v>2050</v>
      </c>
      <c r="O36" t="s">
        <v>8</v>
      </c>
      <c r="P36" s="74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t="str">
        <f t="shared" si="6"/>
        <v>JB1-10</v>
      </c>
      <c r="F37" t="str">
        <f t="shared" si="1"/>
        <v>Majs</v>
      </c>
      <c r="G37" s="74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120064.63258721215</v>
      </c>
      <c r="H37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5344076.7964568138</v>
      </c>
      <c r="I37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4">
        <f t="shared" si="2"/>
        <v>5344076.7964568138</v>
      </c>
      <c r="L37" t="s">
        <v>24</v>
      </c>
      <c r="M37" t="s">
        <v>4</v>
      </c>
      <c r="N37">
        <v>2050</v>
      </c>
      <c r="O37" t="s">
        <v>8</v>
      </c>
      <c r="P37" s="74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t="str">
        <f t="shared" si="6"/>
        <v>JB1-10</v>
      </c>
      <c r="F38" t="str">
        <f t="shared" si="1"/>
        <v>Frugt</v>
      </c>
      <c r="G38" s="74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2206.2207882002126</v>
      </c>
      <c r="H3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18730.814491819805</v>
      </c>
      <c r="I3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4">
        <f t="shared" si="2"/>
        <v>18730.814491819805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t="str">
        <f t="shared" si="6"/>
        <v>JB1-10</v>
      </c>
      <c r="F39" t="str">
        <f t="shared" si="1"/>
        <v>Øvrige</v>
      </c>
      <c r="G39" s="74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39019.003312607769</v>
      </c>
      <c r="H3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1162608.0184481952</v>
      </c>
      <c r="I3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4">
        <f t="shared" si="2"/>
        <v>1162608.0184481952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t="str">
        <f t="shared" si="6"/>
        <v>JB1-10</v>
      </c>
      <c r="F40" t="str">
        <f t="shared" si="1"/>
        <v>Halm</v>
      </c>
      <c r="G40" s="74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41044.559854992149</v>
      </c>
      <c r="H40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586480.00070268649</v>
      </c>
      <c r="I40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169924.47779966751</v>
      </c>
      <c r="J40" s="74">
        <f t="shared" si="2"/>
        <v>169924.47779966751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t="str">
        <f t="shared" si="6"/>
        <v>JB1-10</v>
      </c>
      <c r="F41" t="str">
        <f t="shared" si="1"/>
        <v>Juletræer</v>
      </c>
      <c r="G41" s="74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11065.397528382413</v>
      </c>
      <c r="H4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553269.8764191207</v>
      </c>
      <c r="I4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4">
        <f t="shared" si="2"/>
        <v>553269.8764191207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t="str">
        <f t="shared" si="6"/>
        <v>JB1-10</v>
      </c>
      <c r="F42" t="str">
        <f t="shared" ref="F42" si="7">IF(I42&lt;&gt;0,"Halm",IF(B42&lt;&gt;"Permanent græs",B42,"Græs"))</f>
        <v>Pil &amp; poppel</v>
      </c>
      <c r="G42" s="74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4070.2082428126114</v>
      </c>
      <c r="H42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99273.37177591736</v>
      </c>
      <c r="I42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4">
        <f t="shared" ref="J42" si="8">IF(I42&lt;&gt;0,I42,H42)</f>
        <v>99273.37177591736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t="str">
        <f t="shared" si="6"/>
        <v>JB1-10</v>
      </c>
      <c r="F43" t="str">
        <f t="shared" si="1"/>
        <v>Græs</v>
      </c>
      <c r="G43" s="74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98106.394152410197</v>
      </c>
      <c r="H43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1352887.1753617367</v>
      </c>
      <c r="I43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4">
        <f t="shared" si="2"/>
        <v>1352887.1753617367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t="str">
        <f t="shared" si="6"/>
        <v>JB1-10</v>
      </c>
      <c r="F44" t="str">
        <f t="shared" si="1"/>
        <v>Halm</v>
      </c>
      <c r="G44" s="74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4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t="str">
        <f t="shared" si="6"/>
        <v>JB1-10</v>
      </c>
      <c r="F45" t="str">
        <f t="shared" si="1"/>
        <v>Halm</v>
      </c>
      <c r="G45" s="74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4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t="str">
        <f t="shared" si="6"/>
        <v>JB1-10</v>
      </c>
      <c r="F46" t="str">
        <f t="shared" si="1"/>
        <v>Halm</v>
      </c>
      <c r="G46" s="74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4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t="str">
        <f t="shared" si="6"/>
        <v>JB1-10</v>
      </c>
      <c r="F47" t="str">
        <f t="shared" si="1"/>
        <v>Græs</v>
      </c>
      <c r="G47" s="74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4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t="str">
        <f t="shared" si="6"/>
        <v>JB1-10</v>
      </c>
      <c r="F48" t="str">
        <f t="shared" si="1"/>
        <v>Grøntsager</v>
      </c>
      <c r="G48" s="74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4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t="str">
        <f t="shared" si="6"/>
        <v>JB1-10</v>
      </c>
      <c r="F49" t="str">
        <f t="shared" si="1"/>
        <v>Kartofler</v>
      </c>
      <c r="G49" s="74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4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t="str">
        <f t="shared" si="6"/>
        <v>JB1-10</v>
      </c>
      <c r="F50" t="str">
        <f t="shared" si="1"/>
        <v>Roer</v>
      </c>
      <c r="G50" s="74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4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t="str">
        <f t="shared" si="6"/>
        <v>JB1-10</v>
      </c>
      <c r="F51" t="str">
        <f t="shared" si="1"/>
        <v>Majs</v>
      </c>
      <c r="G51" s="74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4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t="str">
        <f t="shared" si="6"/>
        <v>JB1-10</v>
      </c>
      <c r="F52" t="str">
        <f t="shared" si="1"/>
        <v>Frugt</v>
      </c>
      <c r="G52" s="74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4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t="str">
        <f t="shared" si="6"/>
        <v>JB1-10</v>
      </c>
      <c r="F53" t="str">
        <f t="shared" si="1"/>
        <v>Øvrige</v>
      </c>
      <c r="G53" s="74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4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t="str">
        <f t="shared" si="6"/>
        <v>JB1-10</v>
      </c>
      <c r="F54" t="str">
        <f t="shared" si="1"/>
        <v>Halm</v>
      </c>
      <c r="G54" s="74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4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t="str">
        <f t="shared" si="6"/>
        <v>JB1-10</v>
      </c>
      <c r="F55" t="str">
        <f t="shared" si="1"/>
        <v>Juletræer</v>
      </c>
      <c r="G55" s="74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4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t="str">
        <f t="shared" si="6"/>
        <v>JB1-10</v>
      </c>
      <c r="F56" t="str">
        <f t="shared" ref="F56" si="9">IF(I56&lt;&gt;0,"Halm",IF(B56&lt;&gt;"Permanent græs",B56,"Græs"))</f>
        <v>Pil &amp; poppel</v>
      </c>
      <c r="G56" s="74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4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t="str">
        <f t="shared" si="6"/>
        <v>JB1-10</v>
      </c>
      <c r="F57" t="str">
        <f t="shared" si="1"/>
        <v>Græs</v>
      </c>
      <c r="G57" s="74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4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t="str">
        <f t="shared" si="6"/>
        <v>JB1-10</v>
      </c>
      <c r="F58" t="str">
        <f t="shared" si="1"/>
        <v>Halm</v>
      </c>
      <c r="G58" s="74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122709.79440243928</v>
      </c>
      <c r="H5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576331.09136993659</v>
      </c>
      <c r="I5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271336.6778169662</v>
      </c>
      <c r="J58" s="74">
        <f t="shared" si="2"/>
        <v>271336.6778169662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t="str">
        <f t="shared" si="6"/>
        <v>JB1-10</v>
      </c>
      <c r="F59" t="str">
        <f t="shared" si="1"/>
        <v>Halm</v>
      </c>
      <c r="G59" s="74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8478.205637055733</v>
      </c>
      <c r="H5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18653.748042650022</v>
      </c>
      <c r="I5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7987.9408483486441</v>
      </c>
      <c r="J59" s="74">
        <f t="shared" si="2"/>
        <v>7987.9408483486441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t="str">
        <f t="shared" si="6"/>
        <v>JB1-10</v>
      </c>
      <c r="F60" t="str">
        <f t="shared" si="1"/>
        <v>Halm</v>
      </c>
      <c r="G60" s="74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14257.299454299538</v>
      </c>
      <c r="H60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34502.664679404887</v>
      </c>
      <c r="I60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26580.852869013528</v>
      </c>
      <c r="J60" s="74">
        <f t="shared" si="2"/>
        <v>26580.852869013528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t="str">
        <f t="shared" si="6"/>
        <v>JB1-10</v>
      </c>
      <c r="F61" t="str">
        <f t="shared" si="1"/>
        <v>Græs</v>
      </c>
      <c r="G61" s="74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27184.185921248929</v>
      </c>
      <c r="H6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1052125.8582216501</v>
      </c>
      <c r="I6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4">
        <f t="shared" si="2"/>
        <v>1052125.8582216501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t="str">
        <f t="shared" si="6"/>
        <v>JB1-10</v>
      </c>
      <c r="F62" t="str">
        <f t="shared" si="1"/>
        <v>Grøntsager</v>
      </c>
      <c r="G62" s="74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1051.9661718780378</v>
      </c>
      <c r="H62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12442.129897887491</v>
      </c>
      <c r="I62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4">
        <f t="shared" si="2"/>
        <v>12442.129897887491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t="str">
        <f t="shared" si="6"/>
        <v>JB1-10</v>
      </c>
      <c r="F63" t="str">
        <f t="shared" si="1"/>
        <v>Kartofler</v>
      </c>
      <c r="G63" s="74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6266.6960496127094</v>
      </c>
      <c r="H63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151706.76422453701</v>
      </c>
      <c r="I63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4">
        <f t="shared" si="2"/>
        <v>151706.76422453701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t="str">
        <f t="shared" si="6"/>
        <v>JB1-10</v>
      </c>
      <c r="F64" t="str">
        <f t="shared" si="1"/>
        <v>Roer</v>
      </c>
      <c r="G64" s="74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611.76015195210698</v>
      </c>
      <c r="H64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28333.443168948419</v>
      </c>
      <c r="I64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4">
        <f t="shared" si="2"/>
        <v>28333.443168948419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t="str">
        <f t="shared" si="6"/>
        <v>JB1-10</v>
      </c>
      <c r="F65" t="str">
        <f t="shared" si="1"/>
        <v>Majs</v>
      </c>
      <c r="G65" s="74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20949.485012776135</v>
      </c>
      <c r="H65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773943.10967249272</v>
      </c>
      <c r="I65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4">
        <f t="shared" si="2"/>
        <v>773943.10967249272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t="str">
        <f t="shared" ref="E66:E85" si="11">Jordbund1</f>
        <v>JB1-10</v>
      </c>
      <c r="F66" t="str">
        <f t="shared" si="1"/>
        <v>Frugt</v>
      </c>
      <c r="G66" s="74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384.95257380397146</v>
      </c>
      <c r="H66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1862.9009904095592</v>
      </c>
      <c r="I66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4">
        <f t="shared" si="2"/>
        <v>1862.9009904095592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t="str">
        <f t="shared" si="11"/>
        <v>JB1-10</v>
      </c>
      <c r="F67" t="str">
        <f t="shared" si="1"/>
        <v>Øvrige</v>
      </c>
      <c r="G67" s="74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6808.233261507532</v>
      </c>
      <c r="H67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115628.90818074705</v>
      </c>
      <c r="I67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4">
        <f t="shared" si="2"/>
        <v>115628.90818074705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t="str">
        <f t="shared" si="11"/>
        <v>JB1-10</v>
      </c>
      <c r="F68" t="str">
        <f t="shared" si="1"/>
        <v>Halm</v>
      </c>
      <c r="G68" s="74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7161.6626229507428</v>
      </c>
      <c r="H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58329.240014713636</v>
      </c>
      <c r="I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13977.273707960509</v>
      </c>
      <c r="J68" s="74">
        <f t="shared" si="2"/>
        <v>13977.273707960509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t="str">
        <f t="shared" si="11"/>
        <v>JB1-10</v>
      </c>
      <c r="F69" t="str">
        <f t="shared" si="1"/>
        <v>Juletræer</v>
      </c>
      <c r="G69" s="74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1930.7465877836498</v>
      </c>
      <c r="H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55026.277751834015</v>
      </c>
      <c r="I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4">
        <f t="shared" si="2"/>
        <v>55026.277751834015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t="str">
        <f t="shared" si="11"/>
        <v>JB1-10</v>
      </c>
      <c r="F70" t="str">
        <f t="shared" ref="F70" si="12">IF(I70&lt;&gt;0,"Halm",IF(B70&lt;&gt;"Permanent græs",B70,"Græs"))</f>
        <v>Pil &amp; poppel</v>
      </c>
      <c r="G70" s="74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710.19054274574535</v>
      </c>
      <c r="H70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9873.3807162213379</v>
      </c>
      <c r="I70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4">
        <f t="shared" ref="J70" si="13">IF(I70&lt;&gt;0,I70,H70)</f>
        <v>9873.3807162213379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t="str">
        <f t="shared" si="11"/>
        <v>JB1-10</v>
      </c>
      <c r="F71" t="str">
        <f t="shared" si="1"/>
        <v>Græs</v>
      </c>
      <c r="G71" s="74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17118.100390308689</v>
      </c>
      <c r="H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236058.60438235683</v>
      </c>
      <c r="I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4">
        <f t="shared" si="2"/>
        <v>236058.60438235683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t="str">
        <f t="shared" si="11"/>
        <v>JB1-10</v>
      </c>
      <c r="F72" t="str">
        <f t="shared" ref="F72:F139" si="14">IF(I72&lt;&gt;0,"Halm",IF(B72&lt;&gt;"Permanent græs",B72,"Græs"))</f>
        <v>Halm</v>
      </c>
      <c r="G72" s="74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149178.10063989804</v>
      </c>
      <c r="H72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700644.78527540923</v>
      </c>
      <c r="I72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398842.04401802667</v>
      </c>
      <c r="J72" s="74">
        <f t="shared" ref="J72:J139" si="15">IF(I72&lt;&gt;0,I72,H72)</f>
        <v>398842.04401802667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t="str">
        <f t="shared" si="11"/>
        <v>JB1-10</v>
      </c>
      <c r="F73" t="str">
        <f t="shared" si="14"/>
        <v>Halm</v>
      </c>
      <c r="G73" s="74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10306.941022348496</v>
      </c>
      <c r="H73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22677.33163737116</v>
      </c>
      <c r="I73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11741.599702195708</v>
      </c>
      <c r="J73" s="74">
        <f t="shared" si="15"/>
        <v>11741.599702195708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t="str">
        <f t="shared" si="11"/>
        <v>JB1-10</v>
      </c>
      <c r="F74" t="str">
        <f t="shared" si="14"/>
        <v>Halm</v>
      </c>
      <c r="G74" s="74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17332.576125678694</v>
      </c>
      <c r="H74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41944.834224142447</v>
      </c>
      <c r="I74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39071.61307978868</v>
      </c>
      <c r="J74" s="74">
        <f t="shared" si="15"/>
        <v>39071.61307978868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t="str">
        <f t="shared" si="11"/>
        <v>JB1-10</v>
      </c>
      <c r="F75" t="str">
        <f t="shared" si="14"/>
        <v>Græs</v>
      </c>
      <c r="G75" s="74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33047.771312158278</v>
      </c>
      <c r="H75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1279067.7217572492</v>
      </c>
      <c r="I75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4">
        <f t="shared" si="15"/>
        <v>1279067.7217572492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t="str">
        <f t="shared" si="11"/>
        <v>JB1-10</v>
      </c>
      <c r="F76" t="str">
        <f t="shared" si="14"/>
        <v>Grøntsager</v>
      </c>
      <c r="G76" s="74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1278.8735913249209</v>
      </c>
      <c r="H76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15125.877401395501</v>
      </c>
      <c r="I76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4">
        <f t="shared" si="15"/>
        <v>15125.877401395501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t="str">
        <f t="shared" si="11"/>
        <v>JB1-10</v>
      </c>
      <c r="F77" t="str">
        <f t="shared" si="14"/>
        <v>Kartofler</v>
      </c>
      <c r="G77" s="74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7618.4123567416955</v>
      </c>
      <c r="H77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184429.67043868985</v>
      </c>
      <c r="I77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4">
        <f t="shared" si="15"/>
        <v>184429.67043868985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t="str">
        <f t="shared" si="11"/>
        <v>JB1-10</v>
      </c>
      <c r="F78" t="str">
        <f t="shared" si="14"/>
        <v>Roer</v>
      </c>
      <c r="G78" s="74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743.71583751571029</v>
      </c>
      <c r="H7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34444.921508630599</v>
      </c>
      <c r="I7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4">
        <f t="shared" si="15"/>
        <v>34444.921508630599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t="str">
        <f t="shared" si="11"/>
        <v>JB1-10</v>
      </c>
      <c r="F79" t="str">
        <f t="shared" si="14"/>
        <v>Majs</v>
      </c>
      <c r="G79" s="74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25468.255397287427</v>
      </c>
      <c r="H7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940881.39961860876</v>
      </c>
      <c r="I7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4">
        <f t="shared" si="15"/>
        <v>940881.39961860876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t="str">
        <f t="shared" si="11"/>
        <v>JB1-10</v>
      </c>
      <c r="F80" t="str">
        <f t="shared" si="14"/>
        <v>Frugt</v>
      </c>
      <c r="G80" s="74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467.98622780004507</v>
      </c>
      <c r="H80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2264.7257521927581</v>
      </c>
      <c r="I80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4">
        <f t="shared" si="15"/>
        <v>2264.7257521927581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t="str">
        <f t="shared" si="11"/>
        <v>JB1-10</v>
      </c>
      <c r="F81" t="str">
        <f t="shared" si="14"/>
        <v>Øvrige</v>
      </c>
      <c r="G81" s="74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8276.7582784319511</v>
      </c>
      <c r="H8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140569.8785941909</v>
      </c>
      <c r="I8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4">
        <f t="shared" si="15"/>
        <v>140569.8785941909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t="str">
        <f t="shared" si="11"/>
        <v>JB1-10</v>
      </c>
      <c r="F82" t="str">
        <f t="shared" si="14"/>
        <v>Halm</v>
      </c>
      <c r="G82" s="74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8706.4217874225778</v>
      </c>
      <c r="H82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70910.763721324838</v>
      </c>
      <c r="I82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20545.414133959799</v>
      </c>
      <c r="J82" s="74">
        <f t="shared" si="15"/>
        <v>20545.414133959799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t="str">
        <f t="shared" si="11"/>
        <v>JB1-10</v>
      </c>
      <c r="F83" t="str">
        <f t="shared" si="14"/>
        <v>Juletræer</v>
      </c>
      <c r="G83" s="74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2347.2055363235422</v>
      </c>
      <c r="H83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66895.357785220942</v>
      </c>
      <c r="I83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4">
        <f t="shared" si="15"/>
        <v>66895.357785220942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t="str">
        <f t="shared" si="11"/>
        <v>JB1-10</v>
      </c>
      <c r="F84" t="str">
        <f t="shared" ref="F84" si="16">IF(I84&lt;&gt;0,"Halm",IF(B84&lt;&gt;"Permanent græs",B84,"Græs"))</f>
        <v>Pil &amp; poppel</v>
      </c>
      <c r="G84" s="74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863.37750605116003</v>
      </c>
      <c r="H84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12003.053132906372</v>
      </c>
      <c r="I84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4">
        <f t="shared" ref="J84" si="17">IF(I84&lt;&gt;0,I84,H84)</f>
        <v>12003.053132906372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t="str">
        <f t="shared" si="11"/>
        <v>JB1-10</v>
      </c>
      <c r="F85" t="str">
        <f t="shared" si="14"/>
        <v>Græs</v>
      </c>
      <c r="G85" s="74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20810.447244450646</v>
      </c>
      <c r="H85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286976.06750097446</v>
      </c>
      <c r="I85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4">
        <f t="shared" si="15"/>
        <v>286976.06750097446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t="str">
        <f t="shared" ref="E86:E117" si="18">Organ6</f>
        <v>OC6</v>
      </c>
      <c r="F86" t="str">
        <f t="shared" si="14"/>
        <v>Halm</v>
      </c>
      <c r="G86" s="74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4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t="str">
        <f t="shared" si="18"/>
        <v>OC6</v>
      </c>
      <c r="F87" t="str">
        <f t="shared" si="14"/>
        <v>Halm</v>
      </c>
      <c r="G87" s="74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4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t="str">
        <f t="shared" si="18"/>
        <v>OC6</v>
      </c>
      <c r="F88" t="str">
        <f t="shared" si="14"/>
        <v>Halm</v>
      </c>
      <c r="G88" s="74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4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t="str">
        <f t="shared" si="18"/>
        <v>OC6</v>
      </c>
      <c r="F89" t="str">
        <f t="shared" si="14"/>
        <v>Græs</v>
      </c>
      <c r="G89" s="74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4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t="str">
        <f t="shared" si="18"/>
        <v>OC6</v>
      </c>
      <c r="F90" t="str">
        <f t="shared" si="14"/>
        <v>Grøntsager</v>
      </c>
      <c r="G90" s="74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4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t="str">
        <f t="shared" si="18"/>
        <v>OC6</v>
      </c>
      <c r="F91" t="str">
        <f t="shared" si="14"/>
        <v>Kartofler</v>
      </c>
      <c r="G91" s="74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4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t="str">
        <f t="shared" si="18"/>
        <v>OC6</v>
      </c>
      <c r="F92" t="str">
        <f t="shared" si="14"/>
        <v>Roer</v>
      </c>
      <c r="G92" s="74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4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t="str">
        <f t="shared" si="18"/>
        <v>OC6</v>
      </c>
      <c r="F93" t="str">
        <f t="shared" si="14"/>
        <v>Majs</v>
      </c>
      <c r="G93" s="74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4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t="str">
        <f t="shared" si="18"/>
        <v>OC6</v>
      </c>
      <c r="F94" t="str">
        <f t="shared" si="14"/>
        <v>Frugt</v>
      </c>
      <c r="G94" s="74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4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t="str">
        <f t="shared" si="18"/>
        <v>OC6</v>
      </c>
      <c r="F95" t="str">
        <f t="shared" si="14"/>
        <v>Øvrige</v>
      </c>
      <c r="G95" s="74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4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t="str">
        <f t="shared" si="18"/>
        <v>OC6</v>
      </c>
      <c r="F96" t="str">
        <f t="shared" si="14"/>
        <v>Halm</v>
      </c>
      <c r="G96" s="74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4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t="str">
        <f t="shared" si="18"/>
        <v>OC6</v>
      </c>
      <c r="F97" t="str">
        <f t="shared" si="14"/>
        <v>Juletræer</v>
      </c>
      <c r="G97" s="74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4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t="str">
        <f t="shared" si="18"/>
        <v>OC6</v>
      </c>
      <c r="F98" t="str">
        <f t="shared" ref="F98" si="19">IF(I98&lt;&gt;0,"Halm",IF(B98&lt;&gt;"Permanent græs",B98,"Græs"))</f>
        <v>Pil &amp; poppel</v>
      </c>
      <c r="G98" s="74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4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t="str">
        <f t="shared" si="18"/>
        <v>OC6</v>
      </c>
      <c r="F99" t="str">
        <f t="shared" si="14"/>
        <v>Græs</v>
      </c>
      <c r="G99" s="74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4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t="str">
        <f t="shared" si="18"/>
        <v>OC6</v>
      </c>
      <c r="F100" t="str">
        <f t="shared" si="14"/>
        <v>Halm</v>
      </c>
      <c r="G100" s="74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20843.531266124886</v>
      </c>
      <c r="H100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175335.78501064255</v>
      </c>
      <c r="I100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82548.087583010521</v>
      </c>
      <c r="J100" s="74">
        <f t="shared" si="15"/>
        <v>82548.087583010521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t="str">
        <f t="shared" si="18"/>
        <v>OC6</v>
      </c>
      <c r="F101" t="str">
        <f t="shared" si="14"/>
        <v>Halm</v>
      </c>
      <c r="G101" s="74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1786.7951054397183</v>
      </c>
      <c r="H10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8276.4349283967749</v>
      </c>
      <c r="I10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3544.1495452861272</v>
      </c>
      <c r="J101" s="74">
        <f t="shared" si="15"/>
        <v>3544.1495452861272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t="str">
        <f t="shared" si="18"/>
        <v>OC6</v>
      </c>
      <c r="F102" t="str">
        <f t="shared" si="14"/>
        <v>Halm</v>
      </c>
      <c r="G102" s="74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1913.2698208119741</v>
      </c>
      <c r="H102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10102.064653887224</v>
      </c>
      <c r="I102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7782.6306093547173</v>
      </c>
      <c r="J102" s="74">
        <f t="shared" si="15"/>
        <v>7782.6306093547173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t="str">
        <f t="shared" si="18"/>
        <v>OC6</v>
      </c>
      <c r="F103" t="str">
        <f t="shared" si="14"/>
        <v>Græs</v>
      </c>
      <c r="G103" s="74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17656.329249729286</v>
      </c>
      <c r="H103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1051328.4688458806</v>
      </c>
      <c r="I103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4">
        <f t="shared" si="15"/>
        <v>1051328.4688458806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t="str">
        <f t="shared" si="18"/>
        <v>OC6</v>
      </c>
      <c r="F104" t="str">
        <f t="shared" si="14"/>
        <v>Grøntsager</v>
      </c>
      <c r="G104" s="74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82.579316026090069</v>
      </c>
      <c r="H104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2056.2249690496424</v>
      </c>
      <c r="I104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4">
        <f t="shared" si="15"/>
        <v>2056.2249690496424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t="str">
        <f t="shared" si="18"/>
        <v>OC6</v>
      </c>
      <c r="F105" t="str">
        <f t="shared" si="14"/>
        <v>Kartofler</v>
      </c>
      <c r="G105" s="74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1303.7133622629699</v>
      </c>
      <c r="H105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66443.854977046722</v>
      </c>
      <c r="I105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4">
        <f t="shared" si="15"/>
        <v>66443.854977046722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t="str">
        <f t="shared" si="18"/>
        <v>OC6</v>
      </c>
      <c r="F106" t="str">
        <f t="shared" si="14"/>
        <v>Roer</v>
      </c>
      <c r="G106" s="74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34.203336491457428</v>
      </c>
      <c r="H106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3334.9784571849705</v>
      </c>
      <c r="I106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4">
        <f t="shared" si="15"/>
        <v>3334.9784571849705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t="str">
        <f t="shared" si="18"/>
        <v>OC6</v>
      </c>
      <c r="F107" t="str">
        <f t="shared" si="14"/>
        <v>Majs</v>
      </c>
      <c r="G107" s="74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4415.1367500105207</v>
      </c>
      <c r="H107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235821.28409156195</v>
      </c>
      <c r="I107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4">
        <f t="shared" si="15"/>
        <v>235821.28409156195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t="str">
        <f t="shared" si="18"/>
        <v>OC6</v>
      </c>
      <c r="F108" t="str">
        <f t="shared" si="14"/>
        <v>Frugt</v>
      </c>
      <c r="G108" s="74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75.215650030725556</v>
      </c>
      <c r="H10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766.29704251303201</v>
      </c>
      <c r="I10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4">
        <f t="shared" si="15"/>
        <v>766.29704251303201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t="str">
        <f t="shared" si="18"/>
        <v>OC6</v>
      </c>
      <c r="F109" t="str">
        <f t="shared" si="14"/>
        <v>Øvrige</v>
      </c>
      <c r="G109" s="74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1330.2565696985414</v>
      </c>
      <c r="H10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47563.499522557722</v>
      </c>
      <c r="I10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4">
        <f t="shared" si="15"/>
        <v>47563.499522557722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t="str">
        <f t="shared" si="18"/>
        <v>OC6</v>
      </c>
      <c r="F110" t="str">
        <f t="shared" si="14"/>
        <v>Halm</v>
      </c>
      <c r="G110" s="74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3283.4655055701205</v>
      </c>
      <c r="H110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56300.377701230325</v>
      </c>
      <c r="I110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13491.103069286512</v>
      </c>
      <c r="J110" s="74">
        <f t="shared" si="15"/>
        <v>13491.103069286512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t="str">
        <f t="shared" si="18"/>
        <v>OC6</v>
      </c>
      <c r="F111" t="str">
        <f t="shared" si="14"/>
        <v>Juletræer</v>
      </c>
      <c r="G111" s="74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377.24740533545247</v>
      </c>
      <c r="H11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22634.844320127148</v>
      </c>
      <c r="I11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4">
        <f t="shared" si="15"/>
        <v>22634.844320127148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4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619.57934642519353</v>
      </c>
      <c r="H112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18134.029651469082</v>
      </c>
      <c r="I112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4">
        <f t="shared" ref="J112" si="22">IF(I112&lt;&gt;0,I112,H112)</f>
        <v>18134.029651469082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t="str">
        <f t="shared" si="18"/>
        <v>OC6</v>
      </c>
      <c r="F113" t="str">
        <f t="shared" si="14"/>
        <v>Græs</v>
      </c>
      <c r="G113" s="74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17512.450507812609</v>
      </c>
      <c r="H113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289796.03100328305</v>
      </c>
      <c r="I113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4">
        <f t="shared" si="15"/>
        <v>289796.03100328305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t="str">
        <f t="shared" si="18"/>
        <v>OC6</v>
      </c>
      <c r="F114" t="str">
        <f t="shared" si="14"/>
        <v>Halm</v>
      </c>
      <c r="G114" s="74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16500.437390404819</v>
      </c>
      <c r="H114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138801.67932808533</v>
      </c>
      <c r="I114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79012.855957512569</v>
      </c>
      <c r="J114" s="74">
        <f t="shared" si="15"/>
        <v>79012.855957512569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t="str">
        <f t="shared" si="18"/>
        <v>OC6</v>
      </c>
      <c r="F115" t="str">
        <f t="shared" si="14"/>
        <v>Halm</v>
      </c>
      <c r="G115" s="74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1414.4868444007736</v>
      </c>
      <c r="H115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6551.9030632643844</v>
      </c>
      <c r="I115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3392.366627900064</v>
      </c>
      <c r="J115" s="74">
        <f t="shared" si="15"/>
        <v>3392.366627900064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t="str">
        <f t="shared" si="18"/>
        <v>OC6</v>
      </c>
      <c r="F116" t="str">
        <f t="shared" si="14"/>
        <v>Halm</v>
      </c>
      <c r="G116" s="74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1514.6084646686793</v>
      </c>
      <c r="H116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7997.132693450626</v>
      </c>
      <c r="I116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7449.3291039492588</v>
      </c>
      <c r="J116" s="74">
        <f t="shared" si="15"/>
        <v>7449.3291039492588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t="str">
        <f t="shared" si="18"/>
        <v>OC6</v>
      </c>
      <c r="F117" t="str">
        <f t="shared" si="14"/>
        <v>Græs</v>
      </c>
      <c r="G117" s="74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13977.341536317093</v>
      </c>
      <c r="H117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832266.82443846506</v>
      </c>
      <c r="I117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4">
        <f t="shared" si="15"/>
        <v>832266.82443846506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t="str">
        <f t="shared" ref="E118:E149" si="23">Organ6</f>
        <v>OC6</v>
      </c>
      <c r="F118" t="str">
        <f t="shared" si="14"/>
        <v>Grøntsager</v>
      </c>
      <c r="G118" s="74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65.372552109030366</v>
      </c>
      <c r="H11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1627.7765475148562</v>
      </c>
      <c r="I11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4">
        <f t="shared" si="15"/>
        <v>1627.7765475148562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t="str">
        <f t="shared" si="23"/>
        <v>OC6</v>
      </c>
      <c r="F119" t="str">
        <f t="shared" si="14"/>
        <v>Kartofler</v>
      </c>
      <c r="G119" s="74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1032.0631583197971</v>
      </c>
      <c r="H11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52599.180773542932</v>
      </c>
      <c r="I11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4">
        <f t="shared" si="15"/>
        <v>52599.180773542932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t="str">
        <f t="shared" si="23"/>
        <v>OC6</v>
      </c>
      <c r="F120" t="str">
        <f t="shared" si="14"/>
        <v>Roer</v>
      </c>
      <c r="G120" s="74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27.076506620423842</v>
      </c>
      <c r="H120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2640.0806335806697</v>
      </c>
      <c r="I120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4">
        <f t="shared" si="15"/>
        <v>2640.0806335806697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t="str">
        <f t="shared" si="23"/>
        <v>OC6</v>
      </c>
      <c r="F121" t="str">
        <f t="shared" si="14"/>
        <v>Majs</v>
      </c>
      <c r="G121" s="74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3495.1701121787992</v>
      </c>
      <c r="H12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186684.02603169403</v>
      </c>
      <c r="I12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4">
        <f t="shared" si="15"/>
        <v>186684.02603169403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t="str">
        <f t="shared" si="23"/>
        <v>OC6</v>
      </c>
      <c r="F122" t="str">
        <f t="shared" si="14"/>
        <v>Frugt</v>
      </c>
      <c r="G122" s="74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59.54322750136015</v>
      </c>
      <c r="H122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606.62640178385732</v>
      </c>
      <c r="I122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4">
        <f t="shared" si="15"/>
        <v>606.62640178385732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t="str">
        <f t="shared" si="23"/>
        <v>OC6</v>
      </c>
      <c r="F123" t="str">
        <f t="shared" si="14"/>
        <v>Øvrige</v>
      </c>
      <c r="G123" s="74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1053.0756502454326</v>
      </c>
      <c r="H123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37652.859101471367</v>
      </c>
      <c r="I123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4">
        <f t="shared" si="15"/>
        <v>37652.859101471367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t="str">
        <f t="shared" si="23"/>
        <v>OC6</v>
      </c>
      <c r="F124" t="str">
        <f t="shared" si="14"/>
        <v>Halm</v>
      </c>
      <c r="G124" s="74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2599.3012559376307</v>
      </c>
      <c r="H124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44569.264461683793</v>
      </c>
      <c r="I124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12913.328639498148</v>
      </c>
      <c r="J124" s="74">
        <f t="shared" si="15"/>
        <v>12913.328639498148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t="str">
        <f t="shared" si="23"/>
        <v>OC6</v>
      </c>
      <c r="F125" t="str">
        <f t="shared" si="14"/>
        <v>Juletræer</v>
      </c>
      <c r="G125" s="74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298.64167990319493</v>
      </c>
      <c r="H125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17918.500794191696</v>
      </c>
      <c r="I125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4">
        <f t="shared" si="15"/>
        <v>17918.500794191696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4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490.4797600535137</v>
      </c>
      <c r="H126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14355.505172297962</v>
      </c>
      <c r="I126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4">
        <f t="shared" ref="J126" si="25">IF(I126&lt;&gt;0,I126,H126)</f>
        <v>14355.505172297962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t="str">
        <f t="shared" si="23"/>
        <v>OC6</v>
      </c>
      <c r="F127" t="str">
        <f t="shared" si="14"/>
        <v>Græs</v>
      </c>
      <c r="G127" s="74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13863.442305783894</v>
      </c>
      <c r="H127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229412.2432761119</v>
      </c>
      <c r="I127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4">
        <f t="shared" si="15"/>
        <v>229412.2432761119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t="str">
        <f t="shared" si="23"/>
        <v>OC6</v>
      </c>
      <c r="F128" t="str">
        <f t="shared" si="14"/>
        <v>Halm</v>
      </c>
      <c r="G128" s="74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4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t="str">
        <f t="shared" si="23"/>
        <v>OC6</v>
      </c>
      <c r="F129" t="str">
        <f t="shared" si="14"/>
        <v>Halm</v>
      </c>
      <c r="G129" s="74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4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t="str">
        <f t="shared" si="23"/>
        <v>OC6</v>
      </c>
      <c r="F130" t="str">
        <f t="shared" si="14"/>
        <v>Halm</v>
      </c>
      <c r="G130" s="74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4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t="str">
        <f t="shared" si="23"/>
        <v>OC6</v>
      </c>
      <c r="F131" t="str">
        <f t="shared" si="14"/>
        <v>Græs</v>
      </c>
      <c r="G131" s="74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4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t="str">
        <f t="shared" si="23"/>
        <v>OC6</v>
      </c>
      <c r="F132" t="str">
        <f t="shared" si="14"/>
        <v>Grøntsager</v>
      </c>
      <c r="G132" s="74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4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t="str">
        <f t="shared" si="23"/>
        <v>OC6</v>
      </c>
      <c r="F133" t="str">
        <f t="shared" si="14"/>
        <v>Kartofler</v>
      </c>
      <c r="G133" s="74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4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t="str">
        <f t="shared" si="23"/>
        <v>OC6</v>
      </c>
      <c r="F134" t="str">
        <f t="shared" si="14"/>
        <v>Roer</v>
      </c>
      <c r="G134" s="74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4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t="str">
        <f t="shared" si="23"/>
        <v>OC6</v>
      </c>
      <c r="F135" t="str">
        <f t="shared" si="14"/>
        <v>Majs</v>
      </c>
      <c r="G135" s="74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4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t="str">
        <f t="shared" si="23"/>
        <v>OC6</v>
      </c>
      <c r="F136" t="str">
        <f t="shared" si="14"/>
        <v>Frugt</v>
      </c>
      <c r="G136" s="74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4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t="str">
        <f t="shared" si="23"/>
        <v>OC6</v>
      </c>
      <c r="F137" t="str">
        <f t="shared" si="14"/>
        <v>Øvrige</v>
      </c>
      <c r="G137" s="74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4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t="str">
        <f t="shared" si="23"/>
        <v>OC6</v>
      </c>
      <c r="F138" t="str">
        <f t="shared" si="14"/>
        <v>Halm</v>
      </c>
      <c r="G138" s="74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4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t="str">
        <f t="shared" si="23"/>
        <v>OC6</v>
      </c>
      <c r="F139" t="str">
        <f t="shared" si="14"/>
        <v>Juletræer</v>
      </c>
      <c r="G139" s="74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4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4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4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t="str">
        <f t="shared" si="23"/>
        <v>OC6</v>
      </c>
      <c r="F141" t="str">
        <f t="shared" ref="F141:F208" si="28">IF(I141&lt;&gt;0,"Halm",IF(B141&lt;&gt;"Permanent græs",B141,"Græs"))</f>
        <v>Græs</v>
      </c>
      <c r="G141" s="74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4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t="str">
        <f t="shared" si="23"/>
        <v>OC6</v>
      </c>
      <c r="F142" t="str">
        <f t="shared" si="28"/>
        <v>Halm</v>
      </c>
      <c r="G142" s="74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3253.0366715917453</v>
      </c>
      <c r="H142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18334.24480255794</v>
      </c>
      <c r="I142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8631.7624530442808</v>
      </c>
      <c r="J142" s="74">
        <f t="shared" si="29"/>
        <v>8631.7624530442808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t="str">
        <f t="shared" si="23"/>
        <v>OC6</v>
      </c>
      <c r="F143" t="str">
        <f t="shared" si="28"/>
        <v>Halm</v>
      </c>
      <c r="G143" s="74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278.86397599348209</v>
      </c>
      <c r="H143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736.26782397703118</v>
      </c>
      <c r="I143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315.28590463556941</v>
      </c>
      <c r="J143" s="74">
        <f t="shared" si="29"/>
        <v>315.28590463556941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t="str">
        <f t="shared" si="23"/>
        <v>OC6</v>
      </c>
      <c r="F144" t="str">
        <f t="shared" si="28"/>
        <v>Halm</v>
      </c>
      <c r="G144" s="74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298.60280440418097</v>
      </c>
      <c r="H144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867.14254398974163</v>
      </c>
      <c r="I144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668.04661588969702</v>
      </c>
      <c r="J144" s="74">
        <f t="shared" si="29"/>
        <v>668.04661588969702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t="str">
        <f t="shared" si="23"/>
        <v>OC6</v>
      </c>
      <c r="F145" t="str">
        <f t="shared" si="28"/>
        <v>Græs</v>
      </c>
      <c r="G145" s="74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2755.6120794375188</v>
      </c>
      <c r="H145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127982.52921326154</v>
      </c>
      <c r="I145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4">
        <f t="shared" si="29"/>
        <v>127982.52921326154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t="str">
        <f t="shared" si="23"/>
        <v>OC6</v>
      </c>
      <c r="F146" t="str">
        <f t="shared" si="28"/>
        <v>Grøntsager</v>
      </c>
      <c r="G146" s="74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12.888101345112323</v>
      </c>
      <c r="H146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182.92082239117917</v>
      </c>
      <c r="I146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4">
        <f t="shared" si="29"/>
        <v>182.92082239117917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t="str">
        <f t="shared" si="23"/>
        <v>OC6</v>
      </c>
      <c r="F147" t="str">
        <f t="shared" si="28"/>
        <v>Kartofler</v>
      </c>
      <c r="G147" s="74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203.46971549768895</v>
      </c>
      <c r="H147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5910.8146132760057</v>
      </c>
      <c r="I147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4">
        <f t="shared" si="29"/>
        <v>5910.8146132760057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t="str">
        <f t="shared" si="23"/>
        <v>OC6</v>
      </c>
      <c r="F148" t="str">
        <f t="shared" si="28"/>
        <v>Roer</v>
      </c>
      <c r="G148" s="74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5.3380929784355526</v>
      </c>
      <c r="H14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296.67814136460527</v>
      </c>
      <c r="I14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4">
        <f t="shared" si="29"/>
        <v>296.67814136460527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t="str">
        <f t="shared" si="23"/>
        <v>OC6</v>
      </c>
      <c r="F149" t="str">
        <f t="shared" si="28"/>
        <v>Majs</v>
      </c>
      <c r="G149" s="74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689.0675852617577</v>
      </c>
      <c r="H14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30547.716627120833</v>
      </c>
      <c r="I14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4">
        <f t="shared" si="29"/>
        <v>30547.716627120833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t="str">
        <f t="shared" ref="E150:E169" si="30">Organ6</f>
        <v>OC6</v>
      </c>
      <c r="F150" t="str">
        <f t="shared" si="28"/>
        <v>Frugt</v>
      </c>
      <c r="G150" s="74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11.73885867531555</v>
      </c>
      <c r="H150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68.169430544945442</v>
      </c>
      <c r="I150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4">
        <f t="shared" si="29"/>
        <v>68.169430544945442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t="str">
        <f t="shared" si="30"/>
        <v>OC6</v>
      </c>
      <c r="F151" t="str">
        <f t="shared" si="28"/>
        <v>Øvrige</v>
      </c>
      <c r="G151" s="74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207.61229700497469</v>
      </c>
      <c r="H15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4231.2269228448749</v>
      </c>
      <c r="I15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4">
        <f t="shared" si="29"/>
        <v>4231.2269228448749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t="str">
        <f t="shared" si="30"/>
        <v>OC6</v>
      </c>
      <c r="F152" t="str">
        <f t="shared" si="28"/>
        <v>Halm</v>
      </c>
      <c r="G152" s="74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512.44837370169512</v>
      </c>
      <c r="H152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5008.4555654447104</v>
      </c>
      <c r="I152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1200.1622903833493</v>
      </c>
      <c r="J152" s="74">
        <f t="shared" si="29"/>
        <v>1200.1622903833493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t="str">
        <f t="shared" si="30"/>
        <v>OC6</v>
      </c>
      <c r="F153" t="str">
        <f t="shared" si="28"/>
        <v>Juletræer</v>
      </c>
      <c r="G153" s="74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58.876762682411666</v>
      </c>
      <c r="H153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2013.5852837384791</v>
      </c>
      <c r="I153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4">
        <f t="shared" si="29"/>
        <v>2013.5852837384791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4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96.697354644394366</v>
      </c>
      <c r="H154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1613.1948921162375</v>
      </c>
      <c r="I154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4">
        <f t="shared" ref="J154" si="32">IF(I154&lt;&gt;0,I154,H154)</f>
        <v>1613.1948921162375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t="str">
        <f t="shared" si="30"/>
        <v>OC6</v>
      </c>
      <c r="F155" t="str">
        <f t="shared" si="28"/>
        <v>Græs</v>
      </c>
      <c r="G155" s="74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2733.1570156701764</v>
      </c>
      <c r="H155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45228.282295310084</v>
      </c>
      <c r="I155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4">
        <f t="shared" si="29"/>
        <v>45228.282295310084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t="str">
        <f t="shared" si="30"/>
        <v>OC6</v>
      </c>
      <c r="F156" t="str">
        <f t="shared" si="28"/>
        <v>Halm</v>
      </c>
      <c r="G156" s="74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3500.0927797828404</v>
      </c>
      <c r="H156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19726.66291056728</v>
      </c>
      <c r="I156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11229.402861840425</v>
      </c>
      <c r="J156" s="74">
        <f t="shared" si="29"/>
        <v>11229.402861840425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t="str">
        <f t="shared" si="30"/>
        <v>OC6</v>
      </c>
      <c r="F157" t="str">
        <f t="shared" si="28"/>
        <v>Halm</v>
      </c>
      <c r="G157" s="74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300.04266396380046</v>
      </c>
      <c r="H157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792.18464310378454</v>
      </c>
      <c r="I157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410.16796500973498</v>
      </c>
      <c r="J157" s="74">
        <f t="shared" si="29"/>
        <v>410.16796500973498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t="str">
        <f t="shared" si="30"/>
        <v>OC6</v>
      </c>
      <c r="F158" t="str">
        <f t="shared" si="28"/>
        <v>Halm</v>
      </c>
      <c r="G158" s="74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321.28058341456835</v>
      </c>
      <c r="H15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932.99881423590659</v>
      </c>
      <c r="I15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869.08839546074694</v>
      </c>
      <c r="J158" s="74">
        <f t="shared" si="29"/>
        <v>869.08839546074694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t="str">
        <f t="shared" si="30"/>
        <v>OC6</v>
      </c>
      <c r="F159" t="str">
        <f t="shared" si="28"/>
        <v>Græs</v>
      </c>
      <c r="G159" s="74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2964.8906289157476</v>
      </c>
      <c r="H15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137702.32913436423</v>
      </c>
      <c r="I15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4">
        <f t="shared" si="29"/>
        <v>137702.32913436423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t="str">
        <f t="shared" si="30"/>
        <v>OC6</v>
      </c>
      <c r="F160" t="str">
        <f t="shared" si="28"/>
        <v>Grøntsager</v>
      </c>
      <c r="G160" s="74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13.866904992824622</v>
      </c>
      <c r="H160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196.81298256315984</v>
      </c>
      <c r="I160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4">
        <f t="shared" si="29"/>
        <v>196.81298256315984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t="str">
        <f t="shared" si="30"/>
        <v>OC6</v>
      </c>
      <c r="F161" t="str">
        <f t="shared" si="28"/>
        <v>Kartofler</v>
      </c>
      <c r="G161" s="74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218.92248812844184</v>
      </c>
      <c r="H16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6359.7191298920079</v>
      </c>
      <c r="I16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4">
        <f t="shared" si="29"/>
        <v>6359.7191298920079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t="str">
        <f t="shared" si="30"/>
        <v>OC6</v>
      </c>
      <c r="F162" t="str">
        <f t="shared" si="28"/>
        <v>Roer</v>
      </c>
      <c r="G162" s="74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5.7435014043323305</v>
      </c>
      <c r="H162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319.20974933293547</v>
      </c>
      <c r="I162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4">
        <f t="shared" si="29"/>
        <v>319.20974933293547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t="str">
        <f t="shared" si="30"/>
        <v>OC6</v>
      </c>
      <c r="F163" t="str">
        <f t="shared" si="28"/>
        <v>Majs</v>
      </c>
      <c r="G163" s="74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741.39972076519973</v>
      </c>
      <c r="H163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32867.702764973998</v>
      </c>
      <c r="I163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4">
        <f t="shared" si="29"/>
        <v>32867.702764973998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t="str">
        <f t="shared" si="30"/>
        <v>OC6</v>
      </c>
      <c r="F164" t="str">
        <f t="shared" si="28"/>
        <v>Frugt</v>
      </c>
      <c r="G164" s="74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12.630381591197606</v>
      </c>
      <c r="H164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73.346646761139084</v>
      </c>
      <c r="I164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4">
        <f t="shared" si="29"/>
        <v>73.346646761139084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t="str">
        <f t="shared" si="30"/>
        <v>OC6</v>
      </c>
      <c r="F165" t="str">
        <f t="shared" si="28"/>
        <v>Øvrige</v>
      </c>
      <c r="G165" s="74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223.3796833853948</v>
      </c>
      <c r="H165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4552.5729640869913</v>
      </c>
      <c r="I165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4">
        <f t="shared" si="29"/>
        <v>4552.5729640869913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t="str">
        <f t="shared" si="30"/>
        <v>OC6</v>
      </c>
      <c r="F166" t="str">
        <f t="shared" si="28"/>
        <v>Halm</v>
      </c>
      <c r="G166" s="74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551.36693307767916</v>
      </c>
      <c r="H166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5388.8292485490392</v>
      </c>
      <c r="I166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1561.3388264120485</v>
      </c>
      <c r="J166" s="74">
        <f t="shared" si="29"/>
        <v>1561.3388264120485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t="str">
        <f t="shared" si="30"/>
        <v>OC6</v>
      </c>
      <c r="F167" t="str">
        <f t="shared" si="28"/>
        <v>Juletræer</v>
      </c>
      <c r="G167" s="74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63.34823513098074</v>
      </c>
      <c r="H167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2166.5096414795412</v>
      </c>
      <c r="I167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4">
        <f t="shared" si="29"/>
        <v>2166.5096414795412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4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104.0411612234726</v>
      </c>
      <c r="H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1735.7110799232989</v>
      </c>
      <c r="I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4">
        <f t="shared" ref="J168" si="34">IF(I168&lt;&gt;0,I168,H168)</f>
        <v>1735.7110799232989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t="str">
        <f t="shared" si="30"/>
        <v>OC6</v>
      </c>
      <c r="F169" t="str">
        <f t="shared" si="28"/>
        <v>Græs</v>
      </c>
      <c r="G169" s="74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2940.7301860753714</v>
      </c>
      <c r="H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48663.203119175247</v>
      </c>
      <c r="I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4">
        <f t="shared" si="29"/>
        <v>48663.203119175247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t="str">
        <f t="shared" ref="E170:E201" si="35">Organ12</f>
        <v>OC12</v>
      </c>
      <c r="F170" t="str">
        <f t="shared" si="28"/>
        <v>Halm</v>
      </c>
      <c r="G170" s="74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4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t="str">
        <f t="shared" si="35"/>
        <v>OC12</v>
      </c>
      <c r="F171" t="str">
        <f t="shared" si="28"/>
        <v>Halm</v>
      </c>
      <c r="G171" s="74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4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t="str">
        <f t="shared" si="35"/>
        <v>OC12</v>
      </c>
      <c r="F172" t="str">
        <f t="shared" si="28"/>
        <v>Halm</v>
      </c>
      <c r="G172" s="74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4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t="str">
        <f t="shared" si="35"/>
        <v>OC12</v>
      </c>
      <c r="F173" t="str">
        <f t="shared" si="28"/>
        <v>Græs</v>
      </c>
      <c r="G173" s="74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4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t="str">
        <f t="shared" si="35"/>
        <v>OC12</v>
      </c>
      <c r="F174" t="str">
        <f t="shared" si="28"/>
        <v>Grøntsager</v>
      </c>
      <c r="G174" s="74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4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t="str">
        <f t="shared" si="35"/>
        <v>OC12</v>
      </c>
      <c r="F175" t="str">
        <f t="shared" si="28"/>
        <v>Kartofler</v>
      </c>
      <c r="G175" s="74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4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t="str">
        <f t="shared" si="35"/>
        <v>OC12</v>
      </c>
      <c r="F176" t="str">
        <f t="shared" si="28"/>
        <v>Roer</v>
      </c>
      <c r="G176" s="74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4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t="str">
        <f t="shared" si="35"/>
        <v>OC12</v>
      </c>
      <c r="F177" t="str">
        <f t="shared" si="28"/>
        <v>Majs</v>
      </c>
      <c r="G177" s="74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4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t="str">
        <f t="shared" si="35"/>
        <v>OC12</v>
      </c>
      <c r="F178" t="str">
        <f t="shared" si="28"/>
        <v>Frugt</v>
      </c>
      <c r="G178" s="74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4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t="str">
        <f t="shared" si="35"/>
        <v>OC12</v>
      </c>
      <c r="F179" t="str">
        <f t="shared" si="28"/>
        <v>Øvrige</v>
      </c>
      <c r="G179" s="74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4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t="str">
        <f t="shared" si="35"/>
        <v>OC12</v>
      </c>
      <c r="F180" t="str">
        <f t="shared" si="28"/>
        <v>Halm</v>
      </c>
      <c r="G180" s="74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4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t="str">
        <f t="shared" si="35"/>
        <v>OC12</v>
      </c>
      <c r="F181" t="str">
        <f t="shared" si="28"/>
        <v>Juletræer</v>
      </c>
      <c r="G181" s="74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4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4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4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t="str">
        <f t="shared" si="35"/>
        <v>OC12</v>
      </c>
      <c r="F183" t="str">
        <f t="shared" si="28"/>
        <v>Græs</v>
      </c>
      <c r="G183" s="74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4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t="str">
        <f t="shared" si="35"/>
        <v>OC12</v>
      </c>
      <c r="F184" t="str">
        <f t="shared" si="28"/>
        <v>Halm</v>
      </c>
      <c r="G184" s="74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8269.0161200631464</v>
      </c>
      <c r="H184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81152.124202299703</v>
      </c>
      <c r="I184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38206.420074442714</v>
      </c>
      <c r="J184" s="74">
        <f t="shared" si="29"/>
        <v>38206.420074442714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t="str">
        <f t="shared" si="35"/>
        <v>OC12</v>
      </c>
      <c r="F185" t="str">
        <f t="shared" si="28"/>
        <v>Halm</v>
      </c>
      <c r="G185" s="74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476.12351737499114</v>
      </c>
      <c r="H185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2572.9714878944524</v>
      </c>
      <c r="I185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1101.8023832420477</v>
      </c>
      <c r="J185" s="74">
        <f t="shared" si="29"/>
        <v>1101.8023832420477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t="str">
        <f t="shared" si="35"/>
        <v>OC12</v>
      </c>
      <c r="F186" t="str">
        <f t="shared" si="28"/>
        <v>Halm</v>
      </c>
      <c r="G186" s="74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616.55839503976472</v>
      </c>
      <c r="H186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3797.9997134449509</v>
      </c>
      <c r="I186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2925.9789792379906</v>
      </c>
      <c r="J186" s="74">
        <f t="shared" si="29"/>
        <v>2925.9789792379906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t="str">
        <f t="shared" si="35"/>
        <v>OC12</v>
      </c>
      <c r="F187" t="str">
        <f t="shared" si="28"/>
        <v>Græs</v>
      </c>
      <c r="G187" s="74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14219.782896462779</v>
      </c>
      <c r="H187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987819.87825147621</v>
      </c>
      <c r="I187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4">
        <f t="shared" si="29"/>
        <v>987819.87825147621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t="str">
        <f t="shared" si="35"/>
        <v>OC12</v>
      </c>
      <c r="F188" t="str">
        <f t="shared" si="28"/>
        <v>Grøntsager</v>
      </c>
      <c r="G188" s="74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16.527831515094178</v>
      </c>
      <c r="H18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480.13350551348589</v>
      </c>
      <c r="I18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4">
        <f t="shared" si="29"/>
        <v>480.13350551348589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t="str">
        <f t="shared" si="35"/>
        <v>OC12</v>
      </c>
      <c r="F189" t="str">
        <f t="shared" si="28"/>
        <v>Kartofler</v>
      </c>
      <c r="G189" s="74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874.82296878583463</v>
      </c>
      <c r="H18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52016.325706991804</v>
      </c>
      <c r="I18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4">
        <f t="shared" si="29"/>
        <v>52016.325706991804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t="str">
        <f t="shared" si="35"/>
        <v>OC12</v>
      </c>
      <c r="F190" t="str">
        <f t="shared" si="28"/>
        <v>Roer</v>
      </c>
      <c r="G190" s="74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9.4603904307598334</v>
      </c>
      <c r="H190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1076.1688314489425</v>
      </c>
      <c r="I190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4">
        <f t="shared" si="29"/>
        <v>1076.1688314489425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t="str">
        <f t="shared" si="35"/>
        <v>OC12</v>
      </c>
      <c r="F191" t="str">
        <f t="shared" si="28"/>
        <v>Majs</v>
      </c>
      <c r="G191" s="74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1176.4921633749784</v>
      </c>
      <c r="H19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73311.932668548412</v>
      </c>
      <c r="I19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4">
        <f t="shared" si="29"/>
        <v>73311.932668548412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t="str">
        <f t="shared" si="35"/>
        <v>OC12</v>
      </c>
      <c r="F192" t="str">
        <f t="shared" si="28"/>
        <v>Frugt</v>
      </c>
      <c r="G192" s="74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33.714690278143649</v>
      </c>
      <c r="H192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400.73280864601543</v>
      </c>
      <c r="I192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4">
        <f t="shared" si="29"/>
        <v>400.73280864601543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t="str">
        <f t="shared" si="35"/>
        <v>OC12</v>
      </c>
      <c r="F193" t="str">
        <f t="shared" si="28"/>
        <v>Øvrige</v>
      </c>
      <c r="G193" s="74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596.27468777483512</v>
      </c>
      <c r="H193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24873.193677220581</v>
      </c>
      <c r="I193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4">
        <f t="shared" si="29"/>
        <v>24873.193677220581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t="str">
        <f t="shared" si="35"/>
        <v>OC12</v>
      </c>
      <c r="F194" t="str">
        <f t="shared" si="28"/>
        <v>Halm</v>
      </c>
      <c r="G194" s="74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1897.1467002204627</v>
      </c>
      <c r="H194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37951.291055696296</v>
      </c>
      <c r="I194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9094.1624221768125</v>
      </c>
      <c r="J194" s="74">
        <f t="shared" si="29"/>
        <v>9094.1624221768125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t="str">
        <f t="shared" si="35"/>
        <v>OC12</v>
      </c>
      <c r="F195" t="str">
        <f t="shared" si="28"/>
        <v>Juletræer</v>
      </c>
      <c r="G195" s="74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169.09751393390181</v>
      </c>
      <c r="H195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11836.825975373127</v>
      </c>
      <c r="I195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4">
        <f t="shared" si="29"/>
        <v>11836.825975373127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4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399.1587138370042</v>
      </c>
      <c r="H196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13629.809740775754</v>
      </c>
      <c r="I196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4">
        <f t="shared" ref="J196" si="39">IF(I196&lt;&gt;0,I196,H196)</f>
        <v>13629.809740775754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t="str">
        <f t="shared" si="35"/>
        <v>OC12</v>
      </c>
      <c r="F197" t="str">
        <f t="shared" si="28"/>
        <v>Græs</v>
      </c>
      <c r="G197" s="74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14762.990467149724</v>
      </c>
      <c r="H197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285014.29395879258</v>
      </c>
      <c r="I197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4">
        <f t="shared" si="29"/>
        <v>285014.29395879258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t="str">
        <f t="shared" si="35"/>
        <v>OC12</v>
      </c>
      <c r="F198" t="str">
        <f t="shared" si="28"/>
        <v>Korn</v>
      </c>
      <c r="G198" s="74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</v>
      </c>
      <c r="H19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0</v>
      </c>
      <c r="I19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</v>
      </c>
      <c r="J198" s="74">
        <f t="shared" si="29"/>
        <v>0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t="str">
        <f t="shared" si="35"/>
        <v>OC12</v>
      </c>
      <c r="F199" t="str">
        <f t="shared" si="28"/>
        <v>Bælgsæd</v>
      </c>
      <c r="G199" s="74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0</v>
      </c>
      <c r="H19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0</v>
      </c>
      <c r="I19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0</v>
      </c>
      <c r="J199" s="74">
        <f t="shared" si="29"/>
        <v>0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t="str">
        <f t="shared" si="35"/>
        <v>OC12</v>
      </c>
      <c r="F200" t="str">
        <f t="shared" si="28"/>
        <v>Raps</v>
      </c>
      <c r="G200" s="74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0</v>
      </c>
      <c r="H200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</v>
      </c>
      <c r="I200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</v>
      </c>
      <c r="J200" s="74">
        <f t="shared" si="29"/>
        <v>0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t="str">
        <f t="shared" si="35"/>
        <v>OC12</v>
      </c>
      <c r="F201" t="str">
        <f t="shared" si="28"/>
        <v>Græs</v>
      </c>
      <c r="G201" s="74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</v>
      </c>
      <c r="H20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0</v>
      </c>
      <c r="I20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4">
        <f t="shared" si="29"/>
        <v>0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t="str">
        <f t="shared" ref="E202:E233" si="40">Organ12</f>
        <v>OC12</v>
      </c>
      <c r="F202" t="str">
        <f t="shared" si="28"/>
        <v>Grøntsager</v>
      </c>
      <c r="G202" s="74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0</v>
      </c>
      <c r="H202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0</v>
      </c>
      <c r="I202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4">
        <f t="shared" si="29"/>
        <v>0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t="str">
        <f t="shared" si="40"/>
        <v>OC12</v>
      </c>
      <c r="F203" t="str">
        <f t="shared" si="28"/>
        <v>Kartofler</v>
      </c>
      <c r="G203" s="74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0</v>
      </c>
      <c r="H203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0</v>
      </c>
      <c r="I203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4">
        <f t="shared" si="29"/>
        <v>0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t="str">
        <f t="shared" si="40"/>
        <v>OC12</v>
      </c>
      <c r="F204" t="str">
        <f t="shared" si="28"/>
        <v>Roer</v>
      </c>
      <c r="G204" s="74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0</v>
      </c>
      <c r="H204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0</v>
      </c>
      <c r="I204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4">
        <f t="shared" si="29"/>
        <v>0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t="str">
        <f t="shared" si="40"/>
        <v>OC12</v>
      </c>
      <c r="F205" t="str">
        <f t="shared" si="28"/>
        <v>Majs</v>
      </c>
      <c r="G205" s="74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0</v>
      </c>
      <c r="H205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0</v>
      </c>
      <c r="I205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4">
        <f t="shared" si="29"/>
        <v>0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t="str">
        <f t="shared" si="40"/>
        <v>OC12</v>
      </c>
      <c r="F206" t="str">
        <f t="shared" si="28"/>
        <v>Frugt</v>
      </c>
      <c r="G206" s="74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0</v>
      </c>
      <c r="H206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0</v>
      </c>
      <c r="I206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4">
        <f t="shared" si="29"/>
        <v>0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t="str">
        <f t="shared" si="40"/>
        <v>OC12</v>
      </c>
      <c r="F207" t="str">
        <f t="shared" si="28"/>
        <v>Øvrige</v>
      </c>
      <c r="G207" s="74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0</v>
      </c>
      <c r="H207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</v>
      </c>
      <c r="I207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4">
        <f t="shared" si="29"/>
        <v>0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t="str">
        <f t="shared" si="40"/>
        <v>OC12</v>
      </c>
      <c r="F208" t="str">
        <f t="shared" si="28"/>
        <v>Frø</v>
      </c>
      <c r="G208" s="74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0</v>
      </c>
      <c r="H20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0</v>
      </c>
      <c r="I20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</v>
      </c>
      <c r="J208" s="74">
        <f t="shared" si="29"/>
        <v>0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4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0</v>
      </c>
      <c r="H20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</v>
      </c>
      <c r="I20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4">
        <f t="shared" ref="J209:J276" si="42">IF(I209&lt;&gt;0,I209,H209)</f>
        <v>0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4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0</v>
      </c>
      <c r="H210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</v>
      </c>
      <c r="I210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4">
        <f t="shared" ref="J210" si="44">IF(I210&lt;&gt;0,I210,H210)</f>
        <v>0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t="str">
        <f t="shared" si="40"/>
        <v>OC12</v>
      </c>
      <c r="F211" t="str">
        <f t="shared" si="41"/>
        <v>Græs</v>
      </c>
      <c r="G211" s="74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0</v>
      </c>
      <c r="H21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0</v>
      </c>
      <c r="I21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4">
        <f t="shared" si="42"/>
        <v>0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t="str">
        <f t="shared" si="40"/>
        <v>OC12</v>
      </c>
      <c r="F212" t="str">
        <f t="shared" si="41"/>
        <v>Halm</v>
      </c>
      <c r="G212" s="74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4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t="str">
        <f t="shared" si="40"/>
        <v>OC12</v>
      </c>
      <c r="F213" t="str">
        <f t="shared" si="41"/>
        <v>Halm</v>
      </c>
      <c r="G213" s="74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4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t="str">
        <f t="shared" si="40"/>
        <v>OC12</v>
      </c>
      <c r="F214" t="str">
        <f t="shared" si="41"/>
        <v>Halm</v>
      </c>
      <c r="G214" s="74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4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t="str">
        <f t="shared" si="40"/>
        <v>OC12</v>
      </c>
      <c r="F215" t="str">
        <f t="shared" si="41"/>
        <v>Græs</v>
      </c>
      <c r="G215" s="74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4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t="str">
        <f t="shared" si="40"/>
        <v>OC12</v>
      </c>
      <c r="F216" t="str">
        <f t="shared" si="41"/>
        <v>Grøntsager</v>
      </c>
      <c r="G216" s="74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4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t="str">
        <f t="shared" si="40"/>
        <v>OC12</v>
      </c>
      <c r="F217" t="str">
        <f t="shared" si="41"/>
        <v>Kartofler</v>
      </c>
      <c r="G217" s="74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4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t="str">
        <f t="shared" si="40"/>
        <v>OC12</v>
      </c>
      <c r="F218" t="str">
        <f t="shared" si="41"/>
        <v>Roer</v>
      </c>
      <c r="G218" s="74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4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t="str">
        <f t="shared" si="40"/>
        <v>OC12</v>
      </c>
      <c r="F219" t="str">
        <f t="shared" si="41"/>
        <v>Majs</v>
      </c>
      <c r="G219" s="74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4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t="str">
        <f t="shared" si="40"/>
        <v>OC12</v>
      </c>
      <c r="F220" t="str">
        <f t="shared" si="41"/>
        <v>Frugt</v>
      </c>
      <c r="G220" s="74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4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t="str">
        <f t="shared" si="40"/>
        <v>OC12</v>
      </c>
      <c r="F221" t="str">
        <f t="shared" si="41"/>
        <v>Øvrige</v>
      </c>
      <c r="G221" s="74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4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t="str">
        <f t="shared" si="40"/>
        <v>OC12</v>
      </c>
      <c r="F222" t="str">
        <f t="shared" si="41"/>
        <v>Halm</v>
      </c>
      <c r="G222" s="74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4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t="str">
        <f t="shared" si="40"/>
        <v>OC12</v>
      </c>
      <c r="F223" t="str">
        <f t="shared" si="41"/>
        <v>Juletræer</v>
      </c>
      <c r="G223" s="74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4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4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4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t="str">
        <f t="shared" si="40"/>
        <v>OC12</v>
      </c>
      <c r="F225" t="str">
        <f t="shared" si="41"/>
        <v>Græs</v>
      </c>
      <c r="G225" s="74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4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t="str">
        <f t="shared" si="40"/>
        <v>OC12</v>
      </c>
      <c r="F226" t="str">
        <f t="shared" si="41"/>
        <v>Halm</v>
      </c>
      <c r="G226" s="74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1290.5400881023411</v>
      </c>
      <c r="H226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8485.7914845063697</v>
      </c>
      <c r="I226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3995.1106309056008</v>
      </c>
      <c r="J226" s="74">
        <f t="shared" si="42"/>
        <v>3995.1106309056008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t="str">
        <f t="shared" si="40"/>
        <v>OC12</v>
      </c>
      <c r="F227" t="str">
        <f t="shared" si="41"/>
        <v>Halm</v>
      </c>
      <c r="G227" s="74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74.308294619218273</v>
      </c>
      <c r="H227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228.89035374968569</v>
      </c>
      <c r="I227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98.015830509220322</v>
      </c>
      <c r="J227" s="74">
        <f t="shared" si="42"/>
        <v>98.015830509220322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t="str">
        <f t="shared" si="40"/>
        <v>OC12</v>
      </c>
      <c r="F228" t="str">
        <f t="shared" si="41"/>
        <v>Halm</v>
      </c>
      <c r="G228" s="74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96.225876682506637</v>
      </c>
      <c r="H22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326.01327020033256</v>
      </c>
      <c r="I22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251.1606233623362</v>
      </c>
      <c r="J228" s="74">
        <f t="shared" si="42"/>
        <v>251.1606233623362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t="str">
        <f t="shared" si="40"/>
        <v>OC12</v>
      </c>
      <c r="F229" t="str">
        <f t="shared" si="41"/>
        <v>Græs</v>
      </c>
      <c r="G229" s="74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2219.2724751704914</v>
      </c>
      <c r="H22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120251.36783801208</v>
      </c>
      <c r="I22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4">
        <f t="shared" si="42"/>
        <v>120251.36783801208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t="str">
        <f t="shared" si="40"/>
        <v>OC12</v>
      </c>
      <c r="F230" t="str">
        <f t="shared" si="41"/>
        <v>Grøntsager</v>
      </c>
      <c r="G230" s="74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2.5794881555349294</v>
      </c>
      <c r="H230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42.712454623425124</v>
      </c>
      <c r="I230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4">
        <f t="shared" si="42"/>
        <v>42.712454623425124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t="str">
        <f t="shared" si="40"/>
        <v>OC12</v>
      </c>
      <c r="F231" t="str">
        <f t="shared" si="41"/>
        <v>Kartofler</v>
      </c>
      <c r="G231" s="74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136.5330644925869</v>
      </c>
      <c r="H23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4627.3482811017566</v>
      </c>
      <c r="I23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4">
        <f t="shared" si="42"/>
        <v>4627.3482811017566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t="str">
        <f t="shared" si="40"/>
        <v>OC12</v>
      </c>
      <c r="F232" t="str">
        <f t="shared" si="41"/>
        <v>Roer</v>
      </c>
      <c r="G232" s="74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1.4764771192515349</v>
      </c>
      <c r="H232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95.73548159537124</v>
      </c>
      <c r="I232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4">
        <f t="shared" si="42"/>
        <v>95.73548159537124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t="str">
        <f t="shared" si="40"/>
        <v>OC12</v>
      </c>
      <c r="F233" t="str">
        <f t="shared" si="41"/>
        <v>Majs</v>
      </c>
      <c r="G233" s="74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183.61438387933188</v>
      </c>
      <c r="H233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9496.6497751570496</v>
      </c>
      <c r="I233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4">
        <f t="shared" si="42"/>
        <v>9496.6497751570496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t="str">
        <f t="shared" ref="E234:E253" si="47">Organ12</f>
        <v>OC12</v>
      </c>
      <c r="F234" t="str">
        <f t="shared" si="41"/>
        <v>Frugt</v>
      </c>
      <c r="G234" s="74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5.2618302746235761</v>
      </c>
      <c r="H234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35.649005347180221</v>
      </c>
      <c r="I234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4">
        <f t="shared" si="42"/>
        <v>35.649005347180221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t="str">
        <f t="shared" si="47"/>
        <v>OC12</v>
      </c>
      <c r="F235" t="str">
        <f t="shared" si="41"/>
        <v>Øvrige</v>
      </c>
      <c r="G235" s="74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93.060211386823994</v>
      </c>
      <c r="H235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2212.7078074706633</v>
      </c>
      <c r="I235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4">
        <f t="shared" si="42"/>
        <v>2212.7078074706633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t="str">
        <f t="shared" si="47"/>
        <v>OC12</v>
      </c>
      <c r="F236" t="str">
        <f t="shared" si="41"/>
        <v>Halm</v>
      </c>
      <c r="G236" s="74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296.08647922515894</v>
      </c>
      <c r="H236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3376.1293025847745</v>
      </c>
      <c r="I236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809.01248368382142</v>
      </c>
      <c r="J236" s="74">
        <f t="shared" si="42"/>
        <v>809.01248368382142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t="str">
        <f t="shared" si="47"/>
        <v>OC12</v>
      </c>
      <c r="F237" t="str">
        <f t="shared" si="41"/>
        <v>Juletræer</v>
      </c>
      <c r="G237" s="74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26.390941481013577</v>
      </c>
      <c r="H237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1052.9985650924416</v>
      </c>
      <c r="I237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4">
        <f t="shared" si="42"/>
        <v>1052.9985650924416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4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62.296446668202975</v>
      </c>
      <c r="H23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1212.5015717372187</v>
      </c>
      <c r="I23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4">
        <f t="shared" ref="J238" si="49">IF(I238&lt;&gt;0,I238,H238)</f>
        <v>1212.5015717372187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t="str">
        <f t="shared" si="47"/>
        <v>OC12</v>
      </c>
      <c r="F239" t="str">
        <f t="shared" si="41"/>
        <v>Græs</v>
      </c>
      <c r="G239" s="74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2304.0505353355065</v>
      </c>
      <c r="H23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44481.999635187291</v>
      </c>
      <c r="I23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4">
        <f t="shared" si="42"/>
        <v>44481.999635187291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t="str">
        <f t="shared" si="47"/>
        <v>OC12</v>
      </c>
      <c r="F240" t="str">
        <f t="shared" si="41"/>
        <v>Korn</v>
      </c>
      <c r="G240" s="74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0</v>
      </c>
      <c r="H240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</v>
      </c>
      <c r="I240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</v>
      </c>
      <c r="J240" s="74">
        <f t="shared" si="42"/>
        <v>0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t="str">
        <f t="shared" si="47"/>
        <v>OC12</v>
      </c>
      <c r="F241" t="str">
        <f t="shared" si="41"/>
        <v>Bælgsæd</v>
      </c>
      <c r="G241" s="74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0</v>
      </c>
      <c r="H24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0</v>
      </c>
      <c r="I24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0</v>
      </c>
      <c r="J241" s="74">
        <f t="shared" si="42"/>
        <v>0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t="str">
        <f t="shared" si="47"/>
        <v>OC12</v>
      </c>
      <c r="F242" t="str">
        <f t="shared" si="41"/>
        <v>Raps</v>
      </c>
      <c r="G242" s="74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0</v>
      </c>
      <c r="H242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0</v>
      </c>
      <c r="I242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0</v>
      </c>
      <c r="J242" s="74">
        <f t="shared" si="42"/>
        <v>0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t="str">
        <f t="shared" si="47"/>
        <v>OC12</v>
      </c>
      <c r="F243" t="str">
        <f t="shared" si="41"/>
        <v>Græs</v>
      </c>
      <c r="G243" s="74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</v>
      </c>
      <c r="H243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0</v>
      </c>
      <c r="I243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4">
        <f t="shared" si="42"/>
        <v>0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t="str">
        <f t="shared" si="47"/>
        <v>OC12</v>
      </c>
      <c r="F244" t="str">
        <f t="shared" si="41"/>
        <v>Grøntsager</v>
      </c>
      <c r="G244" s="74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0</v>
      </c>
      <c r="H244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0</v>
      </c>
      <c r="I244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4">
        <f t="shared" si="42"/>
        <v>0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t="str">
        <f t="shared" si="47"/>
        <v>OC12</v>
      </c>
      <c r="F245" t="str">
        <f t="shared" si="41"/>
        <v>Kartofler</v>
      </c>
      <c r="G245" s="74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0</v>
      </c>
      <c r="H245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</v>
      </c>
      <c r="I245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4">
        <f t="shared" si="42"/>
        <v>0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t="str">
        <f t="shared" si="47"/>
        <v>OC12</v>
      </c>
      <c r="F246" t="str">
        <f t="shared" si="41"/>
        <v>Roer</v>
      </c>
      <c r="G246" s="74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0</v>
      </c>
      <c r="H246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0</v>
      </c>
      <c r="I246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4">
        <f t="shared" si="42"/>
        <v>0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t="str">
        <f t="shared" si="47"/>
        <v>OC12</v>
      </c>
      <c r="F247" t="str">
        <f t="shared" si="41"/>
        <v>Majs</v>
      </c>
      <c r="G247" s="74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0</v>
      </c>
      <c r="H247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</v>
      </c>
      <c r="I247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4">
        <f t="shared" si="42"/>
        <v>0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t="str">
        <f t="shared" si="47"/>
        <v>OC12</v>
      </c>
      <c r="F248" t="str">
        <f t="shared" si="41"/>
        <v>Frugt</v>
      </c>
      <c r="G248" s="74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0</v>
      </c>
      <c r="H24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0</v>
      </c>
      <c r="I24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4">
        <f t="shared" si="42"/>
        <v>0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t="str">
        <f t="shared" si="47"/>
        <v>OC12</v>
      </c>
      <c r="F249" t="str">
        <f t="shared" si="41"/>
        <v>Øvrige</v>
      </c>
      <c r="G249" s="74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0</v>
      </c>
      <c r="H24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</v>
      </c>
      <c r="I24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4">
        <f t="shared" si="42"/>
        <v>0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t="str">
        <f t="shared" si="47"/>
        <v>OC12</v>
      </c>
      <c r="F250" t="str">
        <f t="shared" si="41"/>
        <v>Frø</v>
      </c>
      <c r="G250" s="74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0</v>
      </c>
      <c r="H250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</v>
      </c>
      <c r="I250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0</v>
      </c>
      <c r="J250" s="74">
        <f t="shared" si="42"/>
        <v>0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t="str">
        <f t="shared" si="47"/>
        <v>OC12</v>
      </c>
      <c r="F251" t="str">
        <f t="shared" si="41"/>
        <v>Juletræer</v>
      </c>
      <c r="G251" s="74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0</v>
      </c>
      <c r="H25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0</v>
      </c>
      <c r="I25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4">
        <f t="shared" si="42"/>
        <v>0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4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0</v>
      </c>
      <c r="H252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0</v>
      </c>
      <c r="I252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4">
        <f t="shared" ref="J252" si="51">IF(I252&lt;&gt;0,I252,H252)</f>
        <v>0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t="str">
        <f t="shared" si="47"/>
        <v>OC12</v>
      </c>
      <c r="F253" t="str">
        <f t="shared" si="41"/>
        <v>Græs</v>
      </c>
      <c r="G253" s="74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0</v>
      </c>
      <c r="H253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0</v>
      </c>
      <c r="I253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4">
        <f t="shared" si="42"/>
        <v>0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t="str">
        <f t="shared" ref="E254:E285" si="52">Jordbund1</f>
        <v>JB1-10</v>
      </c>
      <c r="F254" t="str">
        <f>IF(I254&lt;&gt;0,"Halm",IF(B254&lt;&gt;"Permanent græs",B254,"Græs"))</f>
        <v>Halm</v>
      </c>
      <c r="G254" s="74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4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t="str">
        <f t="shared" si="52"/>
        <v>JB1-10</v>
      </c>
      <c r="F255" t="str">
        <f t="shared" ref="F255:F265" si="53">IF(I255&lt;&gt;0,"Halm",IF(B255&lt;&gt;"Permanent græs",B255,"Græs"))</f>
        <v>Halm</v>
      </c>
      <c r="G255" s="74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4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t="str">
        <f t="shared" si="52"/>
        <v>JB1-10</v>
      </c>
      <c r="F256" t="str">
        <f t="shared" si="53"/>
        <v>Halm</v>
      </c>
      <c r="G256" s="74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4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t="str">
        <f t="shared" si="52"/>
        <v>JB1-10</v>
      </c>
      <c r="F257" t="str">
        <f t="shared" si="53"/>
        <v>Græs</v>
      </c>
      <c r="G257" s="74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4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t="str">
        <f t="shared" si="52"/>
        <v>JB1-10</v>
      </c>
      <c r="F258" t="str">
        <f t="shared" si="53"/>
        <v>Grøntsager</v>
      </c>
      <c r="G258" s="74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4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t="str">
        <f t="shared" si="52"/>
        <v>JB1-10</v>
      </c>
      <c r="F259" t="str">
        <f t="shared" si="53"/>
        <v>Kartofler</v>
      </c>
      <c r="G259" s="74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4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t="str">
        <f t="shared" si="52"/>
        <v>JB1-10</v>
      </c>
      <c r="F260" t="str">
        <f t="shared" si="53"/>
        <v>Roer</v>
      </c>
      <c r="G260" s="74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4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t="str">
        <f t="shared" si="52"/>
        <v>JB1-10</v>
      </c>
      <c r="F261" t="str">
        <f t="shared" si="53"/>
        <v>Majs</v>
      </c>
      <c r="G261" s="74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4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t="str">
        <f t="shared" si="52"/>
        <v>JB1-10</v>
      </c>
      <c r="F262" t="str">
        <f t="shared" si="53"/>
        <v>Frugt</v>
      </c>
      <c r="G262" s="74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4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t="str">
        <f t="shared" si="52"/>
        <v>JB1-10</v>
      </c>
      <c r="F263" t="str">
        <f t="shared" si="53"/>
        <v>Øvrige</v>
      </c>
      <c r="G263" s="74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4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t="str">
        <f t="shared" si="52"/>
        <v>JB1-10</v>
      </c>
      <c r="F264" t="str">
        <f t="shared" si="53"/>
        <v>Halm</v>
      </c>
      <c r="G264" s="74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4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t="str">
        <f t="shared" si="52"/>
        <v>JB1-10</v>
      </c>
      <c r="F265" t="str">
        <f t="shared" si="53"/>
        <v>Juletræer</v>
      </c>
      <c r="G265" s="74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4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t="str">
        <f t="shared" si="52"/>
        <v>JB1-10</v>
      </c>
      <c r="F266" t="str">
        <f>IF(I266&lt;&gt;0,"Halm",IF(B266&lt;&gt;"Permanent græs",B266,"Græs"))</f>
        <v>Pil &amp; poppel</v>
      </c>
      <c r="G266" s="74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4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t="str">
        <f t="shared" si="52"/>
        <v>JB1-10</v>
      </c>
      <c r="F267" t="str">
        <f t="shared" ref="F267:F335" si="54">IF(I267&lt;&gt;0,"Halm",IF(B267&lt;&gt;"Permanent græs",B267,"Græs"))</f>
        <v>Græs</v>
      </c>
      <c r="G267" s="74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4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t="str">
        <f t="shared" si="52"/>
        <v>JB1-10</v>
      </c>
      <c r="F268" t="str">
        <f t="shared" si="54"/>
        <v>Halm</v>
      </c>
      <c r="G268" s="74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273745.47494869685</v>
      </c>
      <c r="H2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1918955.7793903649</v>
      </c>
      <c r="I2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903444.38093698386</v>
      </c>
      <c r="J268" s="74">
        <f t="shared" si="42"/>
        <v>903444.38093698386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t="str">
        <f t="shared" si="52"/>
        <v>JB1-10</v>
      </c>
      <c r="F269" t="str">
        <f t="shared" si="54"/>
        <v>Halm</v>
      </c>
      <c r="G269" s="74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5966.2379545075337</v>
      </c>
      <c r="H2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23029.678504399082</v>
      </c>
      <c r="I2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9861.8094995718657</v>
      </c>
      <c r="J269" s="74">
        <f t="shared" si="42"/>
        <v>9861.8094995718657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t="str">
        <f t="shared" si="52"/>
        <v>JB1-10</v>
      </c>
      <c r="F270" t="str">
        <f t="shared" si="54"/>
        <v>Halm</v>
      </c>
      <c r="G270" s="74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37846.269587089562</v>
      </c>
      <c r="H270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166523.58618319407</v>
      </c>
      <c r="I270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128289.77079553274</v>
      </c>
      <c r="J270" s="74">
        <f t="shared" si="42"/>
        <v>128289.77079553274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t="str">
        <f t="shared" si="52"/>
        <v>JB1-10</v>
      </c>
      <c r="F271" t="str">
        <f t="shared" si="54"/>
        <v>Græs</v>
      </c>
      <c r="G271" s="74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22992.551198038291</v>
      </c>
      <c r="H2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1140890.3904466599</v>
      </c>
      <c r="I2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4">
        <f t="shared" si="42"/>
        <v>1140890.3904466599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t="str">
        <f t="shared" si="52"/>
        <v>JB1-10</v>
      </c>
      <c r="F272" t="str">
        <f t="shared" si="54"/>
        <v>Grøntsager</v>
      </c>
      <c r="G272" s="74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3602.9387869037678</v>
      </c>
      <c r="H272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74760.979828253185</v>
      </c>
      <c r="I272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4">
        <f t="shared" si="42"/>
        <v>74760.979828253185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t="str">
        <f t="shared" si="52"/>
        <v>JB1-10</v>
      </c>
      <c r="F273" t="str">
        <f t="shared" si="54"/>
        <v>Kartofler</v>
      </c>
      <c r="G273" s="74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2311.2940774250665</v>
      </c>
      <c r="H273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98162.738410005346</v>
      </c>
      <c r="I273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4">
        <f t="shared" si="42"/>
        <v>98162.738410005346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t="str">
        <f t="shared" si="52"/>
        <v>JB1-10</v>
      </c>
      <c r="F274" t="str">
        <f t="shared" si="54"/>
        <v>Roer</v>
      </c>
      <c r="G274" s="74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24027.307274751001</v>
      </c>
      <c r="H274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1952308.3702051409</v>
      </c>
      <c r="I274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4">
        <f t="shared" si="42"/>
        <v>1952308.3702051409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t="str">
        <f t="shared" si="52"/>
        <v>JB1-10</v>
      </c>
      <c r="F275" t="str">
        <f t="shared" si="54"/>
        <v>Majs</v>
      </c>
      <c r="G275" s="74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6795.8166330946769</v>
      </c>
      <c r="H275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302481.79833904409</v>
      </c>
      <c r="I275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4">
        <f t="shared" si="42"/>
        <v>302481.79833904409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t="str">
        <f t="shared" si="52"/>
        <v>JB1-10</v>
      </c>
      <c r="F276" t="str">
        <f t="shared" si="54"/>
        <v>Frugt</v>
      </c>
      <c r="G276" s="74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1581.2589867445231</v>
      </c>
      <c r="H276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13424.888797461004</v>
      </c>
      <c r="I276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4">
        <f t="shared" si="42"/>
        <v>13424.888797461004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t="str">
        <f t="shared" si="52"/>
        <v>JB1-10</v>
      </c>
      <c r="F277" t="str">
        <f t="shared" si="54"/>
        <v>Øvrige</v>
      </c>
      <c r="G277" s="74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11290.9560944649</v>
      </c>
      <c r="H277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336424.68994408805</v>
      </c>
      <c r="I277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4">
        <f t="shared" ref="J277:J340" si="55">IF(I277&lt;&gt;0,I277,H277)</f>
        <v>336424.68994408805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t="str">
        <f t="shared" si="52"/>
        <v>JB1-10</v>
      </c>
      <c r="F278" t="str">
        <f t="shared" si="54"/>
        <v>Halm</v>
      </c>
      <c r="G278" s="74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34933.885133389689</v>
      </c>
      <c r="H27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499165.42045915127</v>
      </c>
      <c r="I27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119613.62269672629</v>
      </c>
      <c r="J278" s="74">
        <f t="shared" si="55"/>
        <v>119613.62269672629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t="str">
        <f t="shared" si="52"/>
        <v>JB1-10</v>
      </c>
      <c r="F279" t="str">
        <f t="shared" si="54"/>
        <v>Juletræer</v>
      </c>
      <c r="G279" s="74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2477.8238338588517</v>
      </c>
      <c r="H27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123891.19169294259</v>
      </c>
      <c r="I27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4">
        <f t="shared" si="55"/>
        <v>123891.19169294259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t="str">
        <f t="shared" si="52"/>
        <v>JB1-10</v>
      </c>
      <c r="F280" t="str">
        <f t="shared" si="54"/>
        <v>Pil &amp; poppel</v>
      </c>
      <c r="G280" s="74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1177.7989867331366</v>
      </c>
      <c r="H280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28726.804554466748</v>
      </c>
      <c r="I280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4">
        <f t="shared" si="55"/>
        <v>28726.804554466748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t="str">
        <f t="shared" si="52"/>
        <v>JB1-10</v>
      </c>
      <c r="F281" t="str">
        <f t="shared" si="54"/>
        <v>Græs</v>
      </c>
      <c r="G281" s="74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29335.684689384874</v>
      </c>
      <c r="H28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404539.09186661744</v>
      </c>
      <c r="I28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4">
        <f t="shared" si="55"/>
        <v>404539.09186661744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t="str">
        <f t="shared" si="52"/>
        <v>JB1-10</v>
      </c>
      <c r="F282" t="str">
        <f t="shared" si="54"/>
        <v>Halm</v>
      </c>
      <c r="G282" s="74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252961.21164089115</v>
      </c>
      <c r="H282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1773258.0936026471</v>
      </c>
      <c r="I282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1009427.1697833068</v>
      </c>
      <c r="J282" s="74">
        <f t="shared" si="55"/>
        <v>1009427.1697833068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t="str">
        <f t="shared" si="52"/>
        <v>JB1-10</v>
      </c>
      <c r="F283" t="str">
        <f t="shared" si="54"/>
        <v>Halm</v>
      </c>
      <c r="G283" s="74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5513.2483274579954</v>
      </c>
      <c r="H283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21281.138543987865</v>
      </c>
      <c r="I283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11018.695408532636</v>
      </c>
      <c r="J283" s="74">
        <f t="shared" si="55"/>
        <v>11018.695408532636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t="str">
        <f t="shared" si="52"/>
        <v>JB1-10</v>
      </c>
      <c r="F284" t="str">
        <f t="shared" si="54"/>
        <v>Halm</v>
      </c>
      <c r="G284" s="74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34972.772472795026</v>
      </c>
      <c r="H284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153880.19888029812</v>
      </c>
      <c r="I284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143339.40525699768</v>
      </c>
      <c r="J284" s="74">
        <f t="shared" si="55"/>
        <v>143339.40525699768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t="str">
        <f t="shared" si="52"/>
        <v>JB1-10</v>
      </c>
      <c r="F285" t="str">
        <f t="shared" si="54"/>
        <v>Græs</v>
      </c>
      <c r="G285" s="74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21246.830147095647</v>
      </c>
      <c r="H285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1054267.7118988861</v>
      </c>
      <c r="I285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4">
        <f t="shared" si="55"/>
        <v>1054267.7118988861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t="str">
        <f t="shared" ref="E286:E317" si="56">Jordbund1</f>
        <v>JB1-10</v>
      </c>
      <c r="F286" t="str">
        <f t="shared" si="54"/>
        <v>Grøntsager</v>
      </c>
      <c r="G286" s="74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3329.3838415920754</v>
      </c>
      <c r="H286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69084.714713035573</v>
      </c>
      <c r="I286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4">
        <f t="shared" si="55"/>
        <v>69084.714713035573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t="str">
        <f t="shared" si="56"/>
        <v>JB1-10</v>
      </c>
      <c r="F287" t="str">
        <f t="shared" si="54"/>
        <v>Kartofler</v>
      </c>
      <c r="G287" s="74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2135.807908398976</v>
      </c>
      <c r="H287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90709.682966764973</v>
      </c>
      <c r="I287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4">
        <f t="shared" si="55"/>
        <v>90709.682966764973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t="str">
        <f t="shared" si="56"/>
        <v>JB1-10</v>
      </c>
      <c r="F288" t="str">
        <f t="shared" si="54"/>
        <v>Roer</v>
      </c>
      <c r="G288" s="74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22203.021846582469</v>
      </c>
      <c r="H28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1804078.372131268</v>
      </c>
      <c r="I28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4">
        <f t="shared" si="55"/>
        <v>1804078.372131268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t="str">
        <f t="shared" si="56"/>
        <v>JB1-10</v>
      </c>
      <c r="F289" t="str">
        <f t="shared" si="54"/>
        <v>Majs</v>
      </c>
      <c r="G289" s="74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6279.8408262972243</v>
      </c>
      <c r="H28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279515.71517848945</v>
      </c>
      <c r="I28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4">
        <f t="shared" si="55"/>
        <v>279515.71517848945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t="str">
        <f t="shared" si="56"/>
        <v>JB1-10</v>
      </c>
      <c r="F290" t="str">
        <f t="shared" si="54"/>
        <v>Frugt</v>
      </c>
      <c r="G290" s="74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1461.2011003283492</v>
      </c>
      <c r="H290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12405.597341787687</v>
      </c>
      <c r="I290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4">
        <f t="shared" si="55"/>
        <v>12405.597341787687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t="str">
        <f t="shared" si="56"/>
        <v>JB1-10</v>
      </c>
      <c r="F291" t="str">
        <f t="shared" si="54"/>
        <v>Øvrige</v>
      </c>
      <c r="G291" s="74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10433.684555973852</v>
      </c>
      <c r="H29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310881.47561203281</v>
      </c>
      <c r="I29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4">
        <f t="shared" si="55"/>
        <v>310881.47561203281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t="str">
        <f t="shared" si="56"/>
        <v>JB1-10</v>
      </c>
      <c r="F292" t="str">
        <f t="shared" si="54"/>
        <v>Halm</v>
      </c>
      <c r="G292" s="74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32281.512278228936</v>
      </c>
      <c r="H292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461266.03404949862</v>
      </c>
      <c r="I292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133645.46083186779</v>
      </c>
      <c r="J292" s="74">
        <f t="shared" si="55"/>
        <v>133645.46083186779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t="str">
        <f t="shared" si="56"/>
        <v>JB1-10</v>
      </c>
      <c r="F293" t="str">
        <f t="shared" si="54"/>
        <v>Juletræer</v>
      </c>
      <c r="G293" s="74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2289.6938090504755</v>
      </c>
      <c r="H293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114484.69045252376</v>
      </c>
      <c r="I293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4">
        <f t="shared" si="55"/>
        <v>114484.69045252376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t="str">
        <f t="shared" si="56"/>
        <v>JB1-10</v>
      </c>
      <c r="F294" t="str">
        <f t="shared" si="54"/>
        <v>Pil &amp; poppel</v>
      </c>
      <c r="G294" s="74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1088.3740043895341</v>
      </c>
      <c r="H294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26545.707424134976</v>
      </c>
      <c r="I294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4">
        <f t="shared" si="55"/>
        <v>26545.707424134976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t="str">
        <f t="shared" si="56"/>
        <v>JB1-10</v>
      </c>
      <c r="F295" t="str">
        <f t="shared" si="54"/>
        <v>Græs</v>
      </c>
      <c r="G295" s="74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27108.358027589973</v>
      </c>
      <c r="H295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373824.25720046577</v>
      </c>
      <c r="I295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4">
        <f t="shared" si="55"/>
        <v>373824.25720046577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t="str">
        <f t="shared" si="56"/>
        <v>JB1-10</v>
      </c>
      <c r="F296" t="str">
        <f t="shared" si="54"/>
        <v>Halm</v>
      </c>
      <c r="G296" s="74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4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t="str">
        <f t="shared" si="56"/>
        <v>JB1-10</v>
      </c>
      <c r="F297" t="str">
        <f t="shared" si="54"/>
        <v>Halm</v>
      </c>
      <c r="G297" s="74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4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t="str">
        <f t="shared" si="56"/>
        <v>JB1-10</v>
      </c>
      <c r="F298" t="str">
        <f t="shared" si="54"/>
        <v>Halm</v>
      </c>
      <c r="G298" s="74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4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t="str">
        <f t="shared" si="56"/>
        <v>JB1-10</v>
      </c>
      <c r="F299" t="str">
        <f t="shared" si="54"/>
        <v>Græs</v>
      </c>
      <c r="G299" s="74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4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t="str">
        <f t="shared" si="56"/>
        <v>JB1-10</v>
      </c>
      <c r="F300" t="str">
        <f t="shared" si="54"/>
        <v>Grøntsager</v>
      </c>
      <c r="G300" s="74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4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t="str">
        <f t="shared" si="56"/>
        <v>JB1-10</v>
      </c>
      <c r="F301" t="str">
        <f t="shared" si="54"/>
        <v>Kartofler</v>
      </c>
      <c r="G301" s="74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4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t="str">
        <f t="shared" si="56"/>
        <v>JB1-10</v>
      </c>
      <c r="F302" t="str">
        <f t="shared" si="54"/>
        <v>Roer</v>
      </c>
      <c r="G302" s="74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4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t="str">
        <f t="shared" si="56"/>
        <v>JB1-10</v>
      </c>
      <c r="F303" t="str">
        <f t="shared" si="54"/>
        <v>Majs</v>
      </c>
      <c r="G303" s="74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4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t="str">
        <f t="shared" si="56"/>
        <v>JB1-10</v>
      </c>
      <c r="F304" t="str">
        <f t="shared" si="54"/>
        <v>Frugt</v>
      </c>
      <c r="G304" s="74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4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t="str">
        <f t="shared" si="56"/>
        <v>JB1-10</v>
      </c>
      <c r="F305" t="str">
        <f t="shared" si="54"/>
        <v>Øvrige</v>
      </c>
      <c r="G305" s="74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4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t="str">
        <f t="shared" si="56"/>
        <v>JB1-10</v>
      </c>
      <c r="F306" t="str">
        <f t="shared" si="54"/>
        <v>Halm</v>
      </c>
      <c r="G306" s="74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4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t="str">
        <f t="shared" si="56"/>
        <v>JB1-10</v>
      </c>
      <c r="F307" t="str">
        <f t="shared" si="54"/>
        <v>Juletræer</v>
      </c>
      <c r="G307" s="74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4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t="str">
        <f t="shared" si="56"/>
        <v>JB1-10</v>
      </c>
      <c r="F308" t="str">
        <f t="shared" si="54"/>
        <v>Pil &amp; poppel</v>
      </c>
      <c r="G308" s="74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4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t="str">
        <f t="shared" si="56"/>
        <v>JB1-10</v>
      </c>
      <c r="F309" t="str">
        <f t="shared" si="54"/>
        <v>Græs</v>
      </c>
      <c r="G309" s="74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4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t="str">
        <f t="shared" si="56"/>
        <v>JB1-10</v>
      </c>
      <c r="F310" t="str">
        <f t="shared" si="54"/>
        <v>Halm</v>
      </c>
      <c r="G310" s="74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42723.282217426677</v>
      </c>
      <c r="H310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200658.43959058789</v>
      </c>
      <c r="I310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94469.99335924878</v>
      </c>
      <c r="J310" s="74">
        <f t="shared" si="55"/>
        <v>94469.99335924878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t="str">
        <f t="shared" si="56"/>
        <v>JB1-10</v>
      </c>
      <c r="F311" t="str">
        <f t="shared" si="54"/>
        <v>Halm</v>
      </c>
      <c r="G311" s="74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931.14696399828563</v>
      </c>
      <c r="H31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2048.7095501890281</v>
      </c>
      <c r="I31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877.30201270757811</v>
      </c>
      <c r="J311" s="74">
        <f t="shared" si="55"/>
        <v>877.30201270757811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t="str">
        <f t="shared" si="56"/>
        <v>JB1-10</v>
      </c>
      <c r="F312" t="str">
        <f t="shared" si="54"/>
        <v>Halm</v>
      </c>
      <c r="G312" s="74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5906.64323035502</v>
      </c>
      <c r="H312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14294.07661745915</v>
      </c>
      <c r="I312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11012.156626090531</v>
      </c>
      <c r="J312" s="74">
        <f t="shared" si="55"/>
        <v>11012.156626090531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t="str">
        <f t="shared" si="56"/>
        <v>JB1-10</v>
      </c>
      <c r="F313" t="str">
        <f t="shared" si="54"/>
        <v>Græs</v>
      </c>
      <c r="G313" s="74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3588.4328459366125</v>
      </c>
      <c r="H313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138885.26949599231</v>
      </c>
      <c r="I313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4">
        <f t="shared" si="55"/>
        <v>138885.26949599231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t="str">
        <f t="shared" si="56"/>
        <v>JB1-10</v>
      </c>
      <c r="F314" t="str">
        <f t="shared" si="54"/>
        <v>Grøntsager</v>
      </c>
      <c r="G314" s="74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562.30836558613726</v>
      </c>
      <c r="H314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6650.7021939700389</v>
      </c>
      <c r="I314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4">
        <f t="shared" si="55"/>
        <v>6650.7021939700389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t="str">
        <f t="shared" si="56"/>
        <v>JB1-10</v>
      </c>
      <c r="F315" t="str">
        <f t="shared" si="54"/>
        <v>Kartofler</v>
      </c>
      <c r="G315" s="74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360.72219705477914</v>
      </c>
      <c r="H315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8732.5118157802408</v>
      </c>
      <c r="I315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4">
        <f t="shared" si="55"/>
        <v>8732.5118157802408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t="str">
        <f t="shared" si="56"/>
        <v>JB1-10</v>
      </c>
      <c r="F316" t="str">
        <f t="shared" si="54"/>
        <v>Roer</v>
      </c>
      <c r="G316" s="74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3749.9265688917749</v>
      </c>
      <c r="H316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173676.44981189084</v>
      </c>
      <c r="I316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4">
        <f t="shared" si="55"/>
        <v>173676.44981189084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t="str">
        <f t="shared" si="56"/>
        <v>JB1-10</v>
      </c>
      <c r="F317" t="str">
        <f t="shared" si="54"/>
        <v>Majs</v>
      </c>
      <c r="G317" s="74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1060.6187808876086</v>
      </c>
      <c r="H317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39182.757807965194</v>
      </c>
      <c r="I317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4">
        <f t="shared" si="55"/>
        <v>39182.757807965194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t="str">
        <f t="shared" ref="E318:E337" si="57">Jordbund1</f>
        <v>JB1-10</v>
      </c>
      <c r="F318" t="str">
        <f t="shared" si="54"/>
        <v>Frugt</v>
      </c>
      <c r="G318" s="74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246.78608463642848</v>
      </c>
      <c r="H31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1194.2718993810684</v>
      </c>
      <c r="I31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4">
        <f t="shared" si="55"/>
        <v>1194.2718993810684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t="str">
        <f t="shared" si="57"/>
        <v>JB1-10</v>
      </c>
      <c r="F319" t="str">
        <f t="shared" si="54"/>
        <v>Øvrige</v>
      </c>
      <c r="G319" s="74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1762.172338442499</v>
      </c>
      <c r="H31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29928.184845315114</v>
      </c>
      <c r="I31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4">
        <f t="shared" si="55"/>
        <v>29928.184845315114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t="str">
        <f t="shared" si="57"/>
        <v>JB1-10</v>
      </c>
      <c r="F320" t="str">
        <f t="shared" si="54"/>
        <v>Halm</v>
      </c>
      <c r="G320" s="74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5452.1092404712235</v>
      </c>
      <c r="H320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44405.524976105997</v>
      </c>
      <c r="I320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10640.772562442879</v>
      </c>
      <c r="J320" s="74">
        <f t="shared" si="55"/>
        <v>10640.772562442879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t="str">
        <f t="shared" si="57"/>
        <v>JB1-10</v>
      </c>
      <c r="F321" t="str">
        <f t="shared" si="54"/>
        <v>Juletræer</v>
      </c>
      <c r="G321" s="74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386.71239025542775</v>
      </c>
      <c r="H32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11021.303122279691</v>
      </c>
      <c r="I32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4">
        <f t="shared" si="55"/>
        <v>11021.303122279691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t="str">
        <f t="shared" si="57"/>
        <v>JB1-10</v>
      </c>
      <c r="F322" t="str">
        <f t="shared" si="54"/>
        <v>Pil &amp; poppel</v>
      </c>
      <c r="G322" s="74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183.81833896991151</v>
      </c>
      <c r="H322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2555.523249093892</v>
      </c>
      <c r="I322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4">
        <f t="shared" si="55"/>
        <v>2555.523249093892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t="str">
        <f t="shared" si="57"/>
        <v>JB1-10</v>
      </c>
      <c r="F323" t="str">
        <f t="shared" si="54"/>
        <v>Græs</v>
      </c>
      <c r="G323" s="74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4578.4016567248073</v>
      </c>
      <c r="H323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63136.158846235092</v>
      </c>
      <c r="I323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4">
        <f t="shared" si="55"/>
        <v>63136.158846235092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t="str">
        <f t="shared" si="57"/>
        <v>JB1-10</v>
      </c>
      <c r="F324" t="str">
        <f t="shared" si="54"/>
        <v>Halm</v>
      </c>
      <c r="G324" s="74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53658.438832916305</v>
      </c>
      <c r="H324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252017.58966655802</v>
      </c>
      <c r="I324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143461.01291768815</v>
      </c>
      <c r="J324" s="74">
        <f t="shared" si="55"/>
        <v>143461.01291768815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t="str">
        <f t="shared" si="57"/>
        <v>JB1-10</v>
      </c>
      <c r="F325" t="str">
        <f t="shared" si="54"/>
        <v>Halm</v>
      </c>
      <c r="G325" s="74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1169.4769179456355</v>
      </c>
      <c r="H325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2573.0831148639872</v>
      </c>
      <c r="I325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1332.2604448498553</v>
      </c>
      <c r="J325" s="74">
        <f t="shared" si="55"/>
        <v>1332.2604448498553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t="str">
        <f t="shared" si="57"/>
        <v>JB1-10</v>
      </c>
      <c r="F326" t="str">
        <f t="shared" si="54"/>
        <v>Halm</v>
      </c>
      <c r="G326" s="74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7418.4668881686412</v>
      </c>
      <c r="H326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17952.689869368114</v>
      </c>
      <c r="I326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16722.930613316399</v>
      </c>
      <c r="J326" s="74">
        <f t="shared" si="55"/>
        <v>16722.930613316399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t="str">
        <f t="shared" si="57"/>
        <v>JB1-10</v>
      </c>
      <c r="F327" t="str">
        <f t="shared" si="54"/>
        <v>Græs</v>
      </c>
      <c r="G327" s="74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4506.9033645354402</v>
      </c>
      <c r="H327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174433.38505963387</v>
      </c>
      <c r="I327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4">
        <f t="shared" si="55"/>
        <v>174433.38505963387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t="str">
        <f t="shared" si="57"/>
        <v>JB1-10</v>
      </c>
      <c r="F328" t="str">
        <f t="shared" si="54"/>
        <v>Grøntsager</v>
      </c>
      <c r="G328" s="74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706.23293609528866</v>
      </c>
      <c r="H32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8352.9700516670255</v>
      </c>
      <c r="I32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4">
        <f t="shared" si="55"/>
        <v>8352.9700516670255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t="str">
        <f t="shared" si="57"/>
        <v>JB1-10</v>
      </c>
      <c r="F329" t="str">
        <f t="shared" si="54"/>
        <v>Kartofler</v>
      </c>
      <c r="G329" s="74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453.05016238766149</v>
      </c>
      <c r="H32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10967.625304163399</v>
      </c>
      <c r="I32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4">
        <f t="shared" si="55"/>
        <v>10967.625304163399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t="str">
        <f t="shared" si="57"/>
        <v>JB1-10</v>
      </c>
      <c r="F330" t="str">
        <f t="shared" si="54"/>
        <v>Roer</v>
      </c>
      <c r="G330" s="74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4709.7319068508268</v>
      </c>
      <c r="H330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218129.47590314422</v>
      </c>
      <c r="I330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4">
        <f t="shared" si="55"/>
        <v>218129.47590314422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t="str">
        <f t="shared" si="57"/>
        <v>JB1-10</v>
      </c>
      <c r="F331" t="str">
        <f t="shared" si="54"/>
        <v>Majs</v>
      </c>
      <c r="G331" s="74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1332.0874480024415</v>
      </c>
      <c r="H33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49211.706217788596</v>
      </c>
      <c r="I33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4">
        <f t="shared" si="55"/>
        <v>49211.706217788596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t="str">
        <f t="shared" si="57"/>
        <v>JB1-10</v>
      </c>
      <c r="F332" t="str">
        <f t="shared" si="54"/>
        <v>Frugt</v>
      </c>
      <c r="G332" s="74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309.95174855449835</v>
      </c>
      <c r="H332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1499.9494967797839</v>
      </c>
      <c r="I332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4">
        <f t="shared" si="55"/>
        <v>1499.9494967797839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t="str">
        <f t="shared" si="57"/>
        <v>JB1-10</v>
      </c>
      <c r="F333" t="str">
        <f t="shared" si="54"/>
        <v>Øvrige</v>
      </c>
      <c r="G333" s="74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2213.2058149035443</v>
      </c>
      <c r="H333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37588.396596727602</v>
      </c>
      <c r="I333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4">
        <f t="shared" si="55"/>
        <v>37588.396596727602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t="str">
        <f t="shared" si="57"/>
        <v>JB1-10</v>
      </c>
      <c r="F334" t="str">
        <f t="shared" si="54"/>
        <v>Halm</v>
      </c>
      <c r="G334" s="74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6847.5935135637137</v>
      </c>
      <c r="H334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55771.256844166644</v>
      </c>
      <c r="I334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16158.951173307649</v>
      </c>
      <c r="J334" s="74">
        <f t="shared" si="55"/>
        <v>16158.951173307649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t="str">
        <f t="shared" si="57"/>
        <v>JB1-10</v>
      </c>
      <c r="F335" t="str">
        <f t="shared" si="54"/>
        <v>Juletræer</v>
      </c>
      <c r="G335" s="74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485.6926261622221</v>
      </c>
      <c r="H335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13842.23984562333</v>
      </c>
      <c r="I335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4">
        <f t="shared" si="55"/>
        <v>13842.23984562333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4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230.86721305232541</v>
      </c>
      <c r="H336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3209.6173521908654</v>
      </c>
      <c r="I336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4">
        <f t="shared" si="55"/>
        <v>3209.6173521908654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t="str">
        <f t="shared" si="57"/>
        <v>JB1-10</v>
      </c>
      <c r="F337" t="str">
        <f t="shared" si="58"/>
        <v>Græs</v>
      </c>
      <c r="G337" s="74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5750.2577634281761</v>
      </c>
      <c r="H337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79296.054557674564</v>
      </c>
      <c r="I337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4">
        <f t="shared" si="55"/>
        <v>79296.054557674564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t="str">
        <f t="shared" ref="E338:E369" si="59">Organ6</f>
        <v>OC6</v>
      </c>
      <c r="F338" t="str">
        <f t="shared" si="58"/>
        <v>Halm</v>
      </c>
      <c r="G338" s="74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4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t="str">
        <f t="shared" si="59"/>
        <v>OC6</v>
      </c>
      <c r="F339" t="str">
        <f t="shared" si="58"/>
        <v>Halm</v>
      </c>
      <c r="G339" s="74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4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t="str">
        <f t="shared" si="59"/>
        <v>OC6</v>
      </c>
      <c r="F340" t="str">
        <f t="shared" si="58"/>
        <v>Halm</v>
      </c>
      <c r="G340" s="74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4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t="str">
        <f t="shared" si="59"/>
        <v>OC6</v>
      </c>
      <c r="F341" t="str">
        <f t="shared" si="58"/>
        <v>Græs</v>
      </c>
      <c r="G341" s="74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4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t="str">
        <f t="shared" si="59"/>
        <v>OC6</v>
      </c>
      <c r="F342" t="str">
        <f t="shared" si="58"/>
        <v>Grøntsager</v>
      </c>
      <c r="G342" s="74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4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t="str">
        <f t="shared" si="59"/>
        <v>OC6</v>
      </c>
      <c r="F343" t="str">
        <f t="shared" si="58"/>
        <v>Kartofler</v>
      </c>
      <c r="G343" s="74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4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t="str">
        <f t="shared" si="59"/>
        <v>OC6</v>
      </c>
      <c r="F344" t="str">
        <f t="shared" si="58"/>
        <v>Roer</v>
      </c>
      <c r="G344" s="74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4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t="str">
        <f t="shared" si="59"/>
        <v>OC6</v>
      </c>
      <c r="F345" t="str">
        <f t="shared" si="58"/>
        <v>Majs</v>
      </c>
      <c r="G345" s="74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4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t="str">
        <f t="shared" si="59"/>
        <v>OC6</v>
      </c>
      <c r="F346" t="str">
        <f t="shared" si="58"/>
        <v>Frugt</v>
      </c>
      <c r="G346" s="74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4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t="str">
        <f t="shared" si="59"/>
        <v>OC6</v>
      </c>
      <c r="F347" t="str">
        <f t="shared" si="58"/>
        <v>Øvrige</v>
      </c>
      <c r="G347" s="74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4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t="str">
        <f t="shared" si="59"/>
        <v>OC6</v>
      </c>
      <c r="F348" t="str">
        <f t="shared" si="58"/>
        <v>Halm</v>
      </c>
      <c r="G348" s="74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4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t="str">
        <f t="shared" si="59"/>
        <v>OC6</v>
      </c>
      <c r="F349" t="str">
        <f t="shared" si="58"/>
        <v>Juletræer</v>
      </c>
      <c r="G349" s="74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4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t="str">
        <f t="shared" si="59"/>
        <v>OC6</v>
      </c>
      <c r="F350" t="str">
        <f t="shared" si="58"/>
        <v>Pil &amp; poppel</v>
      </c>
      <c r="G350" s="74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4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t="str">
        <f t="shared" si="59"/>
        <v>OC6</v>
      </c>
      <c r="F351" t="str">
        <f t="shared" si="58"/>
        <v>Græs</v>
      </c>
      <c r="G351" s="74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4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t="str">
        <f t="shared" si="59"/>
        <v>OC6</v>
      </c>
      <c r="F352" t="str">
        <f t="shared" si="58"/>
        <v>Halm</v>
      </c>
      <c r="G352" s="74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4153.0281200981244</v>
      </c>
      <c r="H352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34935.27254626542</v>
      </c>
      <c r="I352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16447.52631478176</v>
      </c>
      <c r="J352" s="74">
        <f t="shared" si="60"/>
        <v>16447.52631478176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t="str">
        <f t="shared" si="59"/>
        <v>OC6</v>
      </c>
      <c r="F353" t="str">
        <f t="shared" si="58"/>
        <v>Halm</v>
      </c>
      <c r="G353" s="74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112.30451890716081</v>
      </c>
      <c r="H353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520.19453157796886</v>
      </c>
      <c r="I353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222.75861871719212</v>
      </c>
      <c r="J353" s="74">
        <f t="shared" si="60"/>
        <v>222.75861871719212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t="str">
        <f t="shared" si="59"/>
        <v>OC6</v>
      </c>
      <c r="F354" t="str">
        <f t="shared" si="58"/>
        <v>Halm</v>
      </c>
      <c r="G354" s="74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453.61549532985964</v>
      </c>
      <c r="H354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2395.0898153416592</v>
      </c>
      <c r="I354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1845.1771937392143</v>
      </c>
      <c r="J354" s="74">
        <f t="shared" si="60"/>
        <v>1845.1771937392143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t="str">
        <f t="shared" si="59"/>
        <v>OC6</v>
      </c>
      <c r="F355" t="str">
        <f t="shared" si="58"/>
        <v>Græs</v>
      </c>
      <c r="G355" s="74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1333.8196227610581</v>
      </c>
      <c r="H355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79420.955617684449</v>
      </c>
      <c r="I355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4">
        <f t="shared" si="60"/>
        <v>79420.955617684449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t="str">
        <f t="shared" si="59"/>
        <v>OC6</v>
      </c>
      <c r="F356" t="str">
        <f t="shared" si="58"/>
        <v>Grøntsager</v>
      </c>
      <c r="G356" s="74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25.261099168726226</v>
      </c>
      <c r="H356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629.00136930128303</v>
      </c>
      <c r="I356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4">
        <f t="shared" si="60"/>
        <v>629.00136930128303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t="str">
        <f t="shared" si="59"/>
        <v>OC6</v>
      </c>
      <c r="F357" t="str">
        <f t="shared" si="58"/>
        <v>Kartofler</v>
      </c>
      <c r="G357" s="74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42.946180543416538</v>
      </c>
      <c r="H357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2188.7554998222508</v>
      </c>
      <c r="I357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4">
        <f t="shared" si="60"/>
        <v>2188.7554998222508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t="str">
        <f t="shared" si="59"/>
        <v>OC6</v>
      </c>
      <c r="F358" t="str">
        <f t="shared" si="58"/>
        <v>Roer</v>
      </c>
      <c r="G358" s="74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119.98259301094923</v>
      </c>
      <c r="H35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11698.840054058643</v>
      </c>
      <c r="I35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4">
        <f t="shared" si="60"/>
        <v>11698.840054058643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t="str">
        <f t="shared" si="59"/>
        <v>OC6</v>
      </c>
      <c r="F359" t="str">
        <f t="shared" si="58"/>
        <v>Majs</v>
      </c>
      <c r="G359" s="74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127.91995950888544</v>
      </c>
      <c r="H35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6832.4608772885904</v>
      </c>
      <c r="I35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4">
        <f t="shared" si="60"/>
        <v>6832.4608772885904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t="str">
        <f t="shared" si="59"/>
        <v>OC6</v>
      </c>
      <c r="F360" t="str">
        <f t="shared" si="58"/>
        <v>Frugt</v>
      </c>
      <c r="G360" s="74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27.594964857400839</v>
      </c>
      <c r="H360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281.13750196719974</v>
      </c>
      <c r="I360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4">
        <f t="shared" si="60"/>
        <v>281.13750196719974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t="str">
        <f t="shared" si="59"/>
        <v>OC6</v>
      </c>
      <c r="F361" t="str">
        <f t="shared" si="58"/>
        <v>Øvrige</v>
      </c>
      <c r="G361" s="74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197.0414329626538</v>
      </c>
      <c r="H36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7045.2424863927736</v>
      </c>
      <c r="I36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4">
        <f t="shared" si="60"/>
        <v>7045.2424863927736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t="str">
        <f t="shared" si="59"/>
        <v>OC6</v>
      </c>
      <c r="F362" t="str">
        <f t="shared" si="58"/>
        <v>Halm</v>
      </c>
      <c r="G362" s="74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1430.5114592593595</v>
      </c>
      <c r="H362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24528.45486746051</v>
      </c>
      <c r="I362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5877.6854838048575</v>
      </c>
      <c r="J362" s="74">
        <f t="shared" si="60"/>
        <v>5877.6854838048575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t="str">
        <f t="shared" si="59"/>
        <v>OC6</v>
      </c>
      <c r="F363" t="str">
        <f t="shared" si="58"/>
        <v>Juletræer</v>
      </c>
      <c r="G363" s="74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43.241152898637949</v>
      </c>
      <c r="H363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2594.4691739182772</v>
      </c>
      <c r="I363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4">
        <f t="shared" si="60"/>
        <v>2594.4691739182772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t="str">
        <f t="shared" si="59"/>
        <v>OC6</v>
      </c>
      <c r="F364" t="str">
        <f t="shared" si="58"/>
        <v>Pil &amp; poppel</v>
      </c>
      <c r="G364" s="74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91.773876584838561</v>
      </c>
      <c r="H364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2686.0646805318606</v>
      </c>
      <c r="I364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4">
        <f t="shared" si="60"/>
        <v>2686.0646805318606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t="str">
        <f t="shared" si="59"/>
        <v>OC6</v>
      </c>
      <c r="F365" t="str">
        <f t="shared" si="58"/>
        <v>Græs</v>
      </c>
      <c r="G365" s="74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2659.7407767838267</v>
      </c>
      <c r="H365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44013.390374218761</v>
      </c>
      <c r="I365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4">
        <f t="shared" si="60"/>
        <v>44013.390374218761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t="str">
        <f t="shared" si="59"/>
        <v>OC6</v>
      </c>
      <c r="F366" t="str">
        <f t="shared" si="58"/>
        <v>Halm</v>
      </c>
      <c r="G366" s="74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3287.676142844382</v>
      </c>
      <c r="H366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27655.931713606937</v>
      </c>
      <c r="I366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15743.13912797075</v>
      </c>
      <c r="J366" s="74">
        <f t="shared" si="60"/>
        <v>15743.13912797075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t="str">
        <f t="shared" si="59"/>
        <v>OC6</v>
      </c>
      <c r="F367" t="str">
        <f t="shared" si="58"/>
        <v>Halm</v>
      </c>
      <c r="G367" s="74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88.904018192866161</v>
      </c>
      <c r="H367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411.8034122693561</v>
      </c>
      <c r="I367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213.21868463998726</v>
      </c>
      <c r="J367" s="74">
        <f t="shared" si="60"/>
        <v>213.21868463998726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t="str">
        <f t="shared" si="59"/>
        <v>OC6</v>
      </c>
      <c r="F368" t="str">
        <f t="shared" si="58"/>
        <v>Halm</v>
      </c>
      <c r="G368" s="74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359.09721747448225</v>
      </c>
      <c r="H3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1896.0333082652662</v>
      </c>
      <c r="I3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1766.1550266490956</v>
      </c>
      <c r="J368" s="74">
        <f t="shared" si="60"/>
        <v>1766.1550266490956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t="str">
        <f t="shared" si="59"/>
        <v>OC6</v>
      </c>
      <c r="F369" t="str">
        <f t="shared" si="58"/>
        <v>Græs</v>
      </c>
      <c r="G369" s="74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1055.8962823747061</v>
      </c>
      <c r="H3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62872.288237719498</v>
      </c>
      <c r="I3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4">
        <f t="shared" si="60"/>
        <v>62872.288237719498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t="str">
        <f t="shared" ref="E370:E401" si="61">Organ6</f>
        <v>OC6</v>
      </c>
      <c r="F370" t="str">
        <f t="shared" si="58"/>
        <v>Grøntsager</v>
      </c>
      <c r="G370" s="74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19.997532084392677</v>
      </c>
      <c r="H370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497.93854890137766</v>
      </c>
      <c r="I370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4">
        <f t="shared" si="60"/>
        <v>497.93854890137766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t="str">
        <f t="shared" si="61"/>
        <v>OC6</v>
      </c>
      <c r="F371" t="str">
        <f t="shared" si="58"/>
        <v>Kartofler</v>
      </c>
      <c r="G371" s="74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33.997634765724179</v>
      </c>
      <c r="H3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1732.692154060114</v>
      </c>
      <c r="I3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4">
        <f t="shared" si="60"/>
        <v>1732.692154060114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t="str">
        <f t="shared" si="61"/>
        <v>OC6</v>
      </c>
      <c r="F372" t="str">
        <f t="shared" si="58"/>
        <v>Roer</v>
      </c>
      <c r="G372" s="74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94.982238788545629</v>
      </c>
      <c r="H372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9261.1935754897131</v>
      </c>
      <c r="I372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4">
        <f t="shared" si="60"/>
        <v>9261.1935754897131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t="str">
        <f t="shared" si="61"/>
        <v>OC6</v>
      </c>
      <c r="F373" t="str">
        <f t="shared" si="58"/>
        <v>Majs</v>
      </c>
      <c r="G373" s="74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101.26572392701387</v>
      </c>
      <c r="H373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5408.8048463896648</v>
      </c>
      <c r="I373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4">
        <f t="shared" si="60"/>
        <v>5408.8048463896648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t="str">
        <f t="shared" si="61"/>
        <v>OC6</v>
      </c>
      <c r="F374" t="str">
        <f t="shared" si="58"/>
        <v>Frugt</v>
      </c>
      <c r="G374" s="74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21.845098323620871</v>
      </c>
      <c r="H374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222.55786172104945</v>
      </c>
      <c r="I374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4">
        <f t="shared" si="60"/>
        <v>222.55786172104945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t="str">
        <f t="shared" si="61"/>
        <v>OC6</v>
      </c>
      <c r="F375" t="str">
        <f t="shared" si="58"/>
        <v>Øvrige</v>
      </c>
      <c r="G375" s="74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155.98459715892352</v>
      </c>
      <c r="H375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5577.2498941133799</v>
      </c>
      <c r="I375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4">
        <f t="shared" si="60"/>
        <v>5577.2498941133799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t="str">
        <f t="shared" si="61"/>
        <v>OC6</v>
      </c>
      <c r="F376" t="str">
        <f t="shared" si="58"/>
        <v>Halm</v>
      </c>
      <c r="G376" s="74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1132.4407783112672</v>
      </c>
      <c r="H376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19417.546319594807</v>
      </c>
      <c r="I376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5625.9657866503758</v>
      </c>
      <c r="J376" s="74">
        <f t="shared" si="60"/>
        <v>5625.9657866503758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t="str">
        <f t="shared" si="61"/>
        <v>OC6</v>
      </c>
      <c r="F377" t="str">
        <f t="shared" si="58"/>
        <v>Juletræer</v>
      </c>
      <c r="G377" s="74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34.231144760604046</v>
      </c>
      <c r="H377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2053.8686856362428</v>
      </c>
      <c r="I377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4">
        <f t="shared" si="60"/>
        <v>2053.8686856362428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t="str">
        <f t="shared" si="61"/>
        <v>OC6</v>
      </c>
      <c r="F378" t="str">
        <f t="shared" si="58"/>
        <v>Pil &amp; poppel</v>
      </c>
      <c r="G378" s="74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72.651274168880292</v>
      </c>
      <c r="H37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2126.3787561623499</v>
      </c>
      <c r="I37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4">
        <f t="shared" si="60"/>
        <v>2126.3787561623499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t="str">
        <f t="shared" si="61"/>
        <v>OC6</v>
      </c>
      <c r="F379" t="str">
        <f t="shared" si="58"/>
        <v>Græs</v>
      </c>
      <c r="G379" s="74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2105.5398723801477</v>
      </c>
      <c r="H37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34842.473808146686</v>
      </c>
      <c r="I37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4">
        <f t="shared" si="60"/>
        <v>34842.473808146686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t="str">
        <f t="shared" si="61"/>
        <v>OC6</v>
      </c>
      <c r="F380" t="str">
        <f t="shared" si="58"/>
        <v>Halm</v>
      </c>
      <c r="G380" s="74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4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t="str">
        <f t="shared" si="61"/>
        <v>OC6</v>
      </c>
      <c r="F381" t="str">
        <f t="shared" si="58"/>
        <v>Halm</v>
      </c>
      <c r="G381" s="74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4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t="str">
        <f t="shared" si="61"/>
        <v>OC6</v>
      </c>
      <c r="F382" t="str">
        <f t="shared" si="58"/>
        <v>Halm</v>
      </c>
      <c r="G382" s="74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4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t="str">
        <f t="shared" si="61"/>
        <v>OC6</v>
      </c>
      <c r="F383" t="str">
        <f t="shared" si="58"/>
        <v>Græs</v>
      </c>
      <c r="G383" s="74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4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t="str">
        <f t="shared" si="61"/>
        <v>OC6</v>
      </c>
      <c r="F384" t="str">
        <f t="shared" si="58"/>
        <v>Grøntsager</v>
      </c>
      <c r="G384" s="74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4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t="str">
        <f t="shared" si="61"/>
        <v>OC6</v>
      </c>
      <c r="F385" t="str">
        <f t="shared" si="58"/>
        <v>Kartofler</v>
      </c>
      <c r="G385" s="74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4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t="str">
        <f t="shared" si="61"/>
        <v>OC6</v>
      </c>
      <c r="F386" t="str">
        <f t="shared" si="58"/>
        <v>Roer</v>
      </c>
      <c r="G386" s="74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4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t="str">
        <f t="shared" si="61"/>
        <v>OC6</v>
      </c>
      <c r="F387" t="str">
        <f t="shared" si="58"/>
        <v>Majs</v>
      </c>
      <c r="G387" s="74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4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t="str">
        <f t="shared" si="61"/>
        <v>OC6</v>
      </c>
      <c r="F388" t="str">
        <f t="shared" si="58"/>
        <v>Frugt</v>
      </c>
      <c r="G388" s="74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4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t="str">
        <f t="shared" si="61"/>
        <v>OC6</v>
      </c>
      <c r="F389" t="str">
        <f t="shared" si="58"/>
        <v>Øvrige</v>
      </c>
      <c r="G389" s="74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4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t="str">
        <f t="shared" si="61"/>
        <v>OC6</v>
      </c>
      <c r="F390" t="str">
        <f t="shared" si="58"/>
        <v>Halm</v>
      </c>
      <c r="G390" s="74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4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t="str">
        <f t="shared" si="61"/>
        <v>OC6</v>
      </c>
      <c r="F391" t="str">
        <f t="shared" si="58"/>
        <v>Juletræer</v>
      </c>
      <c r="G391" s="74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4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t="str">
        <f t="shared" si="61"/>
        <v>OC6</v>
      </c>
      <c r="F392" t="str">
        <f t="shared" si="58"/>
        <v>Pil &amp; poppel</v>
      </c>
      <c r="G392" s="74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4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t="str">
        <f t="shared" si="61"/>
        <v>OC6</v>
      </c>
      <c r="F393" t="str">
        <f t="shared" si="58"/>
        <v>Græs</v>
      </c>
      <c r="G393" s="74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4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t="str">
        <f t="shared" si="61"/>
        <v>OC6</v>
      </c>
      <c r="F394" t="str">
        <f t="shared" si="58"/>
        <v>Halm</v>
      </c>
      <c r="G394" s="74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648.16045804999635</v>
      </c>
      <c r="H394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3653.0582679881009</v>
      </c>
      <c r="I394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1719.8598325687985</v>
      </c>
      <c r="J394" s="74">
        <f t="shared" si="60"/>
        <v>1719.8598325687985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t="str">
        <f t="shared" si="61"/>
        <v>OC6</v>
      </c>
      <c r="F395" t="str">
        <f t="shared" si="58"/>
        <v>Halm</v>
      </c>
      <c r="G395" s="74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17.527294858343019</v>
      </c>
      <c r="H395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46.276264976791566</v>
      </c>
      <c r="I395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19.816503711315534</v>
      </c>
      <c r="J395" s="74">
        <f t="shared" si="60"/>
        <v>19.816503711315534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t="str">
        <f t="shared" si="61"/>
        <v>OC6</v>
      </c>
      <c r="F396" t="str">
        <f t="shared" si="58"/>
        <v>Halm</v>
      </c>
      <c r="G396" s="74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70.795481930093715</v>
      </c>
      <c r="H396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205.59007952499221</v>
      </c>
      <c r="I396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158.38659726605397</v>
      </c>
      <c r="J396" s="74">
        <f t="shared" si="60"/>
        <v>158.38659726605397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t="str">
        <f t="shared" si="61"/>
        <v>OC6</v>
      </c>
      <c r="F397" t="str">
        <f t="shared" si="58"/>
        <v>Græs</v>
      </c>
      <c r="G397" s="74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208.16838043091659</v>
      </c>
      <c r="H397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9668.2388746152283</v>
      </c>
      <c r="I397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4">
        <f t="shared" si="60"/>
        <v>9668.2388746152283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t="str">
        <f t="shared" si="61"/>
        <v>OC6</v>
      </c>
      <c r="F398" t="str">
        <f t="shared" si="58"/>
        <v>Grøntsager</v>
      </c>
      <c r="G398" s="74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3.9424836852925322</v>
      </c>
      <c r="H39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55.955670945356907</v>
      </c>
      <c r="I39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4">
        <f t="shared" si="60"/>
        <v>55.955670945356907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t="str">
        <f t="shared" si="61"/>
        <v>OC6</v>
      </c>
      <c r="F399" t="str">
        <f t="shared" si="58"/>
        <v>Kartofler</v>
      </c>
      <c r="G399" s="74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6.7025830905910215</v>
      </c>
      <c r="H39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194.71067712291588</v>
      </c>
      <c r="I39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4">
        <f t="shared" si="60"/>
        <v>194.71067712291588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t="str">
        <f t="shared" si="61"/>
        <v>OC6</v>
      </c>
      <c r="F400" t="str">
        <f t="shared" ref="F400:F467" si="62">IF(I400&lt;&gt;0,"Halm",IF(B400&lt;&gt;"Permanent græs",B400,"Græs"))</f>
        <v>Roer</v>
      </c>
      <c r="G400" s="74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18.725607001708841</v>
      </c>
      <c r="H400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1040.7234013408238</v>
      </c>
      <c r="I400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4">
        <f t="shared" si="60"/>
        <v>1040.7234013408238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t="str">
        <f t="shared" si="61"/>
        <v>OC6</v>
      </c>
      <c r="F401" t="str">
        <f t="shared" si="62"/>
        <v>Majs</v>
      </c>
      <c r="G401" s="74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19.964386744161317</v>
      </c>
      <c r="H40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885.06039456668975</v>
      </c>
      <c r="I40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4">
        <f t="shared" si="60"/>
        <v>885.06039456668975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t="str">
        <f t="shared" ref="E402:E421" si="63">Organ6</f>
        <v>OC6</v>
      </c>
      <c r="F402" t="str">
        <f t="shared" si="62"/>
        <v>Frugt</v>
      </c>
      <c r="G402" s="74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4.3067286193631373</v>
      </c>
      <c r="H402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25.009862169220838</v>
      </c>
      <c r="I402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4">
        <f t="shared" si="60"/>
        <v>25.009862169220838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t="str">
        <f t="shared" si="63"/>
        <v>OC6</v>
      </c>
      <c r="F403" t="str">
        <f t="shared" si="62"/>
        <v>Øvrige</v>
      </c>
      <c r="G403" s="74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30.752131156021115</v>
      </c>
      <c r="H403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626.7415136739005</v>
      </c>
      <c r="I403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4">
        <f t="shared" si="60"/>
        <v>626.7415136739005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t="str">
        <f t="shared" si="63"/>
        <v>OC6</v>
      </c>
      <c r="F404" t="str">
        <f t="shared" si="62"/>
        <v>Halm</v>
      </c>
      <c r="G404" s="74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223.25901387284802</v>
      </c>
      <c r="H404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2182.0400023711977</v>
      </c>
      <c r="I404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522.8761826344321</v>
      </c>
      <c r="J404" s="74">
        <f t="shared" si="60"/>
        <v>522.8761826344321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t="str">
        <f t="shared" si="63"/>
        <v>OC6</v>
      </c>
      <c r="F405" t="str">
        <f t="shared" si="62"/>
        <v>Juletræer</v>
      </c>
      <c r="G405" s="74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6.74861923851575</v>
      </c>
      <c r="H405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230.80277795723865</v>
      </c>
      <c r="I405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4">
        <f t="shared" ref="J405:J468" si="64">IF(I405&lt;&gt;0,I405,H405)</f>
        <v>230.80277795723865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t="str">
        <f t="shared" si="63"/>
        <v>OC6</v>
      </c>
      <c r="F406" t="str">
        <f t="shared" si="62"/>
        <v>Pil &amp; poppel</v>
      </c>
      <c r="G406" s="74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14.323090565263824</v>
      </c>
      <c r="H406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238.95107186927942</v>
      </c>
      <c r="I406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4">
        <f t="shared" si="64"/>
        <v>238.95107186927942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t="str">
        <f t="shared" si="63"/>
        <v>OC6</v>
      </c>
      <c r="F407" t="str">
        <f t="shared" si="62"/>
        <v>Græs</v>
      </c>
      <c r="G407" s="74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415.10405186799608</v>
      </c>
      <c r="H407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6869.1418503115992</v>
      </c>
      <c r="I407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4">
        <f t="shared" si="64"/>
        <v>6869.1418503115992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t="str">
        <f t="shared" si="63"/>
        <v>OC6</v>
      </c>
      <c r="F408" t="str">
        <f t="shared" si="62"/>
        <v>Halm</v>
      </c>
      <c r="G408" s="74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697.38584848214157</v>
      </c>
      <c r="H40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3930.4945374792887</v>
      </c>
      <c r="I40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2237.4340154600854</v>
      </c>
      <c r="J408" s="74">
        <f t="shared" si="64"/>
        <v>2237.4340154600854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t="str">
        <f t="shared" si="63"/>
        <v>OC6</v>
      </c>
      <c r="F409" t="str">
        <f t="shared" si="62"/>
        <v>Halm</v>
      </c>
      <c r="G409" s="74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18.858428101517063</v>
      </c>
      <c r="H40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49.790776210749414</v>
      </c>
      <c r="I40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25.780077324653004</v>
      </c>
      <c r="J409" s="74">
        <f t="shared" si="64"/>
        <v>25.780077324653004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t="str">
        <f t="shared" si="63"/>
        <v>OC6</v>
      </c>
      <c r="F410" t="str">
        <f t="shared" si="62"/>
        <v>Halm</v>
      </c>
      <c r="G410" s="74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76.17213704004169</v>
      </c>
      <c r="H410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221.20388596428108</v>
      </c>
      <c r="I410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206.05141977572785</v>
      </c>
      <c r="J410" s="74">
        <f t="shared" si="64"/>
        <v>206.05141977572785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t="str">
        <f t="shared" si="63"/>
        <v>OC6</v>
      </c>
      <c r="F411" t="str">
        <f t="shared" si="62"/>
        <v>Græs</v>
      </c>
      <c r="G411" s="74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223.97799929160431</v>
      </c>
      <c r="H41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10402.505872059046</v>
      </c>
      <c r="I41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4">
        <f t="shared" si="64"/>
        <v>10402.505872059046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t="str">
        <f t="shared" si="63"/>
        <v>OC6</v>
      </c>
      <c r="F412" t="str">
        <f t="shared" si="62"/>
        <v>Grøntsager</v>
      </c>
      <c r="G412" s="74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4.2419007451742043</v>
      </c>
      <c r="H412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60.205297276257483</v>
      </c>
      <c r="I412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4">
        <f t="shared" si="64"/>
        <v>60.205297276257483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t="str">
        <f t="shared" si="63"/>
        <v>OC6</v>
      </c>
      <c r="F413" t="str">
        <f t="shared" si="62"/>
        <v>Kartofler</v>
      </c>
      <c r="G413" s="74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7.211619495759674</v>
      </c>
      <c r="H413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209.49823317272285</v>
      </c>
      <c r="I413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4">
        <f t="shared" si="64"/>
        <v>209.49823317272285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t="str">
        <f t="shared" si="63"/>
        <v>OC6</v>
      </c>
      <c r="F414" t="str">
        <f t="shared" si="62"/>
        <v>Roer</v>
      </c>
      <c r="G414" s="74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20.147747621812712</v>
      </c>
      <c r="H414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1119.7624959455745</v>
      </c>
      <c r="I414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4">
        <f t="shared" si="64"/>
        <v>1119.7624959455745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t="str">
        <f t="shared" si="63"/>
        <v>OC6</v>
      </c>
      <c r="F415" t="str">
        <f t="shared" si="62"/>
        <v>Majs</v>
      </c>
      <c r="G415" s="74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21.480608105730209</v>
      </c>
      <c r="H415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952.27745931890752</v>
      </c>
      <c r="I415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4">
        <f t="shared" si="64"/>
        <v>952.27745931890752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t="str">
        <f t="shared" si="63"/>
        <v>OC6</v>
      </c>
      <c r="F416" t="str">
        <f t="shared" si="62"/>
        <v>Frugt</v>
      </c>
      <c r="G416" s="74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4.6338087353135169</v>
      </c>
      <c r="H416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26.909268735363238</v>
      </c>
      <c r="I416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4">
        <f t="shared" si="64"/>
        <v>26.909268735363238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t="str">
        <f t="shared" si="63"/>
        <v>OC6</v>
      </c>
      <c r="F417" t="str">
        <f t="shared" si="62"/>
        <v>Øvrige</v>
      </c>
      <c r="G417" s="74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33.087641821589841</v>
      </c>
      <c r="H417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674.34021447007228</v>
      </c>
      <c r="I417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4">
        <f t="shared" si="64"/>
        <v>674.34021447007228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t="str">
        <f t="shared" si="63"/>
        <v>OC6</v>
      </c>
      <c r="F418" t="str">
        <f t="shared" si="62"/>
        <v>Halm</v>
      </c>
      <c r="G418" s="74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240.21471055087486</v>
      </c>
      <c r="H41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2347.7578731873718</v>
      </c>
      <c r="I41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680.2304087495454</v>
      </c>
      <c r="J418" s="74">
        <f t="shared" si="64"/>
        <v>680.2304087495454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t="str">
        <f t="shared" si="63"/>
        <v>OC6</v>
      </c>
      <c r="F419" t="str">
        <f t="shared" si="62"/>
        <v>Juletræer</v>
      </c>
      <c r="G419" s="74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7.261151918916009</v>
      </c>
      <c r="H41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248.3313956269275</v>
      </c>
      <c r="I41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4">
        <f t="shared" si="64"/>
        <v>248.3313956269275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t="str">
        <f t="shared" si="63"/>
        <v>OC6</v>
      </c>
      <c r="F420" t="str">
        <f t="shared" si="62"/>
        <v>Pil &amp; poppel</v>
      </c>
      <c r="G420" s="74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15.410876338853395</v>
      </c>
      <c r="H420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257.09852233599321</v>
      </c>
      <c r="I420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4">
        <f t="shared" si="64"/>
        <v>257.09852233599321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t="str">
        <f t="shared" si="63"/>
        <v>OC6</v>
      </c>
      <c r="F421" t="str">
        <f t="shared" si="62"/>
        <v>Græs</v>
      </c>
      <c r="G421" s="74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446.6296698988192</v>
      </c>
      <c r="H42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7390.8277774856606</v>
      </c>
      <c r="I42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4">
        <f t="shared" si="64"/>
        <v>7390.8277774856606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t="str">
        <f t="shared" ref="E422:E453" si="65">Organ12</f>
        <v>OC12</v>
      </c>
      <c r="F422" t="str">
        <f t="shared" si="62"/>
        <v>Halm</v>
      </c>
      <c r="G422" s="74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4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t="str">
        <f t="shared" si="65"/>
        <v>OC12</v>
      </c>
      <c r="F423" t="str">
        <f t="shared" si="62"/>
        <v>Halm</v>
      </c>
      <c r="G423" s="74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4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t="str">
        <f t="shared" si="65"/>
        <v>OC12</v>
      </c>
      <c r="F424" t="str">
        <f t="shared" si="62"/>
        <v>Halm</v>
      </c>
      <c r="G424" s="74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4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t="str">
        <f t="shared" si="65"/>
        <v>OC12</v>
      </c>
      <c r="F425" t="str">
        <f t="shared" si="62"/>
        <v>Græs</v>
      </c>
      <c r="G425" s="74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4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t="str">
        <f t="shared" si="65"/>
        <v>OC12</v>
      </c>
      <c r="F426" t="str">
        <f t="shared" si="62"/>
        <v>Grøntsager</v>
      </c>
      <c r="G426" s="74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4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t="str">
        <f t="shared" si="65"/>
        <v>OC12</v>
      </c>
      <c r="F427" t="str">
        <f t="shared" si="62"/>
        <v>Kartofler</v>
      </c>
      <c r="G427" s="74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4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t="str">
        <f t="shared" si="65"/>
        <v>OC12</v>
      </c>
      <c r="F428" t="str">
        <f t="shared" si="62"/>
        <v>Roer</v>
      </c>
      <c r="G428" s="74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4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t="str">
        <f t="shared" si="65"/>
        <v>OC12</v>
      </c>
      <c r="F429" t="str">
        <f t="shared" si="62"/>
        <v>Majs</v>
      </c>
      <c r="G429" s="74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4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t="str">
        <f t="shared" si="65"/>
        <v>OC12</v>
      </c>
      <c r="F430" t="str">
        <f t="shared" si="62"/>
        <v>Frugt</v>
      </c>
      <c r="G430" s="74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4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t="str">
        <f t="shared" si="65"/>
        <v>OC12</v>
      </c>
      <c r="F431" t="str">
        <f t="shared" si="62"/>
        <v>Øvrige</v>
      </c>
      <c r="G431" s="74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4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t="str">
        <f t="shared" si="65"/>
        <v>OC12</v>
      </c>
      <c r="F432" t="str">
        <f t="shared" si="62"/>
        <v>Halm</v>
      </c>
      <c r="G432" s="74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4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t="str">
        <f t="shared" si="65"/>
        <v>OC12</v>
      </c>
      <c r="F433" t="str">
        <f t="shared" si="62"/>
        <v>Juletræer</v>
      </c>
      <c r="G433" s="74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4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t="str">
        <f t="shared" si="65"/>
        <v>OC12</v>
      </c>
      <c r="F434" t="str">
        <f t="shared" si="62"/>
        <v>Pil &amp; poppel</v>
      </c>
      <c r="G434" s="74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4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t="str">
        <f t="shared" si="65"/>
        <v>OC12</v>
      </c>
      <c r="F435" t="str">
        <f t="shared" si="62"/>
        <v>Græs</v>
      </c>
      <c r="G435" s="74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4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t="str">
        <f t="shared" si="65"/>
        <v>OC12</v>
      </c>
      <c r="F436" t="str">
        <f t="shared" si="62"/>
        <v>Halm</v>
      </c>
      <c r="G436" s="74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1796.6458108942293</v>
      </c>
      <c r="H436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17632.281988115963</v>
      </c>
      <c r="I436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8301.278360004997</v>
      </c>
      <c r="J436" s="74">
        <f t="shared" si="64"/>
        <v>8301.278360004997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t="str">
        <f t="shared" si="65"/>
        <v>OC12</v>
      </c>
      <c r="F437" t="str">
        <f t="shared" si="62"/>
        <v>Halm</v>
      </c>
      <c r="G437" s="74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32.633012539823845</v>
      </c>
      <c r="H437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176.34879976520804</v>
      </c>
      <c r="I437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75.516393701736789</v>
      </c>
      <c r="J437" s="74">
        <f t="shared" si="64"/>
        <v>75.516393701736789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t="str">
        <f t="shared" si="65"/>
        <v>OC12</v>
      </c>
      <c r="F438" t="str">
        <f t="shared" si="62"/>
        <v>Halm</v>
      </c>
      <c r="G438" s="74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159.40463041598321</v>
      </c>
      <c r="H43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981.93252336245644</v>
      </c>
      <c r="I43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756.48081599843647</v>
      </c>
      <c r="J438" s="74">
        <f t="shared" si="64"/>
        <v>756.48081599843647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t="str">
        <f t="shared" si="65"/>
        <v>OC12</v>
      </c>
      <c r="F439" t="str">
        <f t="shared" si="62"/>
        <v>Græs</v>
      </c>
      <c r="G439" s="74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1171.3986150504631</v>
      </c>
      <c r="H43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81374.718990325578</v>
      </c>
      <c r="I43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4">
        <f t="shared" si="64"/>
        <v>81374.718990325578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t="str">
        <f t="shared" si="65"/>
        <v>OC12</v>
      </c>
      <c r="F440" t="str">
        <f t="shared" si="62"/>
        <v>Grøntsager</v>
      </c>
      <c r="G440" s="74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5.5133034466362671</v>
      </c>
      <c r="H440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160.16146512478358</v>
      </c>
      <c r="I440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4">
        <f t="shared" si="64"/>
        <v>160.16146512478358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t="str">
        <f t="shared" si="65"/>
        <v>OC12</v>
      </c>
      <c r="F441" t="str">
        <f t="shared" si="62"/>
        <v>Kartofler</v>
      </c>
      <c r="G441" s="74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31.425171951535479</v>
      </c>
      <c r="H44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1868.51744633315</v>
      </c>
      <c r="I44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4">
        <f t="shared" si="64"/>
        <v>1868.51744633315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t="str">
        <f t="shared" si="65"/>
        <v>OC12</v>
      </c>
      <c r="F442" t="str">
        <f t="shared" si="62"/>
        <v>Roer</v>
      </c>
      <c r="G442" s="74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36.188775432258431</v>
      </c>
      <c r="H442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4116.6622512612066</v>
      </c>
      <c r="I442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4">
        <f t="shared" si="64"/>
        <v>4116.6622512612066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t="str">
        <f t="shared" si="65"/>
        <v>OC12</v>
      </c>
      <c r="F443" t="str">
        <f t="shared" si="62"/>
        <v>Majs</v>
      </c>
      <c r="G443" s="74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37.170486845663731</v>
      </c>
      <c r="H443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2316.2417173006897</v>
      </c>
      <c r="I443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4">
        <f t="shared" si="64"/>
        <v>2316.2417173006897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t="str">
        <f t="shared" si="65"/>
        <v>OC12</v>
      </c>
      <c r="F444" t="str">
        <f t="shared" si="62"/>
        <v>Frugt</v>
      </c>
      <c r="G444" s="74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13.488257970641145</v>
      </c>
      <c r="H444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160.32143423904066</v>
      </c>
      <c r="I444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4">
        <f t="shared" si="64"/>
        <v>160.32143423904066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t="str">
        <f t="shared" si="65"/>
        <v>OC12</v>
      </c>
      <c r="F445" t="str">
        <f t="shared" si="62"/>
        <v>Øvrige</v>
      </c>
      <c r="G445" s="74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96.312703873303633</v>
      </c>
      <c r="H445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4017.6190372214837</v>
      </c>
      <c r="I445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4">
        <f t="shared" si="64"/>
        <v>4017.6190372214837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t="str">
        <f t="shared" si="65"/>
        <v>OC12</v>
      </c>
      <c r="F446" t="str">
        <f t="shared" si="62"/>
        <v>Halm</v>
      </c>
      <c r="G446" s="74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901.3113802822603</v>
      </c>
      <c r="H446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18030.197939320373</v>
      </c>
      <c r="I446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4320.5262325210433</v>
      </c>
      <c r="J446" s="74">
        <f t="shared" si="64"/>
        <v>4320.5262325210433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t="str">
        <f t="shared" si="65"/>
        <v>OC12</v>
      </c>
      <c r="F447" t="str">
        <f t="shared" si="62"/>
        <v>Juletræer</v>
      </c>
      <c r="G447" s="74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21.136023483224019</v>
      </c>
      <c r="H447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1479.5216438256814</v>
      </c>
      <c r="I447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4">
        <f t="shared" si="64"/>
        <v>1479.5216438256814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t="str">
        <f t="shared" si="65"/>
        <v>OC12</v>
      </c>
      <c r="F448" t="str">
        <f t="shared" si="62"/>
        <v>Pil &amp; poppel</v>
      </c>
      <c r="G448" s="74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64.473732983194068</v>
      </c>
      <c r="H44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2201.5421018651632</v>
      </c>
      <c r="I44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4">
        <f t="shared" si="64"/>
        <v>2201.5421018651632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t="str">
        <f t="shared" si="65"/>
        <v>OC12</v>
      </c>
      <c r="F449" t="str">
        <f t="shared" si="62"/>
        <v>Græs</v>
      </c>
      <c r="G449" s="74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2242.1606682189854</v>
      </c>
      <c r="H44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43287.153860635735</v>
      </c>
      <c r="I44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4">
        <f t="shared" si="64"/>
        <v>43287.153860635735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t="str">
        <f t="shared" si="65"/>
        <v>OC12</v>
      </c>
      <c r="F450" t="str">
        <f t="shared" si="62"/>
        <v>Korn</v>
      </c>
      <c r="G450" s="74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0</v>
      </c>
      <c r="H450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</v>
      </c>
      <c r="I450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</v>
      </c>
      <c r="J450" s="74">
        <f t="shared" si="64"/>
        <v>0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t="str">
        <f t="shared" si="65"/>
        <v>OC12</v>
      </c>
      <c r="F451" t="str">
        <f t="shared" si="62"/>
        <v>Bælgsæd</v>
      </c>
      <c r="G451" s="74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0</v>
      </c>
      <c r="H45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0</v>
      </c>
      <c r="I45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0</v>
      </c>
      <c r="J451" s="74">
        <f t="shared" si="64"/>
        <v>0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t="str">
        <f t="shared" si="65"/>
        <v>OC12</v>
      </c>
      <c r="F452" t="str">
        <f t="shared" si="62"/>
        <v>Raps</v>
      </c>
      <c r="G452" s="74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0</v>
      </c>
      <c r="H452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0</v>
      </c>
      <c r="I452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0</v>
      </c>
      <c r="J452" s="74">
        <f t="shared" si="64"/>
        <v>0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t="str">
        <f t="shared" si="65"/>
        <v>OC12</v>
      </c>
      <c r="F453" t="str">
        <f t="shared" si="62"/>
        <v>Græs</v>
      </c>
      <c r="G453" s="74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0</v>
      </c>
      <c r="H453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0</v>
      </c>
      <c r="I453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4">
        <f t="shared" si="64"/>
        <v>0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t="str">
        <f t="shared" ref="E454:E485" si="66">Organ12</f>
        <v>OC12</v>
      </c>
      <c r="F454" t="str">
        <f t="shared" si="62"/>
        <v>Grøntsager</v>
      </c>
      <c r="G454" s="74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0</v>
      </c>
      <c r="H454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0</v>
      </c>
      <c r="I454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4">
        <f t="shared" si="64"/>
        <v>0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t="str">
        <f t="shared" si="66"/>
        <v>OC12</v>
      </c>
      <c r="F455" t="str">
        <f t="shared" si="62"/>
        <v>Kartofler</v>
      </c>
      <c r="G455" s="74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0</v>
      </c>
      <c r="H455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0</v>
      </c>
      <c r="I455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4">
        <f t="shared" si="64"/>
        <v>0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t="str">
        <f t="shared" si="66"/>
        <v>OC12</v>
      </c>
      <c r="F456" t="str">
        <f t="shared" si="62"/>
        <v>Roer</v>
      </c>
      <c r="G456" s="74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0</v>
      </c>
      <c r="H456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0</v>
      </c>
      <c r="I456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4">
        <f t="shared" si="64"/>
        <v>0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t="str">
        <f t="shared" si="66"/>
        <v>OC12</v>
      </c>
      <c r="F457" t="str">
        <f t="shared" si="62"/>
        <v>Majs</v>
      </c>
      <c r="G457" s="74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0</v>
      </c>
      <c r="H457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0</v>
      </c>
      <c r="I457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4">
        <f t="shared" si="64"/>
        <v>0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t="str">
        <f t="shared" si="66"/>
        <v>OC12</v>
      </c>
      <c r="F458" t="str">
        <f t="shared" si="62"/>
        <v>Frugt</v>
      </c>
      <c r="G458" s="74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0</v>
      </c>
      <c r="H45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0</v>
      </c>
      <c r="I45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4">
        <f t="shared" si="64"/>
        <v>0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t="str">
        <f t="shared" si="66"/>
        <v>OC12</v>
      </c>
      <c r="F459" t="str">
        <f t="shared" si="62"/>
        <v>Øvrige</v>
      </c>
      <c r="G459" s="74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0</v>
      </c>
      <c r="H45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0</v>
      </c>
      <c r="I45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4">
        <f t="shared" si="64"/>
        <v>0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t="str">
        <f t="shared" si="66"/>
        <v>OC12</v>
      </c>
      <c r="F460" t="str">
        <f t="shared" si="62"/>
        <v>Frø</v>
      </c>
      <c r="G460" s="74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0</v>
      </c>
      <c r="H460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</v>
      </c>
      <c r="I460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</v>
      </c>
      <c r="J460" s="74">
        <f t="shared" si="64"/>
        <v>0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t="str">
        <f t="shared" si="66"/>
        <v>OC12</v>
      </c>
      <c r="F461" t="str">
        <f t="shared" si="62"/>
        <v>Juletræer</v>
      </c>
      <c r="G461" s="74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0</v>
      </c>
      <c r="H46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0</v>
      </c>
      <c r="I46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4">
        <f t="shared" si="64"/>
        <v>0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t="str">
        <f t="shared" si="66"/>
        <v>OC12</v>
      </c>
      <c r="F462" t="str">
        <f t="shared" si="62"/>
        <v>Pil &amp; poppel</v>
      </c>
      <c r="G462" s="74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0</v>
      </c>
      <c r="H462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0</v>
      </c>
      <c r="I462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4">
        <f t="shared" si="64"/>
        <v>0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t="str">
        <f t="shared" si="66"/>
        <v>OC12</v>
      </c>
      <c r="F463" t="str">
        <f t="shared" si="62"/>
        <v>Græs</v>
      </c>
      <c r="G463" s="74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0</v>
      </c>
      <c r="H463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0</v>
      </c>
      <c r="I463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4">
        <f t="shared" si="64"/>
        <v>0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t="str">
        <f t="shared" si="66"/>
        <v>OC12</v>
      </c>
      <c r="F464" t="str">
        <f t="shared" si="62"/>
        <v>Halm</v>
      </c>
      <c r="G464" s="74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4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t="str">
        <f t="shared" si="66"/>
        <v>OC12</v>
      </c>
      <c r="F465" t="str">
        <f t="shared" si="62"/>
        <v>Halm</v>
      </c>
      <c r="G465" s="74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4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t="str">
        <f t="shared" si="66"/>
        <v>OC12</v>
      </c>
      <c r="F466" t="str">
        <f t="shared" si="62"/>
        <v>Halm</v>
      </c>
      <c r="G466" s="74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4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t="str">
        <f t="shared" si="66"/>
        <v>OC12</v>
      </c>
      <c r="F467" t="str">
        <f t="shared" si="62"/>
        <v>Græs</v>
      </c>
      <c r="G467" s="74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4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4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4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t="str">
        <f t="shared" si="66"/>
        <v>OC12</v>
      </c>
      <c r="F469" t="str">
        <f t="shared" si="67"/>
        <v>Kartofler</v>
      </c>
      <c r="G469" s="74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4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t="str">
        <f t="shared" si="66"/>
        <v>OC12</v>
      </c>
      <c r="F470" t="str">
        <f t="shared" si="67"/>
        <v>Roer</v>
      </c>
      <c r="G470" s="74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4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t="str">
        <f t="shared" si="66"/>
        <v>OC12</v>
      </c>
      <c r="F471" t="str">
        <f t="shared" si="67"/>
        <v>Majs</v>
      </c>
      <c r="G471" s="74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4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t="str">
        <f t="shared" si="66"/>
        <v>OC12</v>
      </c>
      <c r="F472" t="str">
        <f t="shared" si="67"/>
        <v>Frugt</v>
      </c>
      <c r="G472" s="74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4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t="str">
        <f t="shared" si="66"/>
        <v>OC12</v>
      </c>
      <c r="F473" t="str">
        <f t="shared" si="67"/>
        <v>Øvrige</v>
      </c>
      <c r="G473" s="74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4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t="str">
        <f t="shared" si="66"/>
        <v>OC12</v>
      </c>
      <c r="F474" t="str">
        <f t="shared" si="67"/>
        <v>Halm</v>
      </c>
      <c r="G474" s="74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4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t="str">
        <f t="shared" si="66"/>
        <v>OC12</v>
      </c>
      <c r="F475" t="str">
        <f t="shared" si="67"/>
        <v>Juletræer</v>
      </c>
      <c r="G475" s="74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4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t="str">
        <f t="shared" si="66"/>
        <v>OC12</v>
      </c>
      <c r="F476" t="str">
        <f t="shared" si="67"/>
        <v>Pil &amp; poppel</v>
      </c>
      <c r="G476" s="74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4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t="str">
        <f t="shared" si="66"/>
        <v>OC12</v>
      </c>
      <c r="F477" t="str">
        <f t="shared" si="67"/>
        <v>Græs</v>
      </c>
      <c r="G477" s="74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4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t="str">
        <f t="shared" si="66"/>
        <v>OC12</v>
      </c>
      <c r="F478" t="str">
        <f t="shared" si="67"/>
        <v>Halm</v>
      </c>
      <c r="G478" s="74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280.40136933031323</v>
      </c>
      <c r="H47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1843.7455558671547</v>
      </c>
      <c r="I47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868.03540770225663</v>
      </c>
      <c r="J478" s="74">
        <f t="shared" si="68"/>
        <v>868.03540770225663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t="str">
        <f t="shared" si="66"/>
        <v>OC12</v>
      </c>
      <c r="F479" t="str">
        <f t="shared" si="67"/>
        <v>Halm</v>
      </c>
      <c r="G479" s="74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5.0930135177759759</v>
      </c>
      <c r="H47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15.687907678534982</v>
      </c>
      <c r="I47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6.7179034628308036</v>
      </c>
      <c r="J479" s="74">
        <f t="shared" si="68"/>
        <v>6.7179034628308036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t="str">
        <f t="shared" si="66"/>
        <v>OC12</v>
      </c>
      <c r="F480" t="str">
        <f t="shared" si="67"/>
        <v>Halm</v>
      </c>
      <c r="G480" s="74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24.878179313477148</v>
      </c>
      <c r="H480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84.287271514060578</v>
      </c>
      <c r="I480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64.934913974432277</v>
      </c>
      <c r="J480" s="74">
        <f t="shared" si="68"/>
        <v>64.934913974432277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t="str">
        <f t="shared" si="66"/>
        <v>OC12</v>
      </c>
      <c r="F481" t="str">
        <f t="shared" si="67"/>
        <v>Græs</v>
      </c>
      <c r="G481" s="74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182.81943703099714</v>
      </c>
      <c r="H48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9906.0785083020619</v>
      </c>
      <c r="I48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4">
        <f t="shared" si="68"/>
        <v>9906.0785083020619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t="str">
        <f t="shared" si="66"/>
        <v>OC12</v>
      </c>
      <c r="F482" t="str">
        <f t="shared" si="67"/>
        <v>Grøntsager</v>
      </c>
      <c r="G482" s="74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0.86045776334785684</v>
      </c>
      <c r="H482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14.247889874395483</v>
      </c>
      <c r="I482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4">
        <f t="shared" si="68"/>
        <v>14.247889874395483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t="str">
        <f t="shared" si="66"/>
        <v>OC12</v>
      </c>
      <c r="F483" t="str">
        <f t="shared" si="67"/>
        <v>Kartofler</v>
      </c>
      <c r="G483" s="74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4.9045066051529362</v>
      </c>
      <c r="H483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166.22244797148659</v>
      </c>
      <c r="I483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4">
        <f t="shared" si="68"/>
        <v>166.22244797148659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t="str">
        <f t="shared" si="66"/>
        <v>OC12</v>
      </c>
      <c r="F484" t="str">
        <f t="shared" si="67"/>
        <v>Roer</v>
      </c>
      <c r="G484" s="74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5.6479591715085418</v>
      </c>
      <c r="H484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366.21637021335238</v>
      </c>
      <c r="I484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4">
        <f t="shared" si="68"/>
        <v>366.21637021335238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t="str">
        <f t="shared" si="66"/>
        <v>OC12</v>
      </c>
      <c r="F485" t="str">
        <f t="shared" si="67"/>
        <v>Majs</v>
      </c>
      <c r="G485" s="74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5.8011742475891381</v>
      </c>
      <c r="H485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300.04032881334371</v>
      </c>
      <c r="I485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4">
        <f t="shared" si="68"/>
        <v>300.04032881334371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t="str">
        <f t="shared" ref="E486:E505" si="69">Organ12</f>
        <v>OC12</v>
      </c>
      <c r="F486" t="str">
        <f t="shared" si="67"/>
        <v>Frugt</v>
      </c>
      <c r="G486" s="74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2.1051038451289652</v>
      </c>
      <c r="H486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14.262120652825642</v>
      </c>
      <c r="I486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4">
        <f t="shared" si="68"/>
        <v>14.262120652825642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t="str">
        <f t="shared" si="69"/>
        <v>OC12</v>
      </c>
      <c r="F487" t="str">
        <f t="shared" si="67"/>
        <v>Øvrige</v>
      </c>
      <c r="G487" s="74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15.031462454215021</v>
      </c>
      <c r="H487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357.40553169270896</v>
      </c>
      <c r="I487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4">
        <f t="shared" si="68"/>
        <v>357.40553169270896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t="str">
        <f t="shared" si="69"/>
        <v>OC12</v>
      </c>
      <c r="F488" t="str">
        <f t="shared" si="67"/>
        <v>Halm</v>
      </c>
      <c r="G488" s="74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140.66709403249149</v>
      </c>
      <c r="H48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1603.9580710181533</v>
      </c>
      <c r="I48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384.35201571386625</v>
      </c>
      <c r="J488" s="74">
        <f t="shared" ref="J488:J505" si="70">IF(I488&lt;&gt;0,I488,H488)</f>
        <v>384.35201571386625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t="str">
        <f t="shared" si="69"/>
        <v>OC12</v>
      </c>
      <c r="F489" t="str">
        <f t="shared" si="67"/>
        <v>Juletræer</v>
      </c>
      <c r="G489" s="74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3.2986857459366963</v>
      </c>
      <c r="H48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131.61756126287418</v>
      </c>
      <c r="I48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4">
        <f t="shared" si="70"/>
        <v>131.61756126287418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t="str">
        <f t="shared" si="69"/>
        <v>OC12</v>
      </c>
      <c r="F490" t="str">
        <f t="shared" si="67"/>
        <v>Pil &amp; poppel</v>
      </c>
      <c r="G490" s="74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10.062374511827977</v>
      </c>
      <c r="H490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195.84816732777378</v>
      </c>
      <c r="I490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4">
        <f t="shared" si="70"/>
        <v>195.84816732777378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t="str">
        <f t="shared" si="69"/>
        <v>OC12</v>
      </c>
      <c r="F491" t="str">
        <f t="shared" si="67"/>
        <v>Græs</v>
      </c>
      <c r="G491" s="74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349.9325898376452</v>
      </c>
      <c r="H49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6755.7985794055785</v>
      </c>
      <c r="I49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4">
        <f t="shared" si="70"/>
        <v>6755.7985794055785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t="str">
        <f t="shared" si="69"/>
        <v>OC12</v>
      </c>
      <c r="F492" t="str">
        <f t="shared" si="67"/>
        <v>Korn</v>
      </c>
      <c r="G492" s="74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0</v>
      </c>
      <c r="H492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0</v>
      </c>
      <c r="I492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0</v>
      </c>
      <c r="J492" s="74">
        <f t="shared" si="70"/>
        <v>0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t="str">
        <f t="shared" si="69"/>
        <v>OC12</v>
      </c>
      <c r="F493" t="str">
        <f t="shared" si="67"/>
        <v>Bælgsæd</v>
      </c>
      <c r="G493" s="74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0</v>
      </c>
      <c r="H493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0</v>
      </c>
      <c r="I493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0</v>
      </c>
      <c r="J493" s="74">
        <f t="shared" si="70"/>
        <v>0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t="str">
        <f t="shared" si="69"/>
        <v>OC12</v>
      </c>
      <c r="F494" t="str">
        <f t="shared" si="67"/>
        <v>Raps</v>
      </c>
      <c r="G494" s="74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0</v>
      </c>
      <c r="H494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0</v>
      </c>
      <c r="I494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0</v>
      </c>
      <c r="J494" s="74">
        <f t="shared" si="70"/>
        <v>0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t="str">
        <f t="shared" si="69"/>
        <v>OC12</v>
      </c>
      <c r="F495" t="str">
        <f t="shared" si="67"/>
        <v>Græs</v>
      </c>
      <c r="G495" s="74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0</v>
      </c>
      <c r="H495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</v>
      </c>
      <c r="I495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4">
        <f t="shared" si="70"/>
        <v>0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t="str">
        <f t="shared" si="69"/>
        <v>OC12</v>
      </c>
      <c r="F496" t="str">
        <f t="shared" si="67"/>
        <v>Grøntsager</v>
      </c>
      <c r="G496" s="74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</v>
      </c>
      <c r="H496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0</v>
      </c>
      <c r="I496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4">
        <f t="shared" si="70"/>
        <v>0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t="str">
        <f t="shared" si="69"/>
        <v>OC12</v>
      </c>
      <c r="F497" t="str">
        <f t="shared" si="67"/>
        <v>Kartofler</v>
      </c>
      <c r="G497" s="74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0</v>
      </c>
      <c r="H497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0</v>
      </c>
      <c r="I497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4">
        <f t="shared" si="70"/>
        <v>0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t="str">
        <f t="shared" si="69"/>
        <v>OC12</v>
      </c>
      <c r="F498" t="str">
        <f t="shared" si="67"/>
        <v>Roer</v>
      </c>
      <c r="G498" s="74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0</v>
      </c>
      <c r="H49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0</v>
      </c>
      <c r="I49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4">
        <f t="shared" si="70"/>
        <v>0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t="str">
        <f t="shared" si="69"/>
        <v>OC12</v>
      </c>
      <c r="F499" t="str">
        <f t="shared" si="67"/>
        <v>Majs</v>
      </c>
      <c r="G499" s="74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0</v>
      </c>
      <c r="H49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0</v>
      </c>
      <c r="I49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4">
        <f t="shared" si="70"/>
        <v>0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t="str">
        <f t="shared" si="69"/>
        <v>OC12</v>
      </c>
      <c r="F500" t="str">
        <f t="shared" si="67"/>
        <v>Frugt</v>
      </c>
      <c r="G500" s="74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0</v>
      </c>
      <c r="H500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0</v>
      </c>
      <c r="I500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4">
        <f t="shared" si="70"/>
        <v>0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t="str">
        <f t="shared" si="69"/>
        <v>OC12</v>
      </c>
      <c r="F501" t="str">
        <f t="shared" si="67"/>
        <v>Øvrige</v>
      </c>
      <c r="G501" s="74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0</v>
      </c>
      <c r="H50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0</v>
      </c>
      <c r="I50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4">
        <f t="shared" si="70"/>
        <v>0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t="str">
        <f t="shared" si="69"/>
        <v>OC12</v>
      </c>
      <c r="F502" t="str">
        <f t="shared" si="67"/>
        <v>Frø</v>
      </c>
      <c r="G502" s="74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0</v>
      </c>
      <c r="H502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0</v>
      </c>
      <c r="I502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0</v>
      </c>
      <c r="J502" s="74">
        <f t="shared" si="70"/>
        <v>0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t="str">
        <f t="shared" si="69"/>
        <v>OC12</v>
      </c>
      <c r="F503" t="str">
        <f t="shared" si="67"/>
        <v>Juletræer</v>
      </c>
      <c r="G503" s="74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0</v>
      </c>
      <c r="H503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0</v>
      </c>
      <c r="I503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4">
        <f t="shared" si="70"/>
        <v>0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t="str">
        <f t="shared" si="69"/>
        <v>OC12</v>
      </c>
      <c r="F504" t="str">
        <f t="shared" si="67"/>
        <v>Pil &amp; poppel</v>
      </c>
      <c r="G504" s="74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0</v>
      </c>
      <c r="H504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0</v>
      </c>
      <c r="I504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4">
        <f t="shared" si="70"/>
        <v>0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t="str">
        <f t="shared" si="69"/>
        <v>OC12</v>
      </c>
      <c r="F505" t="str">
        <f t="shared" si="67"/>
        <v>Græs</v>
      </c>
      <c r="G505" s="74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0</v>
      </c>
      <c r="H505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0</v>
      </c>
      <c r="I505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4">
        <f t="shared" si="70"/>
        <v>0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11</vt:i4>
      </vt:variant>
    </vt:vector>
  </HeadingPairs>
  <TitlesOfParts>
    <vt:vector size="51" baseType="lpstr">
      <vt:lpstr>Overblik</vt:lpstr>
      <vt:lpstr>Resume</vt:lpstr>
      <vt:lpstr>Farvekoder</vt:lpstr>
      <vt:lpstr>Arealanvendelse</vt:lpstr>
      <vt:lpstr>Landbrug</vt:lpstr>
      <vt:lpstr>Landbrugsproduktivititet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Produktion &amp; forbrug</vt:lpstr>
      <vt:lpstr>CONCITO</vt:lpstr>
      <vt:lpstr>Kategorisering af kcal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Bebyg</vt:lpstr>
      <vt:lpstr>IKareal</vt:lpstr>
      <vt:lpstr>Jordbund1</vt:lpstr>
      <vt:lpstr>NaturAreal</vt:lpstr>
      <vt:lpstr>Organ12</vt:lpstr>
      <vt:lpstr>Organ6</vt:lpstr>
      <vt:lpstr>SkovAreal</vt:lpstr>
      <vt:lpstr>År1</vt:lpstr>
      <vt:lpstr>År2</vt:lpstr>
      <vt:lpstr>År3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Julius Lindberg Steensberg</cp:lastModifiedBy>
  <dcterms:created xsi:type="dcterms:W3CDTF">2020-09-21T06:52:26Z</dcterms:created>
  <dcterms:modified xsi:type="dcterms:W3CDTF">2023-12-04T14:05:44Z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3792762756347</vt:r8>
  </property>
</Properties>
</file>